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7-kvt\kvt.0417\WEB\"/>
    </mc:Choice>
  </mc:AlternateContent>
  <bookViews>
    <workbookView xWindow="0" yWindow="0" windowWidth="25200" windowHeight="11385"/>
  </bookViews>
  <sheets>
    <sheet name="APM definisjoner" sheetId="1" r:id="rId1"/>
    <sheet name="APM utregning" sheetId="2" r:id="rId2"/>
    <sheet name="APM Definitions" sheetId="5" r:id="rId3"/>
    <sheet name="APM calculation" sheetId="4" r:id="rId4"/>
  </sheets>
  <externalReferences>
    <externalReference r:id="rId5"/>
  </externalReferences>
  <definedNames>
    <definedName name="_xlnm.Print_Area" localSheetId="0">'APM definisjoner'!$A$1:$B$23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4" l="1"/>
  <c r="R6" i="4"/>
  <c r="Q6" i="4"/>
  <c r="P6" i="4"/>
  <c r="O6" i="4"/>
  <c r="N6" i="4"/>
  <c r="M6" i="4"/>
  <c r="L6" i="4"/>
  <c r="J6" i="4"/>
  <c r="I6" i="4"/>
  <c r="H6" i="4"/>
  <c r="F6" i="4"/>
  <c r="D6" i="4"/>
  <c r="K5" i="4"/>
  <c r="K6" i="4" s="1"/>
  <c r="I5" i="4"/>
  <c r="G5" i="4"/>
  <c r="G6" i="4" s="1"/>
  <c r="E5" i="4"/>
  <c r="E6" i="4" s="1"/>
  <c r="H6" i="2"/>
  <c r="F6" i="2"/>
  <c r="D6" i="2" l="1"/>
  <c r="Q74" i="4" l="1"/>
  <c r="O74" i="4"/>
  <c r="M74" i="4"/>
  <c r="K74" i="4"/>
  <c r="I74" i="4"/>
  <c r="G74" i="4"/>
  <c r="E74" i="4"/>
  <c r="C74" i="4"/>
  <c r="Q74" i="2"/>
  <c r="O74" i="2"/>
  <c r="M74" i="2"/>
  <c r="K74" i="2"/>
  <c r="I74" i="2"/>
  <c r="G74" i="2"/>
  <c r="E74" i="2"/>
  <c r="C74" i="2"/>
  <c r="S14" i="2" l="1"/>
  <c r="S14" i="4"/>
  <c r="S6" i="2"/>
  <c r="R6" i="2"/>
  <c r="S40" i="4" l="1"/>
  <c r="R40" i="4"/>
  <c r="Q40" i="4"/>
  <c r="P40" i="4"/>
  <c r="O40" i="4"/>
  <c r="N40" i="4"/>
  <c r="M40" i="4"/>
  <c r="L40" i="4"/>
  <c r="K40" i="4"/>
  <c r="J40" i="4"/>
  <c r="I40" i="4"/>
  <c r="H40" i="4"/>
  <c r="G40" i="4"/>
  <c r="F40" i="4"/>
  <c r="E40" i="4"/>
  <c r="D40" i="4"/>
  <c r="C40" i="4"/>
  <c r="B40" i="4"/>
  <c r="S39" i="4"/>
  <c r="R39" i="4"/>
  <c r="Q39" i="4"/>
  <c r="P39" i="4"/>
  <c r="O39" i="4"/>
  <c r="N39" i="4"/>
  <c r="M39" i="4"/>
  <c r="L39" i="4"/>
  <c r="K39" i="4"/>
  <c r="J39" i="4"/>
  <c r="I39" i="4"/>
  <c r="H39" i="4"/>
  <c r="G39" i="4"/>
  <c r="F39" i="4"/>
  <c r="E39" i="4"/>
  <c r="D39" i="4"/>
  <c r="C39" i="4"/>
  <c r="B39" i="4"/>
  <c r="Q25" i="4" l="1"/>
  <c r="P25" i="4"/>
  <c r="O25" i="4"/>
  <c r="N25" i="4"/>
  <c r="M25" i="4"/>
  <c r="L25" i="4"/>
  <c r="K25" i="4"/>
  <c r="J25" i="4"/>
  <c r="I25" i="4"/>
  <c r="H25" i="4"/>
  <c r="G25" i="4"/>
  <c r="F25" i="4"/>
  <c r="E25" i="4"/>
  <c r="D25" i="4"/>
  <c r="C25" i="4"/>
  <c r="B25" i="4"/>
  <c r="S22" i="4"/>
  <c r="R22" i="4"/>
  <c r="Q22" i="4"/>
  <c r="P22" i="4"/>
  <c r="O22" i="4"/>
  <c r="N22" i="4"/>
  <c r="M22" i="4"/>
  <c r="L22" i="4"/>
  <c r="K22" i="4"/>
  <c r="J22" i="4"/>
  <c r="I22" i="4"/>
  <c r="H22" i="4"/>
  <c r="G22" i="4"/>
  <c r="F22" i="4"/>
  <c r="E22" i="4"/>
  <c r="D22" i="4"/>
  <c r="C22" i="4"/>
  <c r="B22" i="4"/>
  <c r="S40" i="2"/>
  <c r="R40" i="2"/>
  <c r="Q40" i="2"/>
  <c r="P40" i="2"/>
  <c r="O40" i="2"/>
  <c r="N40" i="2"/>
  <c r="M40" i="2"/>
  <c r="L40" i="2"/>
  <c r="K40" i="2"/>
  <c r="J40" i="2"/>
  <c r="I40" i="2"/>
  <c r="H40" i="2"/>
  <c r="G40" i="2"/>
  <c r="F40" i="2"/>
  <c r="E40" i="2"/>
  <c r="D40" i="2"/>
  <c r="C40" i="2"/>
  <c r="S39" i="2"/>
  <c r="R39" i="2"/>
  <c r="Q39" i="2"/>
  <c r="P39" i="2"/>
  <c r="O39" i="2"/>
  <c r="N39" i="2"/>
  <c r="M39" i="2"/>
  <c r="L39" i="2"/>
  <c r="K39" i="2"/>
  <c r="J39" i="2"/>
  <c r="I39" i="2"/>
  <c r="H39" i="2"/>
  <c r="G39" i="2"/>
  <c r="F39" i="2"/>
  <c r="E39" i="2"/>
  <c r="D39" i="2"/>
  <c r="C39" i="2"/>
  <c r="B40" i="2"/>
  <c r="Q25" i="2"/>
  <c r="O25" i="2"/>
  <c r="M25" i="2"/>
  <c r="K25" i="2"/>
  <c r="I25" i="2"/>
  <c r="G25" i="2"/>
  <c r="E25" i="2"/>
  <c r="C25" i="2"/>
  <c r="P25" i="2"/>
  <c r="N25" i="2"/>
  <c r="L25" i="2"/>
  <c r="J25" i="2"/>
  <c r="H25" i="2"/>
  <c r="F25" i="2"/>
  <c r="D25" i="2"/>
  <c r="B25" i="2"/>
  <c r="B39" i="2" s="1"/>
  <c r="S22" i="2" l="1"/>
  <c r="R22" i="2"/>
  <c r="Q22" i="2"/>
  <c r="P22" i="2"/>
  <c r="O22" i="2"/>
  <c r="N22" i="2"/>
  <c r="M22" i="2"/>
  <c r="L22" i="2"/>
  <c r="R84" i="4" l="1"/>
  <c r="R85" i="4" s="1"/>
  <c r="J84" i="4"/>
  <c r="J85" i="4" s="1"/>
  <c r="B84" i="4"/>
  <c r="B85" i="4" s="1"/>
  <c r="N80" i="4"/>
  <c r="F80" i="4"/>
  <c r="N79" i="4"/>
  <c r="H79" i="4"/>
  <c r="H80" i="4" s="1"/>
  <c r="F79" i="4"/>
  <c r="Q73" i="4"/>
  <c r="P73" i="4"/>
  <c r="M73" i="4"/>
  <c r="L73" i="4"/>
  <c r="I73" i="4"/>
  <c r="H73" i="4"/>
  <c r="E73" i="4"/>
  <c r="D73" i="4"/>
  <c r="S71" i="4"/>
  <c r="S73" i="4" s="1"/>
  <c r="S75" i="4" s="1"/>
  <c r="R71" i="4"/>
  <c r="R73" i="4" s="1"/>
  <c r="R75" i="4" s="1"/>
  <c r="Q71" i="4"/>
  <c r="P71" i="4"/>
  <c r="O71" i="4"/>
  <c r="O73" i="4" s="1"/>
  <c r="N71" i="4"/>
  <c r="N73" i="4" s="1"/>
  <c r="M71" i="4"/>
  <c r="L71" i="4"/>
  <c r="K71" i="4"/>
  <c r="K73" i="4" s="1"/>
  <c r="J71" i="4"/>
  <c r="J73" i="4" s="1"/>
  <c r="I71" i="4"/>
  <c r="H71" i="4"/>
  <c r="G71" i="4"/>
  <c r="G73" i="4" s="1"/>
  <c r="F71" i="4"/>
  <c r="F73" i="4" s="1"/>
  <c r="E71" i="4"/>
  <c r="D71" i="4"/>
  <c r="C71" i="4"/>
  <c r="C73" i="4" s="1"/>
  <c r="B71" i="4"/>
  <c r="B73" i="4" s="1"/>
  <c r="R65" i="4"/>
  <c r="P65" i="4"/>
  <c r="N65" i="4"/>
  <c r="L65" i="4"/>
  <c r="J63" i="4"/>
  <c r="J65" i="4" s="1"/>
  <c r="F63" i="4"/>
  <c r="F65" i="4" s="1"/>
  <c r="B63" i="4"/>
  <c r="B65" i="4" s="1"/>
  <c r="R62" i="4"/>
  <c r="R79" i="4" s="1"/>
  <c r="R80" i="4" s="1"/>
  <c r="P62" i="4"/>
  <c r="P79" i="4" s="1"/>
  <c r="P80" i="4" s="1"/>
  <c r="N62" i="4"/>
  <c r="N84" i="4" s="1"/>
  <c r="N85" i="4" s="1"/>
  <c r="L62" i="4"/>
  <c r="J74" i="4" s="1"/>
  <c r="J62" i="4"/>
  <c r="J79" i="4" s="1"/>
  <c r="J80" i="4" s="1"/>
  <c r="H62" i="4"/>
  <c r="F62" i="4"/>
  <c r="F84" i="4" s="1"/>
  <c r="F85" i="4" s="1"/>
  <c r="D62" i="4"/>
  <c r="B74" i="4" s="1"/>
  <c r="B62" i="4"/>
  <c r="B79" i="4" s="1"/>
  <c r="B80" i="4" s="1"/>
  <c r="R59" i="4"/>
  <c r="P59" i="4"/>
  <c r="N59" i="4"/>
  <c r="L59" i="4"/>
  <c r="J59" i="4"/>
  <c r="H59" i="4"/>
  <c r="F59" i="4"/>
  <c r="D59" i="4"/>
  <c r="B59" i="4"/>
  <c r="S54" i="4"/>
  <c r="R54" i="4"/>
  <c r="Q54" i="4"/>
  <c r="P54" i="4"/>
  <c r="O54" i="4"/>
  <c r="N54" i="4"/>
  <c r="M54" i="4"/>
  <c r="L54" i="4"/>
  <c r="K54" i="4"/>
  <c r="J54" i="4"/>
  <c r="I54" i="4"/>
  <c r="H54" i="4"/>
  <c r="G54" i="4"/>
  <c r="F54" i="4"/>
  <c r="E54" i="4"/>
  <c r="D54" i="4"/>
  <c r="C54" i="4"/>
  <c r="B54" i="4"/>
  <c r="R47" i="4"/>
  <c r="P47" i="4"/>
  <c r="N47" i="4"/>
  <c r="L47" i="4"/>
  <c r="J47" i="4"/>
  <c r="H47" i="4"/>
  <c r="F47" i="4"/>
  <c r="D47" i="4"/>
  <c r="B47" i="4"/>
  <c r="Q44" i="4"/>
  <c r="I44" i="4"/>
  <c r="S43" i="4"/>
  <c r="S44" i="4" s="1"/>
  <c r="R43" i="4"/>
  <c r="R44" i="4" s="1"/>
  <c r="Q43" i="4"/>
  <c r="P43" i="4"/>
  <c r="P44" i="4" s="1"/>
  <c r="O43" i="4"/>
  <c r="O44" i="4" s="1"/>
  <c r="N43" i="4"/>
  <c r="N44" i="4" s="1"/>
  <c r="M43" i="4"/>
  <c r="M44" i="4" s="1"/>
  <c r="L43" i="4"/>
  <c r="L44" i="4" s="1"/>
  <c r="K43" i="4"/>
  <c r="K44" i="4" s="1"/>
  <c r="J43" i="4"/>
  <c r="J44" i="4" s="1"/>
  <c r="I43" i="4"/>
  <c r="H43" i="4"/>
  <c r="H44" i="4" s="1"/>
  <c r="G43" i="4"/>
  <c r="G44" i="4" s="1"/>
  <c r="F43" i="4"/>
  <c r="F44" i="4" s="1"/>
  <c r="E43" i="4"/>
  <c r="E44" i="4" s="1"/>
  <c r="D43" i="4"/>
  <c r="D44" i="4" s="1"/>
  <c r="C43" i="4"/>
  <c r="C44" i="4" s="1"/>
  <c r="B43" i="4"/>
  <c r="B44" i="4" s="1"/>
  <c r="R34" i="4"/>
  <c r="P34" i="4"/>
  <c r="N34" i="4"/>
  <c r="L34" i="4"/>
  <c r="H34" i="4"/>
  <c r="B34" i="4"/>
  <c r="R32" i="4"/>
  <c r="N32" i="4"/>
  <c r="L32" i="4"/>
  <c r="J32" i="4"/>
  <c r="D32" i="4"/>
  <c r="B32" i="4"/>
  <c r="R31" i="4"/>
  <c r="P31" i="4"/>
  <c r="N31" i="4"/>
  <c r="L31" i="4"/>
  <c r="J31" i="4"/>
  <c r="H31" i="4"/>
  <c r="F31" i="4"/>
  <c r="D31" i="4"/>
  <c r="B31" i="4"/>
  <c r="R30" i="4"/>
  <c r="J30" i="4"/>
  <c r="J34" i="4"/>
  <c r="F34" i="4"/>
  <c r="D34" i="4"/>
  <c r="P21" i="4"/>
  <c r="P32" i="4" s="1"/>
  <c r="N21" i="4"/>
  <c r="L21" i="4"/>
  <c r="H21" i="4"/>
  <c r="H32" i="4" s="1"/>
  <c r="F21" i="4"/>
  <c r="F32" i="4" s="1"/>
  <c r="D21" i="4"/>
  <c r="S15" i="4"/>
  <c r="R15" i="4"/>
  <c r="S16" i="4"/>
  <c r="R14" i="4"/>
  <c r="R16" i="4" s="1"/>
  <c r="Q14" i="4"/>
  <c r="N14" i="4"/>
  <c r="M14" i="4"/>
  <c r="O10" i="4"/>
  <c r="K10" i="4"/>
  <c r="J10" i="4"/>
  <c r="J27" i="4" s="1"/>
  <c r="J33" i="4" s="1"/>
  <c r="J35" i="4" s="1"/>
  <c r="J48" i="4" s="1"/>
  <c r="J49" i="4" s="1"/>
  <c r="C10" i="4"/>
  <c r="S9" i="4"/>
  <c r="S10" i="4" s="1"/>
  <c r="R9" i="4"/>
  <c r="R10" i="4" s="1"/>
  <c r="R27" i="4" s="1"/>
  <c r="R33" i="4" s="1"/>
  <c r="R35" i="4" s="1"/>
  <c r="R48" i="4" s="1"/>
  <c r="R49" i="4" s="1"/>
  <c r="Q9" i="4"/>
  <c r="Q10" i="4" s="1"/>
  <c r="P9" i="4"/>
  <c r="P10" i="4" s="1"/>
  <c r="O9" i="4"/>
  <c r="N9" i="4"/>
  <c r="N10" i="4" s="1"/>
  <c r="M9" i="4"/>
  <c r="M10" i="4" s="1"/>
  <c r="L9" i="4"/>
  <c r="L10" i="4" s="1"/>
  <c r="H9" i="4"/>
  <c r="H10" i="4" s="1"/>
  <c r="G9" i="4"/>
  <c r="G10" i="4" s="1"/>
  <c r="G12" i="4" s="1"/>
  <c r="G15" i="4" s="1"/>
  <c r="F9" i="4"/>
  <c r="F10" i="4" s="1"/>
  <c r="F27" i="4" s="1"/>
  <c r="F33" i="4" s="1"/>
  <c r="F35" i="4" s="1"/>
  <c r="F48" i="4" s="1"/>
  <c r="D9" i="4"/>
  <c r="D10" i="4" s="1"/>
  <c r="B9" i="4"/>
  <c r="B8" i="4"/>
  <c r="B10" i="4" s="1"/>
  <c r="B27" i="4" s="1"/>
  <c r="B33" i="4" s="1"/>
  <c r="B35" i="4" s="1"/>
  <c r="B48" i="4" s="1"/>
  <c r="B49" i="4" s="1"/>
  <c r="P14" i="4"/>
  <c r="O14" i="4"/>
  <c r="L14" i="4"/>
  <c r="K14" i="4"/>
  <c r="J14" i="4"/>
  <c r="H14" i="4"/>
  <c r="G14" i="4"/>
  <c r="D14" i="4"/>
  <c r="C6" i="4"/>
  <c r="C14" i="4" s="1"/>
  <c r="C5" i="4"/>
  <c r="B5" i="4"/>
  <c r="B4" i="4"/>
  <c r="M12" i="4" l="1"/>
  <c r="M15" i="4" s="1"/>
  <c r="O12" i="4"/>
  <c r="O15" i="4" s="1"/>
  <c r="N12" i="4"/>
  <c r="N15" i="4" s="1"/>
  <c r="N16" i="4"/>
  <c r="Q12" i="4"/>
  <c r="Q15" i="4" s="1"/>
  <c r="Q16" i="4" s="1"/>
  <c r="B6" i="4"/>
  <c r="B14" i="4" s="1"/>
  <c r="H12" i="4"/>
  <c r="H15" i="4" s="1"/>
  <c r="H27" i="4"/>
  <c r="H33" i="4" s="1"/>
  <c r="H35" i="4" s="1"/>
  <c r="H48" i="4" s="1"/>
  <c r="H49" i="4" s="1"/>
  <c r="M16" i="4"/>
  <c r="B75" i="4"/>
  <c r="J75" i="4"/>
  <c r="D12" i="4"/>
  <c r="D15" i="4" s="1"/>
  <c r="D16" i="4" s="1"/>
  <c r="D27" i="4"/>
  <c r="D33" i="4" s="1"/>
  <c r="D35" i="4" s="1"/>
  <c r="D48" i="4" s="1"/>
  <c r="K75" i="4"/>
  <c r="B12" i="4"/>
  <c r="B15" i="4" s="1"/>
  <c r="B16" i="4" s="1"/>
  <c r="N27" i="4"/>
  <c r="N33" i="4" s="1"/>
  <c r="N35" i="4" s="1"/>
  <c r="N48" i="4" s="1"/>
  <c r="N49" i="4" s="1"/>
  <c r="Q75" i="4"/>
  <c r="I75" i="4"/>
  <c r="G75" i="4"/>
  <c r="K16" i="4"/>
  <c r="O16" i="4"/>
  <c r="L64" i="4"/>
  <c r="L66" i="4" s="1"/>
  <c r="D75" i="4"/>
  <c r="I9" i="4"/>
  <c r="I10" i="4" s="1"/>
  <c r="I12" i="4" s="1"/>
  <c r="I15" i="4" s="1"/>
  <c r="I14" i="4"/>
  <c r="L12" i="4"/>
  <c r="L15" i="4" s="1"/>
  <c r="L16" i="4" s="1"/>
  <c r="F49" i="4"/>
  <c r="O75" i="4"/>
  <c r="G16" i="4"/>
  <c r="C12" i="4"/>
  <c r="C15" i="4" s="1"/>
  <c r="P12" i="4"/>
  <c r="P15" i="4" s="1"/>
  <c r="P16" i="4" s="1"/>
  <c r="P27" i="4"/>
  <c r="P33" i="4" s="1"/>
  <c r="P35" i="4" s="1"/>
  <c r="P48" i="4" s="1"/>
  <c r="P49" i="4" s="1"/>
  <c r="F12" i="4"/>
  <c r="F15" i="4" s="1"/>
  <c r="F14" i="4"/>
  <c r="F16" i="4" s="1"/>
  <c r="E75" i="4"/>
  <c r="C75" i="4"/>
  <c r="J12" i="4"/>
  <c r="J15" i="4" s="1"/>
  <c r="J16" i="4" s="1"/>
  <c r="M75" i="4"/>
  <c r="E9" i="4"/>
  <c r="E10" i="4" s="1"/>
  <c r="E12" i="4" s="1"/>
  <c r="E15" i="4" s="1"/>
  <c r="E14" i="4"/>
  <c r="C16" i="4"/>
  <c r="H16" i="4"/>
  <c r="K12" i="4"/>
  <c r="K15" i="4" s="1"/>
  <c r="L27" i="4"/>
  <c r="L33" i="4" s="1"/>
  <c r="L35" i="4" s="1"/>
  <c r="L48" i="4" s="1"/>
  <c r="L49" i="4" s="1"/>
  <c r="D49" i="4"/>
  <c r="D79" i="4"/>
  <c r="D80" i="4" s="1"/>
  <c r="D74" i="4"/>
  <c r="D84" i="4"/>
  <c r="D85" i="4" s="1"/>
  <c r="H84" i="4"/>
  <c r="H85" i="4" s="1"/>
  <c r="H74" i="4"/>
  <c r="L79" i="4"/>
  <c r="L80" i="4" s="1"/>
  <c r="L74" i="4"/>
  <c r="L75" i="4" s="1"/>
  <c r="D63" i="4"/>
  <c r="D65" i="4" s="1"/>
  <c r="L84" i="4"/>
  <c r="L85" i="4" s="1"/>
  <c r="P84" i="4"/>
  <c r="P85" i="4" s="1"/>
  <c r="P74" i="4"/>
  <c r="P75" i="4" s="1"/>
  <c r="H63" i="4"/>
  <c r="H65" i="4" s="1"/>
  <c r="H64" i="4"/>
  <c r="H66" i="4" s="1"/>
  <c r="P64" i="4"/>
  <c r="P66" i="4" s="1"/>
  <c r="H75" i="4"/>
  <c r="F74" i="4"/>
  <c r="F75" i="4" s="1"/>
  <c r="N74" i="4"/>
  <c r="N75" i="4" s="1"/>
  <c r="B64" i="4"/>
  <c r="B66" i="4" s="1"/>
  <c r="F64" i="4"/>
  <c r="F66" i="4" s="1"/>
  <c r="J64" i="4"/>
  <c r="J66" i="4" s="1"/>
  <c r="N64" i="4"/>
  <c r="N66" i="4" s="1"/>
  <c r="R64" i="4"/>
  <c r="R66" i="4" s="1"/>
  <c r="Q73" i="2"/>
  <c r="S71" i="2"/>
  <c r="S73" i="2" s="1"/>
  <c r="S75" i="2" s="1"/>
  <c r="R71" i="2"/>
  <c r="R73" i="2" s="1"/>
  <c r="R75" i="2" s="1"/>
  <c r="Q71" i="2"/>
  <c r="P71" i="2"/>
  <c r="P73" i="2" s="1"/>
  <c r="O71" i="2"/>
  <c r="O73" i="2" s="1"/>
  <c r="N71" i="2"/>
  <c r="N73" i="2" s="1"/>
  <c r="M71" i="2"/>
  <c r="M73" i="2" s="1"/>
  <c r="L71" i="2"/>
  <c r="L73" i="2" s="1"/>
  <c r="K71" i="2"/>
  <c r="K73" i="2" s="1"/>
  <c r="J71" i="2"/>
  <c r="J73" i="2" s="1"/>
  <c r="I71" i="2"/>
  <c r="I73" i="2" s="1"/>
  <c r="H71" i="2"/>
  <c r="H73" i="2" s="1"/>
  <c r="G71" i="2"/>
  <c r="G73" i="2" s="1"/>
  <c r="F71" i="2"/>
  <c r="F73" i="2" s="1"/>
  <c r="E71" i="2"/>
  <c r="E73" i="2" s="1"/>
  <c r="D71" i="2"/>
  <c r="D73" i="2" s="1"/>
  <c r="C71" i="2"/>
  <c r="C73" i="2" s="1"/>
  <c r="B71" i="2"/>
  <c r="B73" i="2" s="1"/>
  <c r="I16" i="4" l="1"/>
  <c r="E16" i="4"/>
  <c r="D64" i="4"/>
  <c r="D66" i="4" s="1"/>
  <c r="R65" i="2"/>
  <c r="P65" i="2"/>
  <c r="N65" i="2"/>
  <c r="L65" i="2"/>
  <c r="H62" i="2" l="1"/>
  <c r="F62" i="2"/>
  <c r="D62" i="2"/>
  <c r="B62" i="2"/>
  <c r="R62" i="2"/>
  <c r="P62" i="2"/>
  <c r="N62" i="2"/>
  <c r="L62" i="2"/>
  <c r="J62" i="2"/>
  <c r="R59" i="2"/>
  <c r="P59" i="2"/>
  <c r="N59" i="2"/>
  <c r="L59" i="2"/>
  <c r="J59" i="2"/>
  <c r="H59" i="2"/>
  <c r="F59" i="2"/>
  <c r="D59" i="2"/>
  <c r="B59" i="2"/>
  <c r="S43" i="2"/>
  <c r="S44" i="2" s="1"/>
  <c r="S15" i="2"/>
  <c r="L74" i="2" l="1"/>
  <c r="L75" i="2" s="1"/>
  <c r="L64" i="2"/>
  <c r="L66" i="2" s="1"/>
  <c r="L79" i="2"/>
  <c r="L80" i="2" s="1"/>
  <c r="L84" i="2"/>
  <c r="L85" i="2" s="1"/>
  <c r="B84" i="2"/>
  <c r="B85" i="2" s="1"/>
  <c r="B79" i="2"/>
  <c r="B80" i="2" s="1"/>
  <c r="B74" i="2"/>
  <c r="B75" i="2" s="1"/>
  <c r="F74" i="2"/>
  <c r="F75" i="2" s="1"/>
  <c r="F84" i="2"/>
  <c r="F85" i="2" s="1"/>
  <c r="F79" i="2"/>
  <c r="F80" i="2" s="1"/>
  <c r="M75" i="2"/>
  <c r="C75" i="2"/>
  <c r="J84" i="2"/>
  <c r="J85" i="2" s="1"/>
  <c r="J79" i="2"/>
  <c r="J80" i="2" s="1"/>
  <c r="J74" i="2"/>
  <c r="J75" i="2" s="1"/>
  <c r="N64" i="2"/>
  <c r="N66" i="2" s="1"/>
  <c r="N84" i="2"/>
  <c r="N85" i="2" s="1"/>
  <c r="N79" i="2"/>
  <c r="N80" i="2" s="1"/>
  <c r="N74" i="2"/>
  <c r="N75" i="2" s="1"/>
  <c r="R64" i="2"/>
  <c r="R66" i="2" s="1"/>
  <c r="R84" i="2"/>
  <c r="R85" i="2" s="1"/>
  <c r="R79" i="2"/>
  <c r="R80" i="2" s="1"/>
  <c r="D74" i="2"/>
  <c r="D75" i="2" s="1"/>
  <c r="D84" i="2"/>
  <c r="D85" i="2" s="1"/>
  <c r="D79" i="2"/>
  <c r="D80" i="2" s="1"/>
  <c r="H84" i="2"/>
  <c r="H85" i="2" s="1"/>
  <c r="H74" i="2"/>
  <c r="H75" i="2" s="1"/>
  <c r="H79" i="2"/>
  <c r="H80" i="2" s="1"/>
  <c r="P74" i="2"/>
  <c r="P75" i="2" s="1"/>
  <c r="P84" i="2"/>
  <c r="P85" i="2" s="1"/>
  <c r="P64" i="2"/>
  <c r="P66" i="2" s="1"/>
  <c r="P79" i="2"/>
  <c r="P80" i="2" s="1"/>
  <c r="S16" i="2"/>
  <c r="I75" i="2"/>
  <c r="Q75" i="2"/>
  <c r="G75" i="2"/>
  <c r="D63" i="2"/>
  <c r="D65" i="2" s="1"/>
  <c r="H63" i="2"/>
  <c r="H65" i="2" s="1"/>
  <c r="K75" i="2"/>
  <c r="O75" i="2"/>
  <c r="E75" i="2"/>
  <c r="B63" i="2"/>
  <c r="B65" i="2" s="1"/>
  <c r="F63" i="2"/>
  <c r="F65" i="2" s="1"/>
  <c r="J63" i="2"/>
  <c r="J65" i="2" s="1"/>
  <c r="S9" i="2"/>
  <c r="S10" i="2" s="1"/>
  <c r="D64" i="2" l="1"/>
  <c r="D66" i="2" s="1"/>
  <c r="H64" i="2"/>
  <c r="H66" i="2" s="1"/>
  <c r="J64" i="2"/>
  <c r="J66" i="2" s="1"/>
  <c r="F64" i="2"/>
  <c r="F66" i="2" s="1"/>
  <c r="B64" i="2"/>
  <c r="B66" i="2" s="1"/>
  <c r="S54" i="2"/>
  <c r="R54" i="2"/>
  <c r="Q54" i="2"/>
  <c r="P54" i="2"/>
  <c r="O54" i="2"/>
  <c r="N54" i="2"/>
  <c r="M54" i="2"/>
  <c r="L54" i="2"/>
  <c r="K54" i="2"/>
  <c r="J54" i="2"/>
  <c r="I54" i="2"/>
  <c r="H54" i="2"/>
  <c r="G54" i="2"/>
  <c r="F54" i="2"/>
  <c r="E54" i="2"/>
  <c r="D54" i="2"/>
  <c r="C54" i="2"/>
  <c r="B54" i="2"/>
  <c r="R47" i="2" l="1"/>
  <c r="P47" i="2"/>
  <c r="N47" i="2"/>
  <c r="L47" i="2"/>
  <c r="J47" i="2"/>
  <c r="H47" i="2"/>
  <c r="F47" i="2"/>
  <c r="D47" i="2"/>
  <c r="B47" i="2"/>
  <c r="R43" i="2"/>
  <c r="R44" i="2" s="1"/>
  <c r="Q43" i="2"/>
  <c r="Q44" i="2" s="1"/>
  <c r="P43" i="2"/>
  <c r="P44" i="2" s="1"/>
  <c r="O43" i="2"/>
  <c r="O44" i="2" s="1"/>
  <c r="N43" i="2"/>
  <c r="N44" i="2" s="1"/>
  <c r="M43" i="2"/>
  <c r="M44" i="2" s="1"/>
  <c r="L43" i="2"/>
  <c r="L44" i="2" s="1"/>
  <c r="K22" i="2"/>
  <c r="K43" i="2" s="1"/>
  <c r="K44" i="2" s="1"/>
  <c r="I22" i="2"/>
  <c r="I43" i="2" s="1"/>
  <c r="I44" i="2" s="1"/>
  <c r="G22" i="2"/>
  <c r="G43" i="2" s="1"/>
  <c r="G44" i="2" s="1"/>
  <c r="E22" i="2"/>
  <c r="E43" i="2" s="1"/>
  <c r="E44" i="2" s="1"/>
  <c r="C22" i="2"/>
  <c r="C43" i="2" s="1"/>
  <c r="C44" i="2" s="1"/>
  <c r="Q6" i="2" l="1"/>
  <c r="P6" i="2"/>
  <c r="O6" i="2"/>
  <c r="N6" i="2"/>
  <c r="M6" i="2"/>
  <c r="L6" i="2"/>
  <c r="K10" i="2"/>
  <c r="J10" i="2"/>
  <c r="C10" i="2" l="1"/>
  <c r="R15" i="2"/>
  <c r="R14" i="2"/>
  <c r="P14" i="2"/>
  <c r="N14" i="2"/>
  <c r="Q14" i="2"/>
  <c r="O14" i="2"/>
  <c r="M14" i="2"/>
  <c r="L14" i="2"/>
  <c r="R9" i="2"/>
  <c r="R10" i="2" s="1"/>
  <c r="Q9" i="2"/>
  <c r="Q10" i="2" s="1"/>
  <c r="P9" i="2"/>
  <c r="P10" i="2" s="1"/>
  <c r="O9" i="2"/>
  <c r="O10" i="2" s="1"/>
  <c r="N9" i="2"/>
  <c r="N10" i="2" s="1"/>
  <c r="M9" i="2"/>
  <c r="M10" i="2" s="1"/>
  <c r="L9" i="2"/>
  <c r="L10" i="2" s="1"/>
  <c r="H9" i="2"/>
  <c r="H10" i="2" s="1"/>
  <c r="F9" i="2"/>
  <c r="F10" i="2" s="1"/>
  <c r="D9" i="2"/>
  <c r="D10" i="2" s="1"/>
  <c r="R16" i="2" l="1"/>
  <c r="R34" i="2"/>
  <c r="P34" i="2"/>
  <c r="N34" i="2"/>
  <c r="L34" i="2"/>
  <c r="R31" i="2" l="1"/>
  <c r="R30" i="2"/>
  <c r="L21" i="2" l="1"/>
  <c r="J6" i="2" l="1"/>
  <c r="P21" i="2"/>
  <c r="H21" i="2"/>
  <c r="N21" i="2" l="1"/>
  <c r="F21" i="2"/>
  <c r="J30" i="2" l="1"/>
  <c r="H32" i="2"/>
  <c r="D21" i="2"/>
  <c r="D32" i="2" s="1"/>
  <c r="R32" i="2"/>
  <c r="P32" i="2"/>
  <c r="N32" i="2"/>
  <c r="L32" i="2"/>
  <c r="J32" i="2"/>
  <c r="F32" i="2"/>
  <c r="P31" i="2" l="1"/>
  <c r="N31" i="2"/>
  <c r="L31" i="2"/>
  <c r="J31" i="2"/>
  <c r="H31" i="2"/>
  <c r="F31" i="2"/>
  <c r="D31" i="2"/>
  <c r="J22" i="2" l="1"/>
  <c r="J43" i="2" s="1"/>
  <c r="J44" i="2" s="1"/>
  <c r="H22" i="2"/>
  <c r="H43" i="2" s="1"/>
  <c r="H44" i="2" s="1"/>
  <c r="F22" i="2"/>
  <c r="F43" i="2" s="1"/>
  <c r="F44" i="2" s="1"/>
  <c r="D22" i="2"/>
  <c r="D43" i="2" s="1"/>
  <c r="D44" i="2" s="1"/>
  <c r="B22" i="2"/>
  <c r="B43" i="2" s="1"/>
  <c r="B44" i="2" s="1"/>
  <c r="D34" i="2" l="1"/>
  <c r="F34" i="2"/>
  <c r="H34" i="2"/>
  <c r="B34" i="2"/>
  <c r="J34" i="2"/>
  <c r="B32" i="2"/>
  <c r="B31" i="2"/>
  <c r="J14" i="2" l="1"/>
  <c r="D14" i="2" l="1"/>
  <c r="F14" i="2"/>
  <c r="K5" i="2"/>
  <c r="K6" i="2" s="1"/>
  <c r="I5" i="2"/>
  <c r="G5" i="2"/>
  <c r="E5" i="2"/>
  <c r="C5" i="2"/>
  <c r="C6" i="2" s="1"/>
  <c r="C14" i="2" s="1"/>
  <c r="H27" i="2"/>
  <c r="H33" i="2" s="1"/>
  <c r="H35" i="2" s="1"/>
  <c r="H48" i="2" s="1"/>
  <c r="H49" i="2" s="1"/>
  <c r="F27" i="2"/>
  <c r="F33" i="2" s="1"/>
  <c r="F35" i="2" s="1"/>
  <c r="F48" i="2" s="1"/>
  <c r="F49" i="2" s="1"/>
  <c r="D27" i="2"/>
  <c r="D33" i="2" s="1"/>
  <c r="D35" i="2" s="1"/>
  <c r="D48" i="2" s="1"/>
  <c r="D49" i="2" s="1"/>
  <c r="K14" i="2" l="1"/>
  <c r="E6" i="2"/>
  <c r="E9" i="2"/>
  <c r="E10" i="2" s="1"/>
  <c r="E12" i="2" s="1"/>
  <c r="E15" i="2" s="1"/>
  <c r="I6" i="2"/>
  <c r="I9" i="2"/>
  <c r="I10" i="2" s="1"/>
  <c r="G6" i="2"/>
  <c r="G9" i="2"/>
  <c r="G10" i="2" s="1"/>
  <c r="G12" i="2" s="1"/>
  <c r="G15" i="2" s="1"/>
  <c r="Q12" i="2"/>
  <c r="Q15" i="2" s="1"/>
  <c r="Q16" i="2" s="1"/>
  <c r="R27" i="2"/>
  <c r="R33" i="2" s="1"/>
  <c r="R35" i="2" s="1"/>
  <c r="R48" i="2" s="1"/>
  <c r="R49" i="2" s="1"/>
  <c r="N12" i="2"/>
  <c r="N15" i="2" s="1"/>
  <c r="N16" i="2" s="1"/>
  <c r="M12" i="2"/>
  <c r="M15" i="2" s="1"/>
  <c r="M16" i="2" s="1"/>
  <c r="N27" i="2"/>
  <c r="N33" i="2" s="1"/>
  <c r="N35" i="2" s="1"/>
  <c r="N48" i="2" s="1"/>
  <c r="N49" i="2" s="1"/>
  <c r="P12" i="2"/>
  <c r="P15" i="2" s="1"/>
  <c r="P16" i="2" s="1"/>
  <c r="O12" i="2"/>
  <c r="O15" i="2" s="1"/>
  <c r="O16" i="2" s="1"/>
  <c r="P27" i="2"/>
  <c r="P33" i="2" s="1"/>
  <c r="P35" i="2" s="1"/>
  <c r="P48" i="2" s="1"/>
  <c r="P49" i="2" s="1"/>
  <c r="C12" i="2"/>
  <c r="C15" i="2" s="1"/>
  <c r="C16" i="2" s="1"/>
  <c r="B9" i="2"/>
  <c r="B8" i="2"/>
  <c r="G14" i="2" l="1"/>
  <c r="G16" i="2" s="1"/>
  <c r="E14" i="2"/>
  <c r="E16" i="2" s="1"/>
  <c r="I14" i="2"/>
  <c r="B10" i="2"/>
  <c r="B27" i="2" l="1"/>
  <c r="B33" i="2" s="1"/>
  <c r="B35" i="2" s="1"/>
  <c r="B48" i="2" s="1"/>
  <c r="B49" i="2" s="1"/>
  <c r="B5" i="2"/>
  <c r="B4" i="2" l="1"/>
  <c r="B6" i="2" l="1"/>
  <c r="B14" i="2" s="1"/>
  <c r="D12" i="2"/>
  <c r="D15" i="2" s="1"/>
  <c r="D16" i="2" s="1"/>
  <c r="B12" i="2" l="1"/>
  <c r="B15" i="2" s="1"/>
  <c r="B16" i="2" s="1"/>
  <c r="I12" i="2"/>
  <c r="I15" i="2" s="1"/>
  <c r="I16" i="2" s="1"/>
  <c r="H12" i="2"/>
  <c r="H15" i="2" s="1"/>
  <c r="F12" i="2"/>
  <c r="F15" i="2" s="1"/>
  <c r="F16" i="2" s="1"/>
  <c r="J27" i="2"/>
  <c r="J33" i="2" s="1"/>
  <c r="J35" i="2" s="1"/>
  <c r="J48" i="2" s="1"/>
  <c r="J49" i="2" s="1"/>
  <c r="K12" i="2"/>
  <c r="K15" i="2" s="1"/>
  <c r="K16" i="2" s="1"/>
  <c r="L12" i="2"/>
  <c r="L15" i="2" s="1"/>
  <c r="L16" i="2" s="1"/>
  <c r="L27" i="2"/>
  <c r="L33" i="2" s="1"/>
  <c r="L35" i="2" s="1"/>
  <c r="L48" i="2" s="1"/>
  <c r="L49" i="2" s="1"/>
  <c r="J12" i="2"/>
  <c r="J15" i="2" s="1"/>
  <c r="J16" i="2" s="1"/>
  <c r="H14" i="2"/>
  <c r="H16" i="2" s="1"/>
</calcChain>
</file>

<file path=xl/sharedStrings.xml><?xml version="1.0" encoding="utf-8"?>
<sst xmlns="http://schemas.openxmlformats.org/spreadsheetml/2006/main" count="195" uniqueCount="184">
  <si>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</si>
  <si>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</si>
  <si>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</si>
  <si>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</si>
  <si>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</si>
  <si>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</si>
  <si>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</si>
  <si>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</si>
  <si>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</si>
  <si>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</si>
  <si>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</si>
  <si>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</si>
  <si>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</si>
  <si>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</si>
  <si>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</si>
  <si>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</si>
  <si>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</si>
  <si>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</si>
  <si>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</si>
  <si>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</si>
  <si>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</si>
  <si>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</si>
  <si>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</si>
  <si>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</si>
  <si>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</si>
  <si>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</si>
  <si>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</si>
  <si>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</si>
  <si>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</si>
  <si>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</si>
  <si>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</si>
  <si>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</si>
  <si>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</si>
  <si>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</si>
  <si>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</si>
  <si>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</si>
  <si>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</si>
  <si>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</si>
  <si>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</si>
  <si>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</si>
  <si>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</si>
  <si>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</si>
  <si>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</si>
  <si>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</si>
  <si>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</si>
  <si>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</si>
  <si>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</si>
  <si>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</si>
  <si>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</si>
  <si>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</si>
  <si>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</si>
  <si>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</si>
  <si>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</si>
  <si>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</si>
  <si>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</si>
  <si>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</si>
  <si>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</si>
  <si>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</si>
  <si>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</si>
  <si>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</si>
  <si>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</si>
  <si>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</si>
  <si>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</si>
  <si>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</si>
  <si>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</si>
  <si>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</si>
  <si>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</si>
  <si>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</si>
  <si>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</si>
  <si>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</si>
  <si>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</si>
  <si>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</si>
  <si>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</si>
  <si>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</si>
  <si>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</si>
  <si>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</si>
  <si>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</si>
  <si>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</si>
  <si>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Tap på utlån til kunder annualisert</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</si>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</sst>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0.0\ %"/>
  </numFmts>
  <fonts count="18"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81">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3" fillId="0" borderId="0" xfId="0" applyFont="1"/>
    <xf numFmtId="0" fontId="2" fillId="3" borderId="0" xfId="0" applyFont="1" applyFill="1" applyBorder="1" applyAlignment="1"/>
    <xf numFmtId="0" fontId="4" fillId="2" borderId="0" xfId="0" applyFont="1" applyFill="1" applyBorder="1" applyAlignment="1"/>
    <xf numFmtId="0" fontId="4" fillId="3" borderId="0" xfId="0" applyFont="1" applyFill="1" applyBorder="1" applyAlignment="1"/>
    <xf numFmtId="0" fontId="4" fillId="2" borderId="0" xfId="0" applyFont="1" applyFill="1" applyBorder="1" applyAlignment="1">
      <alignment wrapText="1"/>
    </xf>
    <xf numFmtId="0" fontId="5" fillId="0" borderId="0" xfId="0" applyNumberFormat="1" applyFont="1"/>
    <xf numFmtId="0" fontId="0" fillId="0" borderId="0" xfId="0" applyAlignment="1">
      <alignment horizontal="left" wrapText="1"/>
    </xf>
    <xf numFmtId="0" fontId="7" fillId="0" borderId="0" xfId="0" applyFont="1"/>
    <xf numFmtId="0" fontId="7" fillId="0" borderId="0" xfId="0" applyFont="1" applyAlignment="1">
      <alignment horizontal="left" vertical="center"/>
    </xf>
    <xf numFmtId="0" fontId="6" fillId="0" borderId="0" xfId="0" applyFont="1" applyFill="1" applyBorder="1" applyAlignment="1"/>
    <xf numFmtId="0" fontId="0" fillId="0" borderId="2" xfId="0" applyBorder="1"/>
    <xf numFmtId="0" fontId="0" fillId="0" borderId="0"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0" fontId="1" fillId="4" borderId="5" xfId="2" applyNumberFormat="1" applyFont="1" applyFill="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0" fontId="9" fillId="4" borderId="5" xfId="2" applyNumberFormat="1" applyFont="1" applyFill="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4" fillId="2" borderId="7" xfId="0" applyFont="1" applyFill="1" applyBorder="1" applyAlignment="1"/>
    <xf numFmtId="0" fontId="0" fillId="6" borderId="7" xfId="0" applyFont="1" applyFill="1" applyBorder="1" applyAlignment="1">
      <alignment horizontal="left" wrapText="1"/>
    </xf>
    <xf numFmtId="0" fontId="4" fillId="2" borderId="7" xfId="0" applyFont="1" applyFill="1" applyBorder="1" applyAlignment="1">
      <alignment wrapText="1"/>
    </xf>
    <xf numFmtId="0" fontId="6" fillId="0" borderId="7" xfId="0" applyFont="1" applyBorder="1" applyAlignment="1"/>
    <xf numFmtId="0" fontId="12" fillId="7" borderId="8" xfId="0" applyFont="1" applyFill="1" applyBorder="1"/>
    <xf numFmtId="0" fontId="13" fillId="0" borderId="0" xfId="3" applyFont="1"/>
    <xf numFmtId="0" fontId="13" fillId="0" borderId="0" xfId="3" applyFont="1"/>
    <xf numFmtId="0" fontId="13" fillId="0" borderId="0" xfId="3" applyFont="1"/>
    <xf numFmtId="0" fontId="13" fillId="0" borderId="0" xfId="3" applyFont="1"/>
    <xf numFmtId="0" fontId="12" fillId="0" borderId="0" xfId="0" applyFont="1" applyFill="1" applyBorder="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Font="1" applyFill="1"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0" fontId="0" fillId="0" borderId="0" xfId="0" applyAlignment="1">
      <alignment horizontal="left" wrapText="1"/>
    </xf>
    <xf numFmtId="164" fontId="0" fillId="0" borderId="0" xfId="0" applyNumberFormat="1" applyFill="1"/>
    <xf numFmtId="1" fontId="0" fillId="0" borderId="0" xfId="0" applyNumberFormat="1"/>
    <xf numFmtId="0" fontId="0" fillId="0" borderId="1" xfId="0" applyFill="1" applyBorder="1"/>
    <xf numFmtId="164" fontId="0" fillId="0" borderId="0" xfId="1" applyNumberFormat="1" applyFont="1" applyFill="1"/>
    <xf numFmtId="164" fontId="0" fillId="0" borderId="1" xfId="1" applyNumberFormat="1" applyFont="1" applyFill="1" applyBorder="1"/>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Tapsprosent"/>
      <sheetName val="Regnskapsprinsipper"/>
      <sheetName val="Estimater "/>
      <sheetName val="Segment"/>
      <sheetName val="Kapdekn"/>
      <sheetName val="innskudd_utlån"/>
      <sheetName val="drkostn_renteinntekt"/>
      <sheetName val="Tapsnoter"/>
      <sheetName val="eiendel_gjeld"/>
      <sheetName val="Verdipapir"/>
      <sheetName val="VV hierarki"/>
      <sheetName val="Motregn"/>
      <sheetName val="Likviditet"/>
      <sheetName val="13 verds. hierarki"/>
      <sheetName val="Etter balansedag"/>
      <sheetName val="EK brøk"/>
      <sheetName val="Ek bevis"/>
      <sheetName val="Utbyttepolitikk"/>
      <sheetName val="disp"/>
      <sheetName val="PM BM"/>
    </sheetNames>
    <sheetDataSet>
      <sheetData sheetId="0"/>
      <sheetData sheetId="1"/>
      <sheetData sheetId="2"/>
      <sheetData sheetId="3"/>
      <sheetData sheetId="4"/>
      <sheetData sheetId="5">
        <row r="26">
          <cell r="I26">
            <v>1828.1755349999996</v>
          </cell>
        </row>
        <row r="27">
          <cell r="I27">
            <v>33.083989582500003</v>
          </cell>
        </row>
      </sheetData>
      <sheetData sheetId="6">
        <row r="34">
          <cell r="G34">
            <v>992.50400000000002</v>
          </cell>
        </row>
        <row r="37">
          <cell r="G37">
            <v>17509.798303000003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ables/table1.xml><?xml version="1.0" encoding="utf-8"?>
<table xmlns="http://schemas.openxmlformats.org/spreadsheetml/2006/main" id="1" name="Tabell1" displayName="Tabell1" ref="A5:B17" totalsRowShown="0" dataDxfId="2">
  <autoFilter ref="A5:B17"/>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zoomScaleNormal="100" workbookViewId="0"/>
  </sheetViews>
  <sheetFormatPr baseColWidth="10" defaultRowHeight="15" x14ac:dyDescent="0.25"/>
  <cols>
    <col min="1" max="1" width="54.85546875" customWidth="1"/>
    <col min="2" max="2" width="112.140625" customWidth="1"/>
  </cols>
  <sheetData>
    <row r="1" spans="1:3" ht="18.75" x14ac:dyDescent="0.3">
      <c r="A1" s="10" t="s">
        <v>11</v>
      </c>
    </row>
    <row r="2" spans="1:3" s="2" customFormat="1" ht="54.75" customHeight="1" x14ac:dyDescent="0.25">
      <c r="A2" s="75" t="s">
        <v>18</v>
      </c>
      <c r="B2" s="75"/>
    </row>
    <row r="3" spans="1:3" ht="33" customHeight="1" x14ac:dyDescent="0.25">
      <c r="A3" s="75" t="s">
        <v>12</v>
      </c>
      <c r="B3" s="75"/>
    </row>
    <row r="4" spans="1:3" ht="33" customHeight="1" x14ac:dyDescent="0.25">
      <c r="A4" s="4"/>
      <c r="B4" s="4"/>
    </row>
    <row r="5" spans="1:3" x14ac:dyDescent="0.25">
      <c r="A5" s="3" t="s">
        <v>0</v>
      </c>
      <c r="B5" s="3" t="s">
        <v>10</v>
      </c>
    </row>
    <row r="6" spans="1:3" ht="58.5" customHeight="1" x14ac:dyDescent="0.25">
      <c r="A6" s="7" t="s">
        <v>177</v>
      </c>
      <c r="B6" s="4" t="s">
        <v>21</v>
      </c>
    </row>
    <row r="7" spans="1:3" ht="44.25" customHeight="1" x14ac:dyDescent="0.25">
      <c r="A7" s="8" t="s">
        <v>5</v>
      </c>
      <c r="B7" s="4" t="s">
        <v>19</v>
      </c>
    </row>
    <row r="8" spans="1:3" ht="42.75" customHeight="1" x14ac:dyDescent="0.25">
      <c r="A8" s="8" t="s">
        <v>6</v>
      </c>
      <c r="B8" s="4" t="s">
        <v>20</v>
      </c>
    </row>
    <row r="9" spans="1:3" ht="49.5" customHeight="1" x14ac:dyDescent="0.25">
      <c r="A9" s="8" t="s">
        <v>7</v>
      </c>
      <c r="B9" s="4" t="s">
        <v>9</v>
      </c>
    </row>
    <row r="10" spans="1:3" ht="33" customHeight="1" x14ac:dyDescent="0.25">
      <c r="A10" s="7" t="s">
        <v>58</v>
      </c>
      <c r="B10" s="4" t="s">
        <v>13</v>
      </c>
      <c r="C10" s="1"/>
    </row>
    <row r="11" spans="1:3" ht="51.75" customHeight="1" x14ac:dyDescent="0.25">
      <c r="A11" s="9" t="s">
        <v>1</v>
      </c>
      <c r="B11" s="4" t="s">
        <v>14</v>
      </c>
    </row>
    <row r="12" spans="1:3" ht="114.75" customHeight="1" x14ac:dyDescent="0.25">
      <c r="A12" s="9" t="s">
        <v>2</v>
      </c>
      <c r="B12" s="4" t="s">
        <v>15</v>
      </c>
    </row>
    <row r="13" spans="1:3" x14ac:dyDescent="0.25">
      <c r="A13" s="14" t="s">
        <v>3</v>
      </c>
      <c r="B13" s="11"/>
    </row>
    <row r="14" spans="1:3" ht="58.5" customHeight="1" x14ac:dyDescent="0.25">
      <c r="A14" s="7" t="s">
        <v>4</v>
      </c>
      <c r="B14" s="4" t="s">
        <v>16</v>
      </c>
    </row>
    <row r="15" spans="1:3" ht="41.25" customHeight="1" x14ac:dyDescent="0.25">
      <c r="A15" s="7" t="s">
        <v>178</v>
      </c>
      <c r="B15" s="4" t="s">
        <v>8</v>
      </c>
    </row>
    <row r="16" spans="1:3" ht="48" customHeight="1" x14ac:dyDescent="0.25">
      <c r="A16" s="7" t="s">
        <v>179</v>
      </c>
      <c r="B16" s="4" t="s">
        <v>17</v>
      </c>
    </row>
    <row r="17" spans="1:1" ht="6" hidden="1" customHeight="1" x14ac:dyDescent="0.25">
      <c r="A17" s="7"/>
    </row>
    <row r="18" spans="1:1" x14ac:dyDescent="0.25">
      <c r="A18" s="6"/>
    </row>
    <row r="19" spans="1:1" x14ac:dyDescent="0.25">
      <c r="A19" s="5"/>
    </row>
    <row r="20" spans="1:1" x14ac:dyDescent="0.25">
      <c r="A20" s="12"/>
    </row>
    <row r="21" spans="1:1" x14ac:dyDescent="0.25">
      <c r="A21" s="12"/>
    </row>
    <row r="22" spans="1:1" x14ac:dyDescent="0.25">
      <c r="A22" s="13"/>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workbookViewId="0">
      <pane xSplit="1" ySplit="1" topLeftCell="B2" activePane="bottomRight" state="frozen"/>
      <selection pane="topRight" activeCell="B1" sqref="B1"/>
      <selection pane="bottomLeft" activeCell="A2" sqref="A2"/>
      <selection pane="bottomRight" activeCell="S4" sqref="D4:S6"/>
    </sheetView>
  </sheetViews>
  <sheetFormatPr baseColWidth="10" defaultRowHeight="15" x14ac:dyDescent="0.25"/>
  <cols>
    <col min="1" max="1" width="58.7109375" customWidth="1"/>
    <col min="2" max="2" width="16.140625" customWidth="1"/>
    <col min="3" max="3" width="15" customWidth="1"/>
    <col min="4" max="4" width="14.5703125" customWidth="1"/>
    <col min="5" max="5" width="12.42578125" customWidth="1"/>
    <col min="6" max="6" width="14" customWidth="1"/>
    <col min="7" max="7" width="12.85546875" customWidth="1"/>
    <col min="8" max="10" width="15" customWidth="1"/>
    <col min="11" max="11" width="16.140625" customWidth="1"/>
    <col min="12" max="12" width="17.85546875" bestFit="1" customWidth="1"/>
    <col min="13" max="13" width="13" customWidth="1"/>
    <col min="14" max="14" width="17.85546875" bestFit="1" customWidth="1"/>
    <col min="15" max="15" width="13.7109375" customWidth="1"/>
    <col min="16" max="16" width="14.28515625" customWidth="1"/>
    <col min="17" max="17" width="13.42578125" customWidth="1"/>
    <col min="18" max="18" width="13.7109375" customWidth="1"/>
    <col min="19" max="19" width="14" customWidth="1"/>
  </cols>
  <sheetData>
    <row r="1" spans="1:20" s="42" customFormat="1" x14ac:dyDescent="0.25">
      <c r="A1" s="42" t="s">
        <v>29</v>
      </c>
      <c r="B1" s="43">
        <v>43100</v>
      </c>
      <c r="C1" s="44" t="s">
        <v>32</v>
      </c>
      <c r="D1" s="43">
        <v>43008</v>
      </c>
      <c r="E1" s="44" t="s">
        <v>33</v>
      </c>
      <c r="F1" s="43">
        <v>42916</v>
      </c>
      <c r="G1" s="44" t="s">
        <v>34</v>
      </c>
      <c r="H1" s="43">
        <v>42825</v>
      </c>
      <c r="I1" s="44" t="s">
        <v>35</v>
      </c>
      <c r="J1" s="43">
        <v>42735</v>
      </c>
      <c r="K1" s="44" t="s">
        <v>36</v>
      </c>
      <c r="L1" s="43">
        <v>42643</v>
      </c>
      <c r="M1" s="44" t="s">
        <v>37</v>
      </c>
      <c r="N1" s="43">
        <v>42551</v>
      </c>
      <c r="O1" s="44" t="s">
        <v>38</v>
      </c>
      <c r="P1" s="43">
        <v>42460</v>
      </c>
      <c r="Q1" s="44" t="s">
        <v>39</v>
      </c>
      <c r="R1" s="43">
        <v>42369</v>
      </c>
      <c r="S1" s="42" t="s">
        <v>55</v>
      </c>
    </row>
    <row r="3" spans="1:20" x14ac:dyDescent="0.25">
      <c r="A3" s="15"/>
      <c r="B3" s="16"/>
      <c r="C3" s="16"/>
      <c r="D3" s="16"/>
      <c r="E3" s="16"/>
      <c r="F3" s="16"/>
      <c r="G3" s="16"/>
      <c r="H3" s="16"/>
      <c r="I3" s="16"/>
      <c r="J3" s="16"/>
      <c r="K3" s="16"/>
      <c r="L3" s="16"/>
      <c r="M3" s="16"/>
      <c r="N3" s="16"/>
      <c r="O3" s="16"/>
      <c r="P3" s="16"/>
      <c r="Q3" s="16"/>
    </row>
    <row r="4" spans="1:20" x14ac:dyDescent="0.25">
      <c r="A4" s="15" t="s">
        <v>22</v>
      </c>
      <c r="B4" s="20">
        <f>[1]Res!$I$26</f>
        <v>1828.1755349999996</v>
      </c>
      <c r="C4" s="20">
        <v>552.96782299999995</v>
      </c>
      <c r="D4" s="24">
        <v>1275.4393257525001</v>
      </c>
      <c r="E4" s="24">
        <v>499.51647091749982</v>
      </c>
      <c r="F4" s="24">
        <v>775.88704233500005</v>
      </c>
      <c r="G4" s="24">
        <v>409.11490300000003</v>
      </c>
      <c r="H4" s="24">
        <v>366.72430600000001</v>
      </c>
      <c r="I4" s="24">
        <v>366.57633725499977</v>
      </c>
      <c r="J4" s="24">
        <v>1680.9976879899996</v>
      </c>
      <c r="K4" s="24">
        <v>470.48943324250013</v>
      </c>
      <c r="L4" s="24">
        <v>1210.4704714974994</v>
      </c>
      <c r="M4" s="24">
        <v>422.4114718350001</v>
      </c>
      <c r="N4" s="24">
        <v>788.05900066250047</v>
      </c>
      <c r="O4" s="24">
        <v>468.42951891500007</v>
      </c>
      <c r="P4" s="24">
        <v>319.62948174750005</v>
      </c>
      <c r="Q4" s="24">
        <v>319.62948174750005</v>
      </c>
      <c r="R4" s="79">
        <v>1454.0306119000004</v>
      </c>
      <c r="S4" s="23">
        <v>296.0728165000001</v>
      </c>
    </row>
    <row r="5" spans="1:20" x14ac:dyDescent="0.25">
      <c r="A5" s="17" t="s">
        <v>23</v>
      </c>
      <c r="B5" s="21">
        <f>[1]Res!$I$27</f>
        <v>33.083989582500003</v>
      </c>
      <c r="C5" s="21">
        <f>8021770.83/1000000</f>
        <v>8.0217708299999995</v>
      </c>
      <c r="D5" s="25">
        <v>25.062218752500002</v>
      </c>
      <c r="E5" s="25">
        <f>8226010.4175/1000000</f>
        <v>8.2260104175000013</v>
      </c>
      <c r="F5" s="25">
        <v>16.836208334999998</v>
      </c>
      <c r="G5" s="25">
        <f>8291458.335/1000000</f>
        <v>8.2914583349999997</v>
      </c>
      <c r="H5" s="25">
        <v>8.5447500000000005</v>
      </c>
      <c r="I5" s="25">
        <f>8544750/1000000</f>
        <v>8.5447500000000005</v>
      </c>
      <c r="J5" s="25">
        <v>33.920749995000001</v>
      </c>
      <c r="K5" s="25">
        <f>8494281.2475/1000000</f>
        <v>8.4942812475</v>
      </c>
      <c r="L5" s="25">
        <v>25.417937497499999</v>
      </c>
      <c r="M5" s="21">
        <v>8.3857708350000006</v>
      </c>
      <c r="N5" s="21">
        <v>17.0321666625</v>
      </c>
      <c r="O5" s="21">
        <v>8.4525729149999993</v>
      </c>
      <c r="P5" s="21">
        <v>8.5795937475000006</v>
      </c>
      <c r="Q5" s="21">
        <v>8.5795937475000006</v>
      </c>
      <c r="R5" s="80">
        <v>36.080729175000002</v>
      </c>
      <c r="S5" s="21">
        <v>8.8693124999999995</v>
      </c>
    </row>
    <row r="6" spans="1:20" x14ac:dyDescent="0.25">
      <c r="A6" s="15" t="s">
        <v>24</v>
      </c>
      <c r="B6" s="20">
        <f>B4-B5</f>
        <v>1795.0915454174997</v>
      </c>
      <c r="C6" s="20">
        <f>C4-C5</f>
        <v>544.94605216999992</v>
      </c>
      <c r="D6" s="24">
        <f>D4-D5</f>
        <v>1250.377107</v>
      </c>
      <c r="E6" s="24">
        <f>E4-E5</f>
        <v>491.29046049999982</v>
      </c>
      <c r="F6" s="24">
        <f>F4-F5</f>
        <v>759.05083400000001</v>
      </c>
      <c r="G6" s="24">
        <f>G4-G5</f>
        <v>400.82344466500001</v>
      </c>
      <c r="H6" s="24">
        <f>H4-H5</f>
        <v>358.17955599999999</v>
      </c>
      <c r="I6" s="24">
        <f>I4-I5</f>
        <v>358.03158725499975</v>
      </c>
      <c r="J6" s="24">
        <f>J4-J5</f>
        <v>1647.0769379949995</v>
      </c>
      <c r="K6" s="24">
        <f>K4-K5</f>
        <v>461.99515199500013</v>
      </c>
      <c r="L6" s="24">
        <f t="shared" ref="L6:R6" si="0">L4-L5</f>
        <v>1185.0525339999995</v>
      </c>
      <c r="M6" s="24">
        <f t="shared" si="0"/>
        <v>414.02570100000008</v>
      </c>
      <c r="N6" s="24">
        <f t="shared" si="0"/>
        <v>771.02683400000046</v>
      </c>
      <c r="O6" s="24">
        <f t="shared" si="0"/>
        <v>459.97694600000005</v>
      </c>
      <c r="P6" s="24">
        <f t="shared" si="0"/>
        <v>311.04988800000007</v>
      </c>
      <c r="Q6" s="24">
        <f t="shared" si="0"/>
        <v>311.04988800000007</v>
      </c>
      <c r="R6" s="24">
        <f t="shared" si="0"/>
        <v>1417.9498827250004</v>
      </c>
      <c r="S6" s="23">
        <f>S4-S5</f>
        <v>287.20350400000012</v>
      </c>
    </row>
    <row r="7" spans="1:20" x14ac:dyDescent="0.25">
      <c r="A7" s="15"/>
      <c r="B7" s="20"/>
      <c r="C7" s="20"/>
      <c r="D7" s="24"/>
      <c r="E7" s="24"/>
      <c r="F7" s="24"/>
      <c r="G7" s="24"/>
      <c r="H7" s="24"/>
      <c r="I7" s="24"/>
      <c r="J7" s="24"/>
      <c r="K7" s="24"/>
      <c r="L7" s="24"/>
      <c r="M7" s="20"/>
      <c r="N7" s="20"/>
      <c r="O7" s="20"/>
      <c r="P7" s="20"/>
      <c r="Q7" s="20"/>
      <c r="R7" s="23"/>
      <c r="S7" s="23"/>
    </row>
    <row r="8" spans="1:20" x14ac:dyDescent="0.25">
      <c r="A8" s="15" t="s">
        <v>25</v>
      </c>
      <c r="B8" s="20">
        <f>[1]Bal!$G$37</f>
        <v>17509.798303000003</v>
      </c>
      <c r="C8" s="20">
        <v>17509.798303000003</v>
      </c>
      <c r="D8" s="24">
        <v>16967.908790752499</v>
      </c>
      <c r="E8" s="24">
        <v>16951.072582417499</v>
      </c>
      <c r="F8" s="24">
        <v>16482.052351450398</v>
      </c>
      <c r="G8" s="24">
        <v>16473.507601450401</v>
      </c>
      <c r="H8" s="24">
        <v>16006.741612000002</v>
      </c>
      <c r="I8" s="24">
        <v>16006.741612000002</v>
      </c>
      <c r="J8" s="24">
        <v>16249.298683999999</v>
      </c>
      <c r="K8" s="24">
        <v>16249.298683999999</v>
      </c>
      <c r="L8" s="24">
        <v>15868.606189497499</v>
      </c>
      <c r="M8" s="20">
        <v>15851.574022835001</v>
      </c>
      <c r="N8" s="20">
        <v>15426.777326662501</v>
      </c>
      <c r="O8" s="20">
        <v>15418.197732915</v>
      </c>
      <c r="P8" s="20">
        <v>15009.085067747499</v>
      </c>
      <c r="Q8" s="20">
        <v>15009.085067747499</v>
      </c>
      <c r="R8" s="20">
        <v>14853.613821999999</v>
      </c>
      <c r="S8" s="20">
        <v>14853.613821999999</v>
      </c>
    </row>
    <row r="9" spans="1:20" x14ac:dyDescent="0.25">
      <c r="A9" s="17" t="s">
        <v>26</v>
      </c>
      <c r="B9" s="21">
        <f>[1]Bal!$G$34</f>
        <v>992.50400000000002</v>
      </c>
      <c r="C9" s="21">
        <v>992.50400000000002</v>
      </c>
      <c r="D9" s="25">
        <f>950+D5</f>
        <v>975.06221875250003</v>
      </c>
      <c r="E9" s="25">
        <f t="shared" ref="E9:I9" si="1">950+E5</f>
        <v>958.22601041749999</v>
      </c>
      <c r="F9" s="25">
        <f t="shared" si="1"/>
        <v>966.83620833500004</v>
      </c>
      <c r="G9" s="25">
        <f t="shared" si="1"/>
        <v>958.29145833500002</v>
      </c>
      <c r="H9" s="25">
        <f t="shared" si="1"/>
        <v>958.54475000000002</v>
      </c>
      <c r="I9" s="25">
        <f t="shared" si="1"/>
        <v>958.54475000000002</v>
      </c>
      <c r="J9" s="25">
        <v>950</v>
      </c>
      <c r="K9" s="25">
        <v>950</v>
      </c>
      <c r="L9" s="25">
        <f t="shared" ref="L9:R9" si="2">950+L5</f>
        <v>975.41793749750002</v>
      </c>
      <c r="M9" s="25">
        <f t="shared" si="2"/>
        <v>958.38577083500002</v>
      </c>
      <c r="N9" s="25">
        <f t="shared" si="2"/>
        <v>967.0321666625</v>
      </c>
      <c r="O9" s="25">
        <f t="shared" si="2"/>
        <v>958.45257291500002</v>
      </c>
      <c r="P9" s="25">
        <f t="shared" si="2"/>
        <v>958.57959374749998</v>
      </c>
      <c r="Q9" s="25">
        <f t="shared" si="2"/>
        <v>958.57959374749998</v>
      </c>
      <c r="R9" s="25">
        <f t="shared" si="2"/>
        <v>986.08072917499999</v>
      </c>
      <c r="S9" s="25">
        <f t="shared" ref="S9" si="3">950+S5</f>
        <v>958.86931249999998</v>
      </c>
    </row>
    <row r="10" spans="1:20" x14ac:dyDescent="0.25">
      <c r="A10" s="15" t="s">
        <v>27</v>
      </c>
      <c r="B10" s="20">
        <f t="shared" ref="B10:I10" si="4">B8-B9</f>
        <v>16517.294303000002</v>
      </c>
      <c r="C10" s="20">
        <f t="shared" si="4"/>
        <v>16517.294303000002</v>
      </c>
      <c r="D10" s="24">
        <f t="shared" si="4"/>
        <v>15992.846571999999</v>
      </c>
      <c r="E10" s="24">
        <f t="shared" si="4"/>
        <v>15992.846571999999</v>
      </c>
      <c r="F10" s="24">
        <f t="shared" si="4"/>
        <v>15515.216143115398</v>
      </c>
      <c r="G10" s="24">
        <f t="shared" si="4"/>
        <v>15515.216143115402</v>
      </c>
      <c r="H10" s="24">
        <f t="shared" si="4"/>
        <v>15048.196862000001</v>
      </c>
      <c r="I10" s="24">
        <f t="shared" si="4"/>
        <v>15048.196862000001</v>
      </c>
      <c r="J10" s="24">
        <f t="shared" ref="J10:K10" si="5">J8-J9</f>
        <v>15299.298683999999</v>
      </c>
      <c r="K10" s="24">
        <f t="shared" si="5"/>
        <v>15299.298683999999</v>
      </c>
      <c r="L10" s="24">
        <f t="shared" ref="L10:S10" si="6">L8-L9</f>
        <v>14893.188252</v>
      </c>
      <c r="M10" s="20">
        <f t="shared" si="6"/>
        <v>14893.188252</v>
      </c>
      <c r="N10" s="20">
        <f t="shared" si="6"/>
        <v>14459.74516</v>
      </c>
      <c r="O10" s="20">
        <f t="shared" si="6"/>
        <v>14459.745159999999</v>
      </c>
      <c r="P10" s="20">
        <f t="shared" si="6"/>
        <v>14050.505474</v>
      </c>
      <c r="Q10" s="20">
        <f t="shared" si="6"/>
        <v>14050.505474</v>
      </c>
      <c r="R10" s="20">
        <f t="shared" si="6"/>
        <v>13867.533092824999</v>
      </c>
      <c r="S10" s="20">
        <f t="shared" si="6"/>
        <v>13894.7445095</v>
      </c>
    </row>
    <row r="11" spans="1:20" x14ac:dyDescent="0.25">
      <c r="A11" s="15"/>
      <c r="B11" s="20"/>
      <c r="C11" s="20"/>
      <c r="D11" s="24"/>
      <c r="E11" s="24"/>
      <c r="F11" s="24"/>
      <c r="G11" s="24"/>
      <c r="H11" s="24"/>
      <c r="I11" s="24"/>
      <c r="J11" s="24"/>
      <c r="K11" s="24"/>
      <c r="L11" s="24"/>
      <c r="M11" s="20"/>
      <c r="N11" s="20"/>
      <c r="O11" s="20"/>
      <c r="P11" s="20"/>
      <c r="Q11" s="20"/>
      <c r="R11" s="23"/>
      <c r="S11" s="23"/>
    </row>
    <row r="12" spans="1:20" x14ac:dyDescent="0.25">
      <c r="A12" s="15" t="s">
        <v>30</v>
      </c>
      <c r="B12" s="20">
        <f>(B10+D10+F10+H10+J10)/5</f>
        <v>15674.57051282308</v>
      </c>
      <c r="C12" s="20">
        <f>(C10+D10)/2</f>
        <v>16255.0704375</v>
      </c>
      <c r="D12" s="24">
        <f>(D10+F10+H10+J10)/4</f>
        <v>15463.889565278851</v>
      </c>
      <c r="E12" s="24">
        <f>(E10+F10)/2</f>
        <v>15754.031357557698</v>
      </c>
      <c r="F12" s="24">
        <f>(F10+H10+J10)/3</f>
        <v>15287.570563038467</v>
      </c>
      <c r="G12" s="24">
        <f>(G10+H10)/2</f>
        <v>15281.706502557701</v>
      </c>
      <c r="H12" s="24">
        <f>(H10+J10)/2</f>
        <v>15173.747772999999</v>
      </c>
      <c r="I12" s="24">
        <f>(I10+J10)/2</f>
        <v>15173.747772999999</v>
      </c>
      <c r="J12" s="24">
        <f>(J10+L10+N10+P10+R10)/5</f>
        <v>14514.054132565001</v>
      </c>
      <c r="K12" s="24">
        <f>(K10+L10)/2</f>
        <v>15096.243468000001</v>
      </c>
      <c r="L12" s="24">
        <f>(L10+N10+P10+R10)/4</f>
        <v>14317.742994706248</v>
      </c>
      <c r="M12" s="24">
        <f>(M10+N10)/2</f>
        <v>14676.466705999999</v>
      </c>
      <c r="N12" s="20">
        <f>(N10+P10+R10)/3</f>
        <v>14125.927908941667</v>
      </c>
      <c r="O12" s="24">
        <f>(O10+P10)/2</f>
        <v>14255.125316999998</v>
      </c>
      <c r="P12" s="20">
        <f>(P10+R10)/2</f>
        <v>13959.019283412499</v>
      </c>
      <c r="Q12" s="24">
        <f>(Q10+R10)/2</f>
        <v>13959.019283412499</v>
      </c>
      <c r="R12" s="23">
        <v>13119.126429</v>
      </c>
      <c r="S12" s="23">
        <v>13679.268631000001</v>
      </c>
    </row>
    <row r="13" spans="1:20" x14ac:dyDescent="0.25">
      <c r="A13" s="15"/>
      <c r="B13" s="20"/>
      <c r="C13" s="20"/>
      <c r="D13" s="24"/>
      <c r="E13" s="24"/>
      <c r="F13" s="24"/>
      <c r="G13" s="24"/>
      <c r="H13" s="24"/>
      <c r="I13" s="24"/>
      <c r="J13" s="24"/>
      <c r="K13" s="24"/>
      <c r="L13" s="24"/>
      <c r="M13" s="20"/>
      <c r="N13" s="20"/>
      <c r="O13" s="20"/>
      <c r="P13" s="20"/>
      <c r="Q13" s="20"/>
      <c r="R13" s="23"/>
      <c r="S13" s="23"/>
    </row>
    <row r="14" spans="1:20" x14ac:dyDescent="0.25">
      <c r="A14" s="15" t="s">
        <v>40</v>
      </c>
      <c r="B14" s="20">
        <f>B6</f>
        <v>1795.0915454174997</v>
      </c>
      <c r="C14" s="20">
        <f>C6*4</f>
        <v>2179.7842086799997</v>
      </c>
      <c r="D14" s="24">
        <f>D6/3*4</f>
        <v>1667.169476</v>
      </c>
      <c r="E14" s="24">
        <f>E6*4</f>
        <v>1965.1618419999993</v>
      </c>
      <c r="F14" s="24">
        <f>F6/2*4</f>
        <v>1518.101668</v>
      </c>
      <c r="G14" s="24">
        <f>G6*4</f>
        <v>1603.29377866</v>
      </c>
      <c r="H14" s="24">
        <f>H6*4</f>
        <v>1432.718224</v>
      </c>
      <c r="I14" s="24">
        <f>I6*4</f>
        <v>1432.126349019999</v>
      </c>
      <c r="J14" s="24">
        <f>J6</f>
        <v>1647.0769379949995</v>
      </c>
      <c r="K14" s="24">
        <f>K6*4</f>
        <v>1847.9806079800005</v>
      </c>
      <c r="L14" s="24">
        <f>L6/3*4</f>
        <v>1580.0700453333327</v>
      </c>
      <c r="M14" s="24">
        <f>M6*4</f>
        <v>1656.1028040000003</v>
      </c>
      <c r="N14" s="24">
        <f>N6/2*4</f>
        <v>1542.0536680000009</v>
      </c>
      <c r="O14" s="24">
        <f>O6*4</f>
        <v>1839.9077840000002</v>
      </c>
      <c r="P14" s="24">
        <f>P6*4</f>
        <v>1244.1995520000003</v>
      </c>
      <c r="Q14" s="24">
        <f>Q6*4</f>
        <v>1244.1995520000003</v>
      </c>
      <c r="R14" s="24">
        <f>R6</f>
        <v>1417.9498827250004</v>
      </c>
      <c r="S14" s="24">
        <f>S6*4</f>
        <v>1148.8140160000005</v>
      </c>
    </row>
    <row r="15" spans="1:20" x14ac:dyDescent="0.25">
      <c r="A15" s="17" t="s">
        <v>31</v>
      </c>
      <c r="B15" s="21">
        <f t="shared" ref="B15:R15" si="7">B12</f>
        <v>15674.57051282308</v>
      </c>
      <c r="C15" s="21">
        <f t="shared" si="7"/>
        <v>16255.0704375</v>
      </c>
      <c r="D15" s="25">
        <f t="shared" si="7"/>
        <v>15463.889565278851</v>
      </c>
      <c r="E15" s="25">
        <f t="shared" si="7"/>
        <v>15754.031357557698</v>
      </c>
      <c r="F15" s="25">
        <f t="shared" si="7"/>
        <v>15287.570563038467</v>
      </c>
      <c r="G15" s="25">
        <f t="shared" si="7"/>
        <v>15281.706502557701</v>
      </c>
      <c r="H15" s="25">
        <f t="shared" si="7"/>
        <v>15173.747772999999</v>
      </c>
      <c r="I15" s="25">
        <f t="shared" si="7"/>
        <v>15173.747772999999</v>
      </c>
      <c r="J15" s="25">
        <f t="shared" si="7"/>
        <v>14514.054132565001</v>
      </c>
      <c r="K15" s="25">
        <f t="shared" si="7"/>
        <v>15096.243468000001</v>
      </c>
      <c r="L15" s="25">
        <f t="shared" si="7"/>
        <v>14317.742994706248</v>
      </c>
      <c r="M15" s="25">
        <f t="shared" si="7"/>
        <v>14676.466705999999</v>
      </c>
      <c r="N15" s="25">
        <f t="shared" si="7"/>
        <v>14125.927908941667</v>
      </c>
      <c r="O15" s="25">
        <f t="shared" si="7"/>
        <v>14255.125316999998</v>
      </c>
      <c r="P15" s="25">
        <f t="shared" si="7"/>
        <v>13959.019283412499</v>
      </c>
      <c r="Q15" s="25">
        <f t="shared" si="7"/>
        <v>13959.019283412499</v>
      </c>
      <c r="R15" s="25">
        <f t="shared" si="7"/>
        <v>13119.126429</v>
      </c>
      <c r="S15" s="25">
        <f t="shared" ref="S15" si="8">S12</f>
        <v>13679.268631000001</v>
      </c>
    </row>
    <row r="16" spans="1:20" ht="15.75" thickBot="1" x14ac:dyDescent="0.3">
      <c r="A16" s="19" t="s">
        <v>28</v>
      </c>
      <c r="B16" s="72">
        <f>B14/B15</f>
        <v>0.11452253469713687</v>
      </c>
      <c r="C16" s="72">
        <f t="shared" ref="C16:R16" si="9">C14/C15</f>
        <v>0.13409872427567571</v>
      </c>
      <c r="D16" s="73">
        <f t="shared" si="9"/>
        <v>0.10781048771476641</v>
      </c>
      <c r="E16" s="73">
        <f t="shared" si="9"/>
        <v>0.12474025202807852</v>
      </c>
      <c r="F16" s="73">
        <f t="shared" si="9"/>
        <v>9.9303003164570261E-2</v>
      </c>
      <c r="G16" s="73">
        <f t="shared" si="9"/>
        <v>0.10491588608848472</v>
      </c>
      <c r="H16" s="73">
        <f t="shared" si="9"/>
        <v>9.442085405883463E-2</v>
      </c>
      <c r="I16" s="73">
        <f t="shared" si="9"/>
        <v>9.4381847546478201E-2</v>
      </c>
      <c r="J16" s="73">
        <f t="shared" si="9"/>
        <v>0.11348152094179349</v>
      </c>
      <c r="K16" s="73">
        <f t="shared" si="9"/>
        <v>0.12241327532224988</v>
      </c>
      <c r="L16" s="73">
        <f t="shared" si="9"/>
        <v>0.11035748063906006</v>
      </c>
      <c r="M16" s="73">
        <f t="shared" si="9"/>
        <v>0.11284070186477214</v>
      </c>
      <c r="N16" s="73">
        <f t="shared" si="9"/>
        <v>0.10916476977231959</v>
      </c>
      <c r="O16" s="73">
        <f t="shared" si="9"/>
        <v>0.12906991296707943</v>
      </c>
      <c r="P16" s="73">
        <f t="shared" si="9"/>
        <v>8.9132304120998124E-2</v>
      </c>
      <c r="Q16" s="73">
        <f t="shared" si="9"/>
        <v>8.9132304120998124E-2</v>
      </c>
      <c r="R16" s="73">
        <f t="shared" si="9"/>
        <v>0.10808264486197829</v>
      </c>
      <c r="S16" s="73">
        <f t="shared" ref="S16" si="10">S14/S15</f>
        <v>8.3982122655048577E-2</v>
      </c>
      <c r="T16" s="74"/>
    </row>
    <row r="17" spans="1:19" x14ac:dyDescent="0.25">
      <c r="B17" s="40"/>
      <c r="C17" s="40"/>
      <c r="D17" s="40"/>
      <c r="E17" s="40"/>
      <c r="F17" s="40"/>
      <c r="G17" s="40"/>
      <c r="H17" s="40"/>
      <c r="I17" s="40"/>
      <c r="J17" s="40"/>
      <c r="K17" s="40"/>
      <c r="L17" s="40"/>
      <c r="M17" s="40"/>
      <c r="N17" s="40"/>
      <c r="O17" s="40"/>
      <c r="P17" s="40"/>
      <c r="Q17" s="40"/>
      <c r="R17" s="40"/>
    </row>
    <row r="19" spans="1:19" x14ac:dyDescent="0.25">
      <c r="A19" t="s">
        <v>44</v>
      </c>
      <c r="B19" s="31">
        <v>0.63949999999999996</v>
      </c>
      <c r="C19" s="31"/>
      <c r="D19" s="31">
        <v>0.63949999999999996</v>
      </c>
      <c r="E19" s="31"/>
      <c r="F19" s="31">
        <v>0.63949999999999996</v>
      </c>
      <c r="G19" s="31"/>
      <c r="H19" s="31">
        <v>0.63949999999999996</v>
      </c>
      <c r="I19" s="31"/>
      <c r="J19" s="31">
        <v>0.63949999999999996</v>
      </c>
      <c r="K19" s="31"/>
      <c r="L19" s="28">
        <v>0.63956838636193558</v>
      </c>
      <c r="N19" s="28">
        <v>0.63956838636193558</v>
      </c>
      <c r="P19" s="28">
        <v>0.63956838636193558</v>
      </c>
      <c r="R19" s="28">
        <v>0.63956452367169381</v>
      </c>
    </row>
    <row r="20" spans="1:19" x14ac:dyDescent="0.25">
      <c r="A20" t="s">
        <v>47</v>
      </c>
      <c r="B20" s="23">
        <v>126.145752</v>
      </c>
      <c r="C20" s="23"/>
      <c r="D20" s="23">
        <v>139.03655800000001</v>
      </c>
      <c r="E20" s="23"/>
      <c r="F20" s="23">
        <v>139.03655800000001</v>
      </c>
      <c r="G20" s="23"/>
      <c r="H20" s="23">
        <v>139.03655800000001</v>
      </c>
      <c r="I20" s="23"/>
      <c r="J20" s="23">
        <v>139.03655800000001</v>
      </c>
      <c r="K20" s="23"/>
      <c r="L20" s="23">
        <v>232.549859</v>
      </c>
      <c r="M20" s="23"/>
      <c r="N20" s="23">
        <v>232.549859</v>
      </c>
      <c r="O20" s="23"/>
      <c r="P20" s="23">
        <v>289.83471900000001</v>
      </c>
      <c r="Q20" s="23"/>
      <c r="R20" s="23">
        <v>289.83471900000001</v>
      </c>
    </row>
    <row r="21" spans="1:19" x14ac:dyDescent="0.25">
      <c r="A21" t="s">
        <v>46</v>
      </c>
      <c r="B21" s="23">
        <v>1546.6467709999997</v>
      </c>
      <c r="C21" s="23"/>
      <c r="D21" s="23">
        <f>1891.111873+3.651389</f>
        <v>1894.7632620000002</v>
      </c>
      <c r="E21" s="23"/>
      <c r="F21" s="23">
        <f>3.699139+1901.636422</f>
        <v>1905.3355610000001</v>
      </c>
      <c r="G21" s="23"/>
      <c r="H21" s="23">
        <f>3.762917+1921.46862452958</f>
        <v>1925.23154152958</v>
      </c>
      <c r="I21" s="23"/>
      <c r="J21" s="23">
        <v>1656.3721639999999</v>
      </c>
      <c r="K21" s="23"/>
      <c r="L21" s="23">
        <f>3.842917+1678.69830042076</f>
        <v>1682.5412174207599</v>
      </c>
      <c r="M21" s="23"/>
      <c r="N21" s="23">
        <f>3.685028+1680.74499610025</f>
        <v>1684.4300241002502</v>
      </c>
      <c r="O21" s="23"/>
      <c r="P21" s="23">
        <f>3.793069+1705.13252024665</f>
        <v>1708.9255892466501</v>
      </c>
      <c r="Q21" s="23"/>
      <c r="R21" s="23">
        <v>1597.0129869999998</v>
      </c>
    </row>
    <row r="22" spans="1:19" x14ac:dyDescent="0.25">
      <c r="A22" s="49" t="s">
        <v>66</v>
      </c>
      <c r="B22" s="23">
        <f t="shared" ref="B22:K22" si="11">129836443-B23-B24</f>
        <v>129379137</v>
      </c>
      <c r="C22" s="23">
        <f t="shared" si="11"/>
        <v>129379137</v>
      </c>
      <c r="D22" s="23">
        <f t="shared" si="11"/>
        <v>129402711</v>
      </c>
      <c r="E22" s="23">
        <f t="shared" si="11"/>
        <v>129402711</v>
      </c>
      <c r="F22" s="23">
        <f t="shared" si="11"/>
        <v>129536890</v>
      </c>
      <c r="G22" s="23">
        <f t="shared" si="11"/>
        <v>129536890</v>
      </c>
      <c r="H22" s="23">
        <f t="shared" si="11"/>
        <v>129483846</v>
      </c>
      <c r="I22" s="23">
        <f t="shared" si="11"/>
        <v>129483846</v>
      </c>
      <c r="J22" s="23">
        <f t="shared" si="11"/>
        <v>129636564</v>
      </c>
      <c r="K22" s="23">
        <f t="shared" si="11"/>
        <v>129636564</v>
      </c>
      <c r="L22" s="23">
        <f>129836443-L23-L24</f>
        <v>129661718</v>
      </c>
      <c r="M22" s="23">
        <f>129836443-M23-M24</f>
        <v>129661718</v>
      </c>
      <c r="N22" s="23">
        <f>129836443-N23-N24</f>
        <v>129466693</v>
      </c>
      <c r="O22" s="23">
        <f>129836443-O23-O24</f>
        <v>129466693</v>
      </c>
      <c r="P22" s="23">
        <f>129836443-P23-P24</f>
        <v>129470619</v>
      </c>
      <c r="Q22" s="23">
        <f>129836443-Q23-Q24</f>
        <v>129470619</v>
      </c>
      <c r="R22" s="23">
        <f>129836443-R23-R24</f>
        <v>129432210</v>
      </c>
      <c r="S22" s="23">
        <f>129836443-S23-S24</f>
        <v>129432210</v>
      </c>
    </row>
    <row r="23" spans="1:19" x14ac:dyDescent="0.25">
      <c r="A23" t="s">
        <v>168</v>
      </c>
      <c r="B23" s="23">
        <v>1995</v>
      </c>
      <c r="C23" s="23">
        <v>1995</v>
      </c>
      <c r="D23" s="23">
        <v>2820</v>
      </c>
      <c r="E23" s="23">
        <v>2820</v>
      </c>
      <c r="F23" s="23">
        <v>2820</v>
      </c>
      <c r="G23" s="23">
        <v>2820</v>
      </c>
      <c r="H23" s="23">
        <v>2737</v>
      </c>
      <c r="I23" s="23">
        <v>2737</v>
      </c>
      <c r="J23" s="23">
        <v>4240</v>
      </c>
      <c r="K23" s="23">
        <v>4240</v>
      </c>
      <c r="L23" s="23">
        <v>4240</v>
      </c>
      <c r="M23" s="23">
        <v>4240</v>
      </c>
      <c r="N23" s="23">
        <v>4240</v>
      </c>
      <c r="O23" s="23">
        <v>4240</v>
      </c>
      <c r="P23" s="23">
        <v>4061</v>
      </c>
      <c r="Q23" s="23">
        <v>4061</v>
      </c>
      <c r="R23" s="23">
        <v>6431</v>
      </c>
      <c r="S23" s="23">
        <v>6431</v>
      </c>
    </row>
    <row r="24" spans="1:19" x14ac:dyDescent="0.25">
      <c r="A24" t="s">
        <v>167</v>
      </c>
      <c r="B24" s="23">
        <v>455311</v>
      </c>
      <c r="C24" s="23">
        <v>455311</v>
      </c>
      <c r="D24" s="23">
        <v>430912</v>
      </c>
      <c r="E24" s="23">
        <v>430912</v>
      </c>
      <c r="F24" s="23">
        <v>296733</v>
      </c>
      <c r="G24" s="23">
        <v>296733</v>
      </c>
      <c r="H24" s="23">
        <v>349860</v>
      </c>
      <c r="I24" s="23">
        <v>349860</v>
      </c>
      <c r="J24" s="23">
        <v>195639</v>
      </c>
      <c r="K24" s="23">
        <v>195639</v>
      </c>
      <c r="L24" s="23">
        <v>170485</v>
      </c>
      <c r="M24" s="23">
        <v>170485</v>
      </c>
      <c r="N24" s="23">
        <v>365510</v>
      </c>
      <c r="O24" s="23">
        <v>365510</v>
      </c>
      <c r="P24" s="23">
        <v>361763</v>
      </c>
      <c r="Q24" s="23">
        <v>361763</v>
      </c>
      <c r="R24" s="23">
        <v>397802</v>
      </c>
      <c r="S24" s="23">
        <v>397802</v>
      </c>
    </row>
    <row r="25" spans="1:19" x14ac:dyDescent="0.25">
      <c r="A25" t="s">
        <v>172</v>
      </c>
      <c r="B25" s="23">
        <f>(B22+D22+F22+H22+J22)/5</f>
        <v>129487829.59999999</v>
      </c>
      <c r="C25" s="23">
        <f>(C22+E22)/2</f>
        <v>129390924</v>
      </c>
      <c r="D25" s="23">
        <f>(D22+F22+H22+J22)/4</f>
        <v>129515002.75</v>
      </c>
      <c r="E25" s="23">
        <f>(E22+G22)/2</f>
        <v>129469800.5</v>
      </c>
      <c r="F25" s="23">
        <f>(F22+H22+J22)/3</f>
        <v>129552433.33333333</v>
      </c>
      <c r="G25" s="23">
        <f>(G22+I22)/2</f>
        <v>129510368</v>
      </c>
      <c r="H25" s="23">
        <f>(H22+J22)/2</f>
        <v>129560205</v>
      </c>
      <c r="I25" s="23">
        <f>(I22+K22)/2</f>
        <v>129560205</v>
      </c>
      <c r="J25" s="23">
        <f>(J22+L22+N22+P22+R22)/5</f>
        <v>129533560.8</v>
      </c>
      <c r="K25" s="23">
        <f>(K22+M22)/2</f>
        <v>129649141</v>
      </c>
      <c r="L25" s="23">
        <f>(L22+N22+P22+R22)/4</f>
        <v>129507810</v>
      </c>
      <c r="M25" s="23">
        <f>(M22+O22)/2</f>
        <v>129564205.5</v>
      </c>
      <c r="N25" s="23">
        <f>(N22+P22+R22)/3</f>
        <v>129456507.33333333</v>
      </c>
      <c r="O25" s="23">
        <f>(O22+Q22)/2</f>
        <v>129468656</v>
      </c>
      <c r="P25" s="23">
        <f>(P22+R22)/2</f>
        <v>129451414.5</v>
      </c>
      <c r="Q25" s="23">
        <f>(Q22+S22)/2</f>
        <v>129451414.5</v>
      </c>
      <c r="R25" s="23">
        <v>129608423.5</v>
      </c>
      <c r="S25" s="23">
        <v>129460084</v>
      </c>
    </row>
    <row r="26" spans="1:19" x14ac:dyDescent="0.25">
      <c r="B26" s="23"/>
      <c r="C26" s="23"/>
      <c r="D26" s="23"/>
      <c r="E26" s="23"/>
      <c r="F26" s="23"/>
      <c r="G26" s="23"/>
      <c r="H26" s="23"/>
      <c r="I26" s="23"/>
      <c r="J26" s="23"/>
      <c r="K26" s="23"/>
      <c r="L26" s="23"/>
      <c r="M26" s="23"/>
      <c r="N26" s="23"/>
      <c r="O26" s="23"/>
      <c r="P26" s="23"/>
      <c r="Q26" s="23"/>
      <c r="R26" s="23"/>
    </row>
    <row r="27" spans="1:19" x14ac:dyDescent="0.25">
      <c r="A27" t="s">
        <v>27</v>
      </c>
      <c r="B27" s="23">
        <f>B10</f>
        <v>16517.294303000002</v>
      </c>
      <c r="C27" s="23"/>
      <c r="D27" s="23">
        <f>D10</f>
        <v>15992.846571999999</v>
      </c>
      <c r="E27" s="23"/>
      <c r="F27" s="23">
        <f>F10</f>
        <v>15515.216143115398</v>
      </c>
      <c r="G27" s="23"/>
      <c r="H27" s="23">
        <f>H10</f>
        <v>15048.196862000001</v>
      </c>
      <c r="I27" s="23"/>
      <c r="J27" s="23">
        <f>J10</f>
        <v>15299.298683999999</v>
      </c>
      <c r="K27" s="23"/>
      <c r="L27" s="23">
        <f>L10</f>
        <v>14893.188252</v>
      </c>
      <c r="M27" s="23"/>
      <c r="N27" s="23">
        <f>N10</f>
        <v>14459.74516</v>
      </c>
      <c r="O27" s="23"/>
      <c r="P27" s="23">
        <f>P10</f>
        <v>14050.505474</v>
      </c>
      <c r="Q27" s="23"/>
      <c r="R27" s="23">
        <f>R10</f>
        <v>13867.533092824999</v>
      </c>
    </row>
    <row r="28" spans="1:19" x14ac:dyDescent="0.25">
      <c r="A28" t="s">
        <v>41</v>
      </c>
      <c r="B28" s="23">
        <v>564.92959399999995</v>
      </c>
      <c r="C28" s="23"/>
      <c r="D28" s="23">
        <v>515.54237899999998</v>
      </c>
      <c r="E28" s="23"/>
      <c r="F28" s="23">
        <v>513.735636</v>
      </c>
      <c r="G28" s="23"/>
      <c r="H28" s="23">
        <v>443.28066447042352</v>
      </c>
      <c r="I28" s="23"/>
      <c r="J28" s="23">
        <v>425.04569099999998</v>
      </c>
      <c r="K28" s="23"/>
      <c r="L28" s="23">
        <v>411.48454857923542</v>
      </c>
      <c r="M28" s="23"/>
      <c r="N28" s="23">
        <v>402.75929389975136</v>
      </c>
      <c r="O28" s="23"/>
      <c r="P28" s="23">
        <v>372.4311167533462</v>
      </c>
      <c r="Q28" s="23"/>
      <c r="R28" s="23">
        <v>318.26908900000001</v>
      </c>
    </row>
    <row r="29" spans="1:19" x14ac:dyDescent="0.25">
      <c r="A29" t="s">
        <v>42</v>
      </c>
      <c r="B29" s="23">
        <v>321.868717</v>
      </c>
      <c r="C29" s="23"/>
      <c r="D29" s="23">
        <v>0</v>
      </c>
      <c r="E29" s="23"/>
      <c r="F29" s="23">
        <v>0</v>
      </c>
      <c r="G29" s="23"/>
      <c r="H29" s="23">
        <v>0</v>
      </c>
      <c r="I29" s="23"/>
      <c r="J29" s="23">
        <v>219.51398599999999</v>
      </c>
      <c r="K29" s="23"/>
      <c r="L29" s="23">
        <v>0</v>
      </c>
      <c r="M29" s="23"/>
      <c r="N29" s="23">
        <v>0</v>
      </c>
      <c r="O29" s="23"/>
      <c r="P29" s="23">
        <v>0</v>
      </c>
      <c r="Q29" s="23"/>
      <c r="R29" s="23">
        <v>40</v>
      </c>
    </row>
    <row r="30" spans="1:19" x14ac:dyDescent="0.25">
      <c r="A30" t="s">
        <v>43</v>
      </c>
      <c r="B30" s="23">
        <v>4831.1970330000004</v>
      </c>
      <c r="C30" s="23"/>
      <c r="D30" s="23">
        <v>4497.6340479999999</v>
      </c>
      <c r="E30" s="23"/>
      <c r="F30" s="23">
        <v>4497.6340479999999</v>
      </c>
      <c r="G30" s="23"/>
      <c r="H30" s="23">
        <v>4497.6340479999999</v>
      </c>
      <c r="I30" s="23"/>
      <c r="J30" s="23">
        <f>4497.634048+1.427523</f>
        <v>4499.0615710000002</v>
      </c>
      <c r="K30" s="23"/>
      <c r="L30" s="23">
        <v>4104.7686400000002</v>
      </c>
      <c r="M30" s="23"/>
      <c r="N30" s="23">
        <v>4104.7686400000002</v>
      </c>
      <c r="O30" s="23"/>
      <c r="P30" s="23">
        <v>4104.7686400000002</v>
      </c>
      <c r="Q30" s="23"/>
      <c r="R30" s="23">
        <f>1.366954+4104.768641</f>
        <v>4106.1355949999997</v>
      </c>
    </row>
    <row r="31" spans="1:19" ht="30" x14ac:dyDescent="0.25">
      <c r="A31" s="18" t="s">
        <v>48</v>
      </c>
      <c r="B31" s="23">
        <f>B20*(1-B19)</f>
        <v>45.475543596000009</v>
      </c>
      <c r="C31" s="23"/>
      <c r="D31" s="23">
        <f>D20*(1-D19)</f>
        <v>50.122679159000008</v>
      </c>
      <c r="E31" s="23"/>
      <c r="F31" s="23">
        <f>F20*(1-F19)</f>
        <v>50.122679159000008</v>
      </c>
      <c r="G31" s="23"/>
      <c r="H31" s="23">
        <f>H20*(1-H19)</f>
        <v>50.122679159000008</v>
      </c>
      <c r="I31" s="23"/>
      <c r="J31" s="23">
        <f>J20*(1-J19)</f>
        <v>50.122679159000008</v>
      </c>
      <c r="K31" s="23"/>
      <c r="L31" s="23">
        <f>L20*(1-L19)</f>
        <v>83.818320930674361</v>
      </c>
      <c r="M31" s="23"/>
      <c r="N31" s="23">
        <f>N20*(1-N19)</f>
        <v>83.818320930674361</v>
      </c>
      <c r="O31" s="23"/>
      <c r="P31" s="23">
        <f>P20*(1-P19)</f>
        <v>104.46559545750497</v>
      </c>
      <c r="Q31" s="23"/>
      <c r="R31" s="23">
        <f>R20*(1-R19)</f>
        <v>104.46671499924578</v>
      </c>
    </row>
    <row r="32" spans="1:19" ht="30" x14ac:dyDescent="0.25">
      <c r="A32" s="32" t="s">
        <v>49</v>
      </c>
      <c r="B32" s="21">
        <f>B21*(1-B19)</f>
        <v>557.56616094549997</v>
      </c>
      <c r="C32" s="21"/>
      <c r="D32" s="21">
        <f>D21*(1-D19)</f>
        <v>683.06215595100014</v>
      </c>
      <c r="E32" s="21"/>
      <c r="F32" s="21">
        <f>F21*(1-F19)</f>
        <v>686.87346974050013</v>
      </c>
      <c r="G32" s="21"/>
      <c r="H32" s="21">
        <f>H21*(1-H19)</f>
        <v>694.04597072141371</v>
      </c>
      <c r="I32" s="21"/>
      <c r="J32" s="21">
        <f>J21*(1-J19)</f>
        <v>597.12216512200007</v>
      </c>
      <c r="K32" s="21"/>
      <c r="L32" s="21">
        <f>L21*(1-L19)</f>
        <v>606.44104600751791</v>
      </c>
      <c r="M32" s="21"/>
      <c r="N32" s="21">
        <f>N21*(1-N19)</f>
        <v>607.12183164685689</v>
      </c>
      <c r="O32" s="21"/>
      <c r="P32" s="21">
        <f>P21*(1-P19)</f>
        <v>615.9508077195502</v>
      </c>
      <c r="Q32" s="21"/>
      <c r="R32" s="21">
        <f>R21*(1-R19)</f>
        <v>575.62013667183601</v>
      </c>
      <c r="S32" s="33"/>
    </row>
    <row r="33" spans="1:20" x14ac:dyDescent="0.25">
      <c r="A33" t="s">
        <v>45</v>
      </c>
      <c r="B33" s="23">
        <f>B27-B28-B29-B30-B31-B32</f>
        <v>10196.257254458504</v>
      </c>
      <c r="C33" s="23"/>
      <c r="D33" s="23">
        <f>D27-D28-D29-D30-D31-D32</f>
        <v>10246.485309889998</v>
      </c>
      <c r="E33" s="23"/>
      <c r="F33" s="23">
        <f>F27-F28-F29-F30-F31-F32</f>
        <v>9766.8503102158993</v>
      </c>
      <c r="G33" s="23"/>
      <c r="H33" s="23">
        <f>H27-H28-H29-H30-H31-H32</f>
        <v>9363.1134996491637</v>
      </c>
      <c r="I33" s="23"/>
      <c r="J33" s="23">
        <f>J27-J28-J29-J30-J31-J32</f>
        <v>9508.4325917189999</v>
      </c>
      <c r="K33" s="23"/>
      <c r="L33" s="23">
        <f>L27-L28-L29-L30-L31-L32</f>
        <v>9686.6756964825727</v>
      </c>
      <c r="M33" s="23"/>
      <c r="N33" s="23">
        <f>N27-N28-N29-N30-N31-N32</f>
        <v>9261.2770735227186</v>
      </c>
      <c r="O33" s="23"/>
      <c r="P33" s="23">
        <f>P27-P28-P29-P30-P31-P32</f>
        <v>8852.8893140695982</v>
      </c>
      <c r="Q33" s="23"/>
      <c r="R33" s="23">
        <f>R27-R28-R29-R30-R31-R32</f>
        <v>8723.0415571539179</v>
      </c>
    </row>
    <row r="34" spans="1:20" x14ac:dyDescent="0.25">
      <c r="A34" s="33" t="s">
        <v>67</v>
      </c>
      <c r="B34" s="21">
        <f>B22</f>
        <v>129379137</v>
      </c>
      <c r="C34" s="33"/>
      <c r="D34" s="21">
        <f>D22</f>
        <v>129402711</v>
      </c>
      <c r="E34" s="33"/>
      <c r="F34" s="21">
        <f>F22</f>
        <v>129536890</v>
      </c>
      <c r="G34" s="33"/>
      <c r="H34" s="21">
        <f>H22</f>
        <v>129483846</v>
      </c>
      <c r="I34" s="33"/>
      <c r="J34" s="21">
        <f>J22</f>
        <v>129636564</v>
      </c>
      <c r="K34" s="33"/>
      <c r="L34" s="21">
        <f>L22</f>
        <v>129661718</v>
      </c>
      <c r="M34" s="33"/>
      <c r="N34" s="21">
        <f>N22</f>
        <v>129466693</v>
      </c>
      <c r="O34" s="33"/>
      <c r="P34" s="21">
        <f>P22</f>
        <v>129470619</v>
      </c>
      <c r="Q34" s="33"/>
      <c r="R34" s="21">
        <f>R22</f>
        <v>129432210</v>
      </c>
      <c r="S34" s="33"/>
    </row>
    <row r="35" spans="1:20" ht="15.75" thickBot="1" x14ac:dyDescent="0.3">
      <c r="A35" s="37" t="s">
        <v>50</v>
      </c>
      <c r="B35" s="38">
        <f>B33*1000000/B34</f>
        <v>78.809130211299092</v>
      </c>
      <c r="C35" s="37"/>
      <c r="D35" s="38">
        <f>D33*1000000/D34</f>
        <v>79.182926159019956</v>
      </c>
      <c r="E35" s="37"/>
      <c r="F35" s="38">
        <f>F33*1000000/F34</f>
        <v>75.398215212793033</v>
      </c>
      <c r="G35" s="37"/>
      <c r="H35" s="38">
        <f>H33*1000000/H34</f>
        <v>72.311054922242306</v>
      </c>
      <c r="I35" s="37"/>
      <c r="J35" s="38">
        <f>J33*1000000/J34</f>
        <v>73.346842112530837</v>
      </c>
      <c r="K35" s="37"/>
      <c r="L35" s="38">
        <f>L33*1000000/L34</f>
        <v>74.707290986863001</v>
      </c>
      <c r="M35" s="37"/>
      <c r="N35" s="38">
        <f>N33*1000000/N34</f>
        <v>71.534051414464713</v>
      </c>
      <c r="O35" s="37"/>
      <c r="P35" s="38">
        <f>P33*1000000/P34</f>
        <v>68.377593174785062</v>
      </c>
      <c r="Q35" s="37"/>
      <c r="R35" s="38">
        <f>R33*1000000/R34</f>
        <v>67.394673684038281</v>
      </c>
      <c r="S35" s="36"/>
    </row>
    <row r="36" spans="1:20" x14ac:dyDescent="0.25">
      <c r="B36" s="29"/>
    </row>
    <row r="37" spans="1:20" x14ac:dyDescent="0.25">
      <c r="A37" s="34"/>
      <c r="B37" s="16"/>
    </row>
    <row r="38" spans="1:20" x14ac:dyDescent="0.25">
      <c r="A38" s="49" t="s">
        <v>171</v>
      </c>
      <c r="B38" s="23">
        <v>1127.798624544118</v>
      </c>
      <c r="C38" s="23">
        <v>340.55942061903244</v>
      </c>
      <c r="D38" s="23">
        <v>787.34958428150003</v>
      </c>
      <c r="E38" s="23">
        <v>313.0856250137499</v>
      </c>
      <c r="F38" s="23">
        <v>474.24105717399993</v>
      </c>
      <c r="G38" s="23">
        <v>249.20846373734918</v>
      </c>
      <c r="H38" s="23">
        <v>225.00200401891829</v>
      </c>
      <c r="I38" s="23">
        <v>224.9073780064906</v>
      </c>
      <c r="J38" s="23">
        <v>1026.970835408302</v>
      </c>
      <c r="K38" s="23">
        <v>286.57281439623256</v>
      </c>
      <c r="L38" s="23">
        <v>740.45848847497552</v>
      </c>
      <c r="M38" s="23">
        <v>259.19796399937474</v>
      </c>
      <c r="N38" s="23">
        <v>481.26052511516997</v>
      </c>
      <c r="O38" s="23">
        <v>287.38064719324177</v>
      </c>
      <c r="P38" s="23">
        <v>193.87987792192789</v>
      </c>
      <c r="Q38" s="23">
        <v>193.87987792192789</v>
      </c>
      <c r="R38" s="23">
        <v>901.7337411579532</v>
      </c>
      <c r="S38" s="77">
        <v>185.71536351095801</v>
      </c>
    </row>
    <row r="39" spans="1:20" x14ac:dyDescent="0.25">
      <c r="A39" s="78" t="s">
        <v>176</v>
      </c>
      <c r="B39" s="41">
        <f>B25</f>
        <v>129487829.59999999</v>
      </c>
      <c r="C39" s="41">
        <f t="shared" ref="C39:S39" si="12">C25</f>
        <v>129390924</v>
      </c>
      <c r="D39" s="41">
        <f t="shared" si="12"/>
        <v>129515002.75</v>
      </c>
      <c r="E39" s="41">
        <f t="shared" si="12"/>
        <v>129469800.5</v>
      </c>
      <c r="F39" s="41">
        <f t="shared" si="12"/>
        <v>129552433.33333333</v>
      </c>
      <c r="G39" s="41">
        <f t="shared" si="12"/>
        <v>129510368</v>
      </c>
      <c r="H39" s="41">
        <f t="shared" si="12"/>
        <v>129560205</v>
      </c>
      <c r="I39" s="41">
        <f t="shared" si="12"/>
        <v>129560205</v>
      </c>
      <c r="J39" s="41">
        <f t="shared" si="12"/>
        <v>129533560.8</v>
      </c>
      <c r="K39" s="41">
        <f t="shared" si="12"/>
        <v>129649141</v>
      </c>
      <c r="L39" s="41">
        <f t="shared" si="12"/>
        <v>129507810</v>
      </c>
      <c r="M39" s="41">
        <f t="shared" si="12"/>
        <v>129564205.5</v>
      </c>
      <c r="N39" s="41">
        <f t="shared" si="12"/>
        <v>129456507.33333333</v>
      </c>
      <c r="O39" s="41">
        <f t="shared" si="12"/>
        <v>129468656</v>
      </c>
      <c r="P39" s="41">
        <f t="shared" si="12"/>
        <v>129451414.5</v>
      </c>
      <c r="Q39" s="41">
        <f t="shared" si="12"/>
        <v>129451414.5</v>
      </c>
      <c r="R39" s="41">
        <f t="shared" si="12"/>
        <v>129608423.5</v>
      </c>
      <c r="S39" s="41">
        <f t="shared" si="12"/>
        <v>129460084</v>
      </c>
    </row>
    <row r="40" spans="1:20" s="49" customFormat="1" x14ac:dyDescent="0.25">
      <c r="A40" s="49" t="s">
        <v>52</v>
      </c>
      <c r="B40" s="50">
        <f>B38*1000000/B39</f>
        <v>8.709688223426042</v>
      </c>
      <c r="C40" s="50">
        <f>C38*1000000/C39</f>
        <v>2.6320193881530085</v>
      </c>
      <c r="D40" s="50">
        <f>D38*1000000/D39</f>
        <v>6.0792152844354552</v>
      </c>
      <c r="E40" s="50">
        <f>E38*1000000/E39</f>
        <v>2.418213543271428</v>
      </c>
      <c r="F40" s="50">
        <f>F38*1000000/F39</f>
        <v>3.6606109586054343</v>
      </c>
      <c r="G40" s="50">
        <f>G38*1000000/G39</f>
        <v>1.9242356236479012</v>
      </c>
      <c r="H40" s="50">
        <f>H38*1000000/H39</f>
        <v>1.7366598333100682</v>
      </c>
      <c r="I40" s="50">
        <f>I38*1000000/I39</f>
        <v>1.735929470059812</v>
      </c>
      <c r="J40" s="50">
        <f>J38*1000000/J39</f>
        <v>7.9282220689813858</v>
      </c>
      <c r="K40" s="50">
        <f>K38*1000000/K39</f>
        <v>2.2103718712354024</v>
      </c>
      <c r="L40" s="50">
        <f>L38*1000000/L39</f>
        <v>5.7174813509314646</v>
      </c>
      <c r="M40" s="50">
        <f>M38*1000000/M39</f>
        <v>2.0005368226440807</v>
      </c>
      <c r="N40" s="50">
        <f>N38*1000000/N39</f>
        <v>3.7175460317030486</v>
      </c>
      <c r="O40" s="50">
        <f>O38*1000000/O39</f>
        <v>2.2196928281486277</v>
      </c>
      <c r="P40" s="50">
        <f>P38*1000000/P39</f>
        <v>1.4977038193887631</v>
      </c>
      <c r="Q40" s="50">
        <f>Q38*1000000/Q39</f>
        <v>1.4977038193887631</v>
      </c>
      <c r="R40" s="50">
        <f>R38*1000000/R39</f>
        <v>6.9573698746359129</v>
      </c>
      <c r="S40" s="50">
        <f>S38*1000000/S39</f>
        <v>1.4345376410458532</v>
      </c>
      <c r="T40" s="76"/>
    </row>
    <row r="41" spans="1:20" s="16" customFormat="1" x14ac:dyDescent="0.25"/>
    <row r="42" spans="1:20" x14ac:dyDescent="0.25">
      <c r="A42" t="s">
        <v>51</v>
      </c>
      <c r="B42">
        <v>82.25</v>
      </c>
      <c r="C42">
        <v>82.25</v>
      </c>
      <c r="D42">
        <v>81.25</v>
      </c>
      <c r="E42">
        <v>81.25</v>
      </c>
      <c r="F42">
        <v>71.75</v>
      </c>
      <c r="G42">
        <v>71.75</v>
      </c>
      <c r="H42">
        <v>66.5</v>
      </c>
      <c r="I42">
        <v>66.5</v>
      </c>
      <c r="J42">
        <v>64.75</v>
      </c>
      <c r="K42">
        <v>64.75</v>
      </c>
      <c r="L42">
        <v>55.75</v>
      </c>
      <c r="M42">
        <v>55.75</v>
      </c>
      <c r="N42">
        <v>46.7</v>
      </c>
      <c r="O42">
        <v>46.7</v>
      </c>
      <c r="P42">
        <v>52.75</v>
      </c>
      <c r="Q42">
        <v>52.75</v>
      </c>
      <c r="R42">
        <v>50.5</v>
      </c>
      <c r="S42">
        <v>50.5</v>
      </c>
    </row>
    <row r="43" spans="1:20" x14ac:dyDescent="0.25">
      <c r="A43" t="s">
        <v>59</v>
      </c>
      <c r="B43" s="30">
        <f>B40/4*4</f>
        <v>8.709688223426042</v>
      </c>
      <c r="C43" s="30">
        <f>C40*4</f>
        <v>10.528077552612034</v>
      </c>
      <c r="D43" s="30">
        <f>D40/3*4</f>
        <v>8.1056203792472736</v>
      </c>
      <c r="E43" s="30">
        <f>E40*4</f>
        <v>9.672854173085712</v>
      </c>
      <c r="F43" s="30">
        <f>F40/2*4</f>
        <v>7.3212219172108686</v>
      </c>
      <c r="G43" s="30">
        <f>G40*4</f>
        <v>7.696942494591605</v>
      </c>
      <c r="H43" s="30">
        <f>H40/1*4</f>
        <v>6.9466393332402729</v>
      </c>
      <c r="I43" s="30">
        <f>I40*4</f>
        <v>6.9437178802392481</v>
      </c>
      <c r="J43" s="30">
        <f>J40/4*4</f>
        <v>7.9282220689813858</v>
      </c>
      <c r="K43" s="30">
        <f>K40*4</f>
        <v>8.8414874849416094</v>
      </c>
      <c r="L43" s="30">
        <f>L40/3*4</f>
        <v>7.6233084679086192</v>
      </c>
      <c r="M43" s="30">
        <f>M40*4</f>
        <v>8.0021472905763229</v>
      </c>
      <c r="N43" s="30">
        <f>N40/2*4</f>
        <v>7.4350920634060973</v>
      </c>
      <c r="O43" s="30">
        <f>O40*4</f>
        <v>8.8787713125945107</v>
      </c>
      <c r="P43" s="30">
        <f>P40/1*4</f>
        <v>5.9908152775550523</v>
      </c>
      <c r="Q43" s="30">
        <f>Q40*4</f>
        <v>5.9908152775550523</v>
      </c>
      <c r="R43" s="30">
        <f>R40/4*4</f>
        <v>6.9573698746359129</v>
      </c>
      <c r="S43" s="30">
        <f>S40*4</f>
        <v>5.738150564183413</v>
      </c>
    </row>
    <row r="44" spans="1:20" s="3" customFormat="1" ht="15.75" thickBot="1" x14ac:dyDescent="0.3">
      <c r="A44" s="47" t="s">
        <v>6</v>
      </c>
      <c r="B44" s="48">
        <f>B42/B43</f>
        <v>9.4435068041558612</v>
      </c>
      <c r="C44" s="48">
        <f t="shared" ref="C44:S44" si="13">C42/C43</f>
        <v>7.8124424510525792</v>
      </c>
      <c r="D44" s="48">
        <f t="shared" si="13"/>
        <v>10.023908867978006</v>
      </c>
      <c r="E44" s="48">
        <f t="shared" si="13"/>
        <v>8.3997958147735261</v>
      </c>
      <c r="F44" s="48">
        <f t="shared" si="13"/>
        <v>9.8002766220388331</v>
      </c>
      <c r="G44" s="48">
        <f t="shared" si="13"/>
        <v>9.3218833387954287</v>
      </c>
      <c r="H44" s="48">
        <f t="shared" si="13"/>
        <v>9.5729743275704156</v>
      </c>
      <c r="I44" s="48">
        <f t="shared" si="13"/>
        <v>9.5770019961854675</v>
      </c>
      <c r="J44" s="48">
        <f t="shared" si="13"/>
        <v>8.1670265333926313</v>
      </c>
      <c r="K44" s="48">
        <f t="shared" si="13"/>
        <v>7.3234283383060879</v>
      </c>
      <c r="L44" s="48">
        <f t="shared" si="13"/>
        <v>7.3130977494466354</v>
      </c>
      <c r="M44" s="48">
        <f t="shared" si="13"/>
        <v>6.9668800105258786</v>
      </c>
      <c r="N44" s="48">
        <f t="shared" si="13"/>
        <v>6.2810251173414819</v>
      </c>
      <c r="O44" s="48">
        <f t="shared" si="13"/>
        <v>5.2597367761636331</v>
      </c>
      <c r="P44" s="48">
        <f t="shared" si="13"/>
        <v>8.805145469537516</v>
      </c>
      <c r="Q44" s="48">
        <f t="shared" si="13"/>
        <v>8.805145469537516</v>
      </c>
      <c r="R44" s="48">
        <f t="shared" si="13"/>
        <v>7.2584900486755739</v>
      </c>
      <c r="S44" s="48">
        <f t="shared" si="13"/>
        <v>8.8007450196954835</v>
      </c>
    </row>
    <row r="46" spans="1:20" x14ac:dyDescent="0.25">
      <c r="C46" s="30"/>
      <c r="D46" s="30"/>
    </row>
    <row r="47" spans="1:20" x14ac:dyDescent="0.25">
      <c r="A47" t="s">
        <v>51</v>
      </c>
      <c r="B47" s="45">
        <f>B42</f>
        <v>82.25</v>
      </c>
      <c r="D47" s="45">
        <f>D42</f>
        <v>81.25</v>
      </c>
      <c r="F47" s="45">
        <f>F42</f>
        <v>71.75</v>
      </c>
      <c r="H47" s="45">
        <f>H42</f>
        <v>66.5</v>
      </c>
      <c r="J47" s="45">
        <f>J42</f>
        <v>64.75</v>
      </c>
      <c r="L47" s="45">
        <f>L42</f>
        <v>55.75</v>
      </c>
      <c r="N47" s="45">
        <f>N42</f>
        <v>46.7</v>
      </c>
      <c r="P47" s="45">
        <f>P42</f>
        <v>52.75</v>
      </c>
      <c r="R47" s="45">
        <f>R42</f>
        <v>50.5</v>
      </c>
    </row>
    <row r="48" spans="1:20" x14ac:dyDescent="0.25">
      <c r="A48" s="33" t="s">
        <v>53</v>
      </c>
      <c r="B48" s="46">
        <f>B35</f>
        <v>78.809130211299092</v>
      </c>
      <c r="C48" s="33"/>
      <c r="D48" s="46">
        <f>D35</f>
        <v>79.182926159019956</v>
      </c>
      <c r="E48" s="33"/>
      <c r="F48" s="46">
        <f>F35</f>
        <v>75.398215212793033</v>
      </c>
      <c r="G48" s="33"/>
      <c r="H48" s="46">
        <f>H35</f>
        <v>72.311054922242306</v>
      </c>
      <c r="I48" s="33"/>
      <c r="J48" s="46">
        <f>J35</f>
        <v>73.346842112530837</v>
      </c>
      <c r="K48" s="33"/>
      <c r="L48" s="46">
        <f>L35</f>
        <v>74.707290986863001</v>
      </c>
      <c r="M48" s="33"/>
      <c r="N48" s="46">
        <f>N35</f>
        <v>71.534051414464713</v>
      </c>
      <c r="O48" s="33"/>
      <c r="P48" s="46">
        <f>P35</f>
        <v>68.377593174785062</v>
      </c>
      <c r="Q48" s="33"/>
      <c r="R48" s="46">
        <f>R35</f>
        <v>67.394673684038281</v>
      </c>
      <c r="S48" s="33"/>
    </row>
    <row r="49" spans="1:19" s="3" customFormat="1" ht="15.75" thickBot="1" x14ac:dyDescent="0.3">
      <c r="A49" s="47" t="s">
        <v>54</v>
      </c>
      <c r="B49" s="48">
        <f>B47/B48</f>
        <v>1.0436608014766235</v>
      </c>
      <c r="C49" s="47"/>
      <c r="D49" s="48">
        <f>D47/D48</f>
        <v>1.0261050448783469</v>
      </c>
      <c r="E49" s="47"/>
      <c r="F49" s="48">
        <f>F47/F48</f>
        <v>0.95161403751406004</v>
      </c>
      <c r="G49" s="47"/>
      <c r="H49" s="48">
        <f>H47/H48</f>
        <v>0.91963808399018565</v>
      </c>
      <c r="I49" s="47"/>
      <c r="J49" s="48">
        <f>J47/J48</f>
        <v>0.88279192580177734</v>
      </c>
      <c r="K49" s="47"/>
      <c r="L49" s="48">
        <f>L47/L48</f>
        <v>0.7462457715111559</v>
      </c>
      <c r="M49" s="47"/>
      <c r="N49" s="48">
        <f>N47/N48</f>
        <v>0.65283594423336289</v>
      </c>
      <c r="O49" s="47"/>
      <c r="P49" s="48">
        <f>P47/P48</f>
        <v>0.77145154649070191</v>
      </c>
      <c r="Q49" s="47"/>
      <c r="R49" s="48">
        <f>R47/R48</f>
        <v>0.74931737538719467</v>
      </c>
      <c r="S49" s="37"/>
    </row>
    <row r="51" spans="1:19" x14ac:dyDescent="0.25">
      <c r="B51" s="30"/>
      <c r="D51" s="30"/>
    </row>
    <row r="52" spans="1:19" x14ac:dyDescent="0.25">
      <c r="A52" t="s">
        <v>56</v>
      </c>
      <c r="B52" s="23">
        <v>2368.5877519999999</v>
      </c>
      <c r="C52" s="23">
        <v>617.58055300000001</v>
      </c>
      <c r="D52" s="23">
        <v>1751.0071990000001</v>
      </c>
      <c r="E52" s="23">
        <v>582.04224199999999</v>
      </c>
      <c r="F52" s="23">
        <v>1168.9649570000001</v>
      </c>
      <c r="G52" s="23">
        <v>597.78408300000001</v>
      </c>
      <c r="H52" s="23">
        <v>571.18087400000002</v>
      </c>
      <c r="I52" s="23">
        <v>571.18087400000002</v>
      </c>
      <c r="J52" s="23">
        <v>2002.9072039999999</v>
      </c>
      <c r="K52" s="23">
        <v>482.28972299999998</v>
      </c>
      <c r="L52" s="23">
        <v>1520.617483</v>
      </c>
      <c r="M52" s="23">
        <v>504.19142500000004</v>
      </c>
      <c r="N52" s="23">
        <v>1016.426059</v>
      </c>
      <c r="O52" s="23">
        <v>527.52153899999996</v>
      </c>
      <c r="P52" s="23">
        <v>488.90452000000005</v>
      </c>
      <c r="Q52" s="23">
        <v>488.90452000000005</v>
      </c>
      <c r="R52" s="23">
        <v>1930.957969</v>
      </c>
      <c r="S52" s="23">
        <v>515.04630799999995</v>
      </c>
    </row>
    <row r="53" spans="1:19" x14ac:dyDescent="0.25">
      <c r="A53" s="33" t="s">
        <v>57</v>
      </c>
      <c r="B53" s="21">
        <v>4989.1087959999995</v>
      </c>
      <c r="C53" s="21">
        <v>1373.9951959999999</v>
      </c>
      <c r="D53" s="21">
        <v>3615.1135992300001</v>
      </c>
      <c r="E53" s="21">
        <v>1287.1926378899998</v>
      </c>
      <c r="F53" s="21">
        <v>2327.9209613399998</v>
      </c>
      <c r="G53" s="21">
        <v>1201.657406</v>
      </c>
      <c r="H53" s="21">
        <v>1126.26355734</v>
      </c>
      <c r="I53" s="21">
        <v>1126.26355734</v>
      </c>
      <c r="J53" s="21">
        <v>4547.2791503199996</v>
      </c>
      <c r="K53" s="21">
        <v>1145.80299199</v>
      </c>
      <c r="L53" s="21">
        <v>3401.47615933</v>
      </c>
      <c r="M53" s="21">
        <v>1145.35657167</v>
      </c>
      <c r="N53" s="21">
        <v>2256.1195886599999</v>
      </c>
      <c r="O53" s="21">
        <v>1202.59558556</v>
      </c>
      <c r="P53" s="21">
        <v>1053.5240030999998</v>
      </c>
      <c r="Q53" s="21">
        <v>1053.5240030999998</v>
      </c>
      <c r="R53" s="21">
        <v>3923.6984788999998</v>
      </c>
      <c r="S53" s="21">
        <v>970.61289667000005</v>
      </c>
    </row>
    <row r="54" spans="1:19" s="3" customFormat="1" ht="15.75" thickBot="1" x14ac:dyDescent="0.3">
      <c r="A54" s="37" t="s">
        <v>58</v>
      </c>
      <c r="B54" s="51">
        <f>B52/B53</f>
        <v>0.47475167386588296</v>
      </c>
      <c r="C54" s="51">
        <f t="shared" ref="C54:S54" si="14">C52/C53</f>
        <v>0.44947795654447109</v>
      </c>
      <c r="D54" s="51">
        <f t="shared" si="14"/>
        <v>0.48435744851087259</v>
      </c>
      <c r="E54" s="51">
        <f t="shared" si="14"/>
        <v>0.45217959213478648</v>
      </c>
      <c r="F54" s="51">
        <f t="shared" si="14"/>
        <v>0.50214976213243923</v>
      </c>
      <c r="G54" s="51">
        <f t="shared" si="14"/>
        <v>0.49746631611905529</v>
      </c>
      <c r="H54" s="51">
        <f t="shared" si="14"/>
        <v>0.50714672447451847</v>
      </c>
      <c r="I54" s="51">
        <f t="shared" si="14"/>
        <v>0.50714672447451847</v>
      </c>
      <c r="J54" s="51">
        <f t="shared" si="14"/>
        <v>0.44046277736414136</v>
      </c>
      <c r="K54" s="51">
        <f t="shared" si="14"/>
        <v>0.4209185404223566</v>
      </c>
      <c r="L54" s="51">
        <f t="shared" si="14"/>
        <v>0.44704634451988073</v>
      </c>
      <c r="M54" s="51">
        <f t="shared" si="14"/>
        <v>0.44020476895230809</v>
      </c>
      <c r="N54" s="51">
        <f t="shared" si="14"/>
        <v>0.45051958420506261</v>
      </c>
      <c r="O54" s="51">
        <f t="shared" si="14"/>
        <v>0.43865248245889293</v>
      </c>
      <c r="P54" s="51">
        <f t="shared" si="14"/>
        <v>0.46406585759925351</v>
      </c>
      <c r="Q54" s="51">
        <f t="shared" si="14"/>
        <v>0.46406585759925351</v>
      </c>
      <c r="R54" s="51">
        <f t="shared" si="14"/>
        <v>0.49212700195590459</v>
      </c>
      <c r="S54" s="51">
        <f t="shared" si="14"/>
        <v>0.53064028900402216</v>
      </c>
    </row>
    <row r="57" spans="1:19" x14ac:dyDescent="0.25">
      <c r="A57" t="s">
        <v>60</v>
      </c>
      <c r="B57" s="23">
        <v>76475.738796999998</v>
      </c>
      <c r="C57" s="23"/>
      <c r="D57" s="23">
        <v>73085.602178999994</v>
      </c>
      <c r="E57" s="23"/>
      <c r="F57" s="23">
        <v>75558.622663999995</v>
      </c>
      <c r="G57" s="23"/>
      <c r="H57" s="23">
        <v>70175.667711000002</v>
      </c>
      <c r="I57" s="23"/>
      <c r="J57" s="23">
        <v>67167.748563000001</v>
      </c>
      <c r="K57" s="23"/>
      <c r="L57" s="23">
        <v>66289.870962000001</v>
      </c>
      <c r="M57" s="23"/>
      <c r="N57" s="23">
        <v>67030.936042000001</v>
      </c>
      <c r="O57" s="23"/>
      <c r="P57" s="23">
        <v>63850.715055000001</v>
      </c>
      <c r="Q57" s="23"/>
      <c r="R57" s="23">
        <v>64089.773975999997</v>
      </c>
      <c r="S57" s="23"/>
    </row>
    <row r="58" spans="1:19" ht="30" x14ac:dyDescent="0.25">
      <c r="A58" s="32" t="s">
        <v>61</v>
      </c>
      <c r="B58" s="21">
        <v>148784.29991046002</v>
      </c>
      <c r="C58" s="21"/>
      <c r="D58" s="21">
        <v>147145.81336949015</v>
      </c>
      <c r="E58" s="21"/>
      <c r="F58" s="21">
        <v>143799.61452905973</v>
      </c>
      <c r="G58" s="21"/>
      <c r="H58" s="21">
        <v>140038.1473377911</v>
      </c>
      <c r="I58" s="21"/>
      <c r="J58" s="21">
        <v>137535.19033280999</v>
      </c>
      <c r="K58" s="21"/>
      <c r="L58" s="21">
        <v>134461.78900444019</v>
      </c>
      <c r="M58" s="21"/>
      <c r="N58" s="21">
        <v>132582.83922558016</v>
      </c>
      <c r="O58" s="21"/>
      <c r="P58" s="21">
        <v>129520.43765942003</v>
      </c>
      <c r="Q58" s="21"/>
      <c r="R58" s="21">
        <v>127378.18928701995</v>
      </c>
      <c r="S58" s="21"/>
    </row>
    <row r="59" spans="1:19" ht="15.75" thickBot="1" x14ac:dyDescent="0.3">
      <c r="A59" s="37" t="s">
        <v>1</v>
      </c>
      <c r="B59" s="51">
        <f>B57/B58</f>
        <v>0.51400409077452336</v>
      </c>
      <c r="C59" s="51"/>
      <c r="D59" s="51">
        <f t="shared" ref="C59:S59" si="15">D57/D58</f>
        <v>0.49668828834075329</v>
      </c>
      <c r="E59" s="51"/>
      <c r="F59" s="51">
        <f t="shared" si="15"/>
        <v>0.52544384706073555</v>
      </c>
      <c r="G59" s="51"/>
      <c r="H59" s="51">
        <f t="shared" si="15"/>
        <v>0.50111822417735019</v>
      </c>
      <c r="I59" s="51"/>
      <c r="J59" s="51">
        <f t="shared" si="15"/>
        <v>0.48836772901877945</v>
      </c>
      <c r="K59" s="51"/>
      <c r="L59" s="51">
        <f t="shared" si="15"/>
        <v>0.49300155421709418</v>
      </c>
      <c r="M59" s="51"/>
      <c r="N59" s="51">
        <f t="shared" si="15"/>
        <v>0.50557776883893468</v>
      </c>
      <c r="O59" s="51"/>
      <c r="P59" s="51">
        <f t="shared" si="15"/>
        <v>0.49297791305259797</v>
      </c>
      <c r="Q59" s="51"/>
      <c r="R59" s="51">
        <f t="shared" si="15"/>
        <v>0.50314558822615363</v>
      </c>
      <c r="S59" s="51"/>
    </row>
    <row r="62" spans="1:19" ht="30" x14ac:dyDescent="0.25">
      <c r="A62" s="18" t="s">
        <v>62</v>
      </c>
      <c r="B62" s="27">
        <f>B58</f>
        <v>148784.29991046002</v>
      </c>
      <c r="C62" s="27"/>
      <c r="D62" s="27">
        <f t="shared" ref="C62:H62" si="16">D58</f>
        <v>147145.81336949015</v>
      </c>
      <c r="E62" s="27"/>
      <c r="F62" s="27">
        <f t="shared" si="16"/>
        <v>143799.61452905973</v>
      </c>
      <c r="G62" s="27"/>
      <c r="H62" s="27">
        <f t="shared" si="16"/>
        <v>140038.1473377911</v>
      </c>
      <c r="I62" s="27"/>
      <c r="J62" s="27">
        <f t="shared" ref="J62:S62" si="17">J58</f>
        <v>137535.19033280999</v>
      </c>
      <c r="K62" s="27"/>
      <c r="L62" s="27">
        <f t="shared" si="17"/>
        <v>134461.78900444019</v>
      </c>
      <c r="M62" s="27"/>
      <c r="N62" s="27">
        <f t="shared" si="17"/>
        <v>132582.83922558016</v>
      </c>
      <c r="O62" s="27"/>
      <c r="P62" s="27">
        <f t="shared" si="17"/>
        <v>129520.43765942003</v>
      </c>
      <c r="Q62" s="27"/>
      <c r="R62" s="27">
        <f t="shared" si="17"/>
        <v>127378.18928701995</v>
      </c>
      <c r="S62" s="27"/>
    </row>
    <row r="63" spans="1:19" ht="30" x14ac:dyDescent="0.25">
      <c r="A63" s="32" t="s">
        <v>68</v>
      </c>
      <c r="B63" s="41">
        <f>J62</f>
        <v>137535.19033280999</v>
      </c>
      <c r="C63" s="41"/>
      <c r="D63" s="41">
        <f t="shared" ref="C63:K63" si="18">L62</f>
        <v>134461.78900444019</v>
      </c>
      <c r="E63" s="41"/>
      <c r="F63" s="41">
        <f t="shared" si="18"/>
        <v>132582.83922558016</v>
      </c>
      <c r="G63" s="41"/>
      <c r="H63" s="41">
        <f t="shared" si="18"/>
        <v>129520.43765942003</v>
      </c>
      <c r="I63" s="41"/>
      <c r="J63" s="41">
        <f t="shared" si="18"/>
        <v>127378.18928701995</v>
      </c>
      <c r="K63" s="41"/>
      <c r="L63" s="41">
        <v>126179.53837441001</v>
      </c>
      <c r="M63" s="41"/>
      <c r="N63" s="41">
        <v>124518.80857552995</v>
      </c>
      <c r="O63" s="41"/>
      <c r="P63" s="41">
        <v>122932.87120760018</v>
      </c>
      <c r="Q63" s="41"/>
      <c r="R63" s="41">
        <v>120435.05705413</v>
      </c>
      <c r="S63" s="41"/>
    </row>
    <row r="64" spans="1:19" x14ac:dyDescent="0.25">
      <c r="A64" t="s">
        <v>63</v>
      </c>
      <c r="B64" s="27">
        <f>B62-B63</f>
        <v>11249.10957765003</v>
      </c>
      <c r="C64" s="27"/>
      <c r="D64" s="27">
        <f t="shared" ref="C64:S64" si="19">D62-D63</f>
        <v>12684.024365049961</v>
      </c>
      <c r="E64" s="27"/>
      <c r="F64" s="27">
        <f t="shared" si="19"/>
        <v>11216.775303479575</v>
      </c>
      <c r="G64" s="27"/>
      <c r="H64" s="27">
        <f t="shared" si="19"/>
        <v>10517.709678371073</v>
      </c>
      <c r="I64" s="27"/>
      <c r="J64" s="27">
        <f t="shared" si="19"/>
        <v>10157.001045790035</v>
      </c>
      <c r="K64" s="27"/>
      <c r="L64" s="27">
        <f t="shared" si="19"/>
        <v>8282.2506300301757</v>
      </c>
      <c r="M64" s="27"/>
      <c r="N64" s="27">
        <f t="shared" si="19"/>
        <v>8064.0306500502047</v>
      </c>
      <c r="O64" s="27"/>
      <c r="P64" s="27">
        <f t="shared" si="19"/>
        <v>6587.5664518198464</v>
      </c>
      <c r="Q64" s="27"/>
      <c r="R64" s="27">
        <f t="shared" si="19"/>
        <v>6943.132232889955</v>
      </c>
      <c r="S64" s="27"/>
    </row>
    <row r="65" spans="1:19" ht="30" x14ac:dyDescent="0.25">
      <c r="A65" s="32" t="s">
        <v>64</v>
      </c>
      <c r="B65" s="41">
        <f>B63</f>
        <v>137535.19033280999</v>
      </c>
      <c r="C65" s="41"/>
      <c r="D65" s="41">
        <f t="shared" ref="C65:S65" si="20">D63</f>
        <v>134461.78900444019</v>
      </c>
      <c r="E65" s="41"/>
      <c r="F65" s="41">
        <f t="shared" si="20"/>
        <v>132582.83922558016</v>
      </c>
      <c r="G65" s="41"/>
      <c r="H65" s="41">
        <f t="shared" si="20"/>
        <v>129520.43765942003</v>
      </c>
      <c r="I65" s="41"/>
      <c r="J65" s="41">
        <f t="shared" si="20"/>
        <v>127378.18928701995</v>
      </c>
      <c r="K65" s="41"/>
      <c r="L65" s="41">
        <f t="shared" si="20"/>
        <v>126179.53837441001</v>
      </c>
      <c r="M65" s="41"/>
      <c r="N65" s="41">
        <f t="shared" si="20"/>
        <v>124518.80857552995</v>
      </c>
      <c r="O65" s="41"/>
      <c r="P65" s="41">
        <f t="shared" si="20"/>
        <v>122932.87120760018</v>
      </c>
      <c r="Q65" s="41"/>
      <c r="R65" s="41">
        <f t="shared" si="20"/>
        <v>120435.05705413</v>
      </c>
      <c r="S65" s="41"/>
    </row>
    <row r="66" spans="1:19" ht="15.75" thickBot="1" x14ac:dyDescent="0.3">
      <c r="A66" s="47" t="s">
        <v>65</v>
      </c>
      <c r="B66" s="52">
        <f>B64/B65</f>
        <v>8.1790773331750541E-2</v>
      </c>
      <c r="C66" s="52"/>
      <c r="D66" s="52">
        <f t="shared" ref="C66:S66" si="21">D64/D65</f>
        <v>9.4331813215954685E-2</v>
      </c>
      <c r="E66" s="52"/>
      <c r="F66" s="52">
        <f t="shared" si="21"/>
        <v>8.4602014627210079E-2</v>
      </c>
      <c r="G66" s="52"/>
      <c r="H66" s="52">
        <f t="shared" si="21"/>
        <v>8.1205019597199599E-2</v>
      </c>
      <c r="I66" s="52"/>
      <c r="J66" s="52">
        <f t="shared" si="21"/>
        <v>7.9738934134974793E-2</v>
      </c>
      <c r="K66" s="52"/>
      <c r="L66" s="52">
        <f t="shared" si="21"/>
        <v>6.5638618881727243E-2</v>
      </c>
      <c r="M66" s="52"/>
      <c r="N66" s="52">
        <f t="shared" si="21"/>
        <v>6.476154680807733E-2</v>
      </c>
      <c r="O66" s="52"/>
      <c r="P66" s="52">
        <f t="shared" si="21"/>
        <v>5.3586696439353786E-2</v>
      </c>
      <c r="Q66" s="52"/>
      <c r="R66" s="52">
        <f t="shared" si="21"/>
        <v>5.7650425073235423E-2</v>
      </c>
      <c r="S66" s="52"/>
    </row>
    <row r="67" spans="1:19" x14ac:dyDescent="0.25">
      <c r="C67" s="49"/>
      <c r="D67" s="49"/>
    </row>
    <row r="69" spans="1:19" x14ac:dyDescent="0.25">
      <c r="A69" t="s">
        <v>73</v>
      </c>
      <c r="B69" s="23">
        <v>341.04166199999997</v>
      </c>
      <c r="C69" s="23">
        <v>77.972505999999996</v>
      </c>
      <c r="D69" s="23">
        <v>263.06915600000002</v>
      </c>
      <c r="E69" s="23">
        <v>87.671915999999996</v>
      </c>
      <c r="F69" s="23">
        <v>175.39724000000001</v>
      </c>
      <c r="G69" s="23">
        <v>85.978745000000004</v>
      </c>
      <c r="H69" s="23">
        <v>89.418493999999995</v>
      </c>
      <c r="I69" s="23">
        <v>89.418493999999995</v>
      </c>
      <c r="J69" s="23">
        <v>515.66150400000004</v>
      </c>
      <c r="K69" s="23">
        <v>98.687763000000004</v>
      </c>
      <c r="L69" s="23">
        <v>416.97374100000002</v>
      </c>
      <c r="M69" s="23">
        <v>129.646871</v>
      </c>
      <c r="N69" s="23">
        <v>287.32686899999999</v>
      </c>
      <c r="O69" s="23">
        <v>117.559668</v>
      </c>
      <c r="P69" s="23">
        <v>169.767201</v>
      </c>
      <c r="Q69" s="23">
        <v>169.767201</v>
      </c>
      <c r="R69" s="23">
        <v>168.615317</v>
      </c>
      <c r="S69" s="23">
        <v>56.301738999999998</v>
      </c>
    </row>
    <row r="70" spans="1:19" x14ac:dyDescent="0.25">
      <c r="A70" s="33" t="s">
        <v>74</v>
      </c>
      <c r="B70" s="21">
        <v>4.2506839999999997</v>
      </c>
      <c r="C70" s="21">
        <v>-2.6577510000000002</v>
      </c>
      <c r="D70" s="21">
        <v>6.9084349999999999</v>
      </c>
      <c r="E70" s="21">
        <v>0.78682400000000019</v>
      </c>
      <c r="F70" s="21">
        <v>6.1216109999999997</v>
      </c>
      <c r="G70" s="21">
        <v>-0.11250000000000071</v>
      </c>
      <c r="H70" s="21">
        <v>6.2341110000000004</v>
      </c>
      <c r="I70" s="21">
        <v>0.58828100000000028</v>
      </c>
      <c r="J70" s="21">
        <v>5.6458300000000001</v>
      </c>
      <c r="K70" s="21">
        <v>2.3268300000000002</v>
      </c>
      <c r="L70" s="21">
        <v>3.319</v>
      </c>
      <c r="M70" s="21">
        <v>1.06</v>
      </c>
      <c r="N70" s="21">
        <v>2.2589999999999999</v>
      </c>
      <c r="O70" s="21">
        <v>0.42418199999999984</v>
      </c>
      <c r="P70" s="21">
        <v>1.8348180000000001</v>
      </c>
      <c r="Q70" s="21">
        <v>0.79481800000000002</v>
      </c>
      <c r="R70" s="21">
        <v>1.04</v>
      </c>
      <c r="S70" s="21">
        <v>-0.4048179999999999</v>
      </c>
    </row>
    <row r="71" spans="1:19" x14ac:dyDescent="0.25">
      <c r="A71" t="s">
        <v>75</v>
      </c>
      <c r="B71" s="23">
        <f>B69-B70</f>
        <v>336.790978</v>
      </c>
      <c r="C71" s="23">
        <f t="shared" ref="C71:S71" si="22">C69-C70</f>
        <v>80.630257</v>
      </c>
      <c r="D71" s="23">
        <f t="shared" si="22"/>
        <v>256.16072100000002</v>
      </c>
      <c r="E71" s="23">
        <f t="shared" si="22"/>
        <v>86.885092</v>
      </c>
      <c r="F71" s="23">
        <f t="shared" si="22"/>
        <v>169.27562900000001</v>
      </c>
      <c r="G71" s="23">
        <f t="shared" si="22"/>
        <v>86.091245000000001</v>
      </c>
      <c r="H71" s="23">
        <f t="shared" si="22"/>
        <v>83.184382999999997</v>
      </c>
      <c r="I71" s="23">
        <f t="shared" si="22"/>
        <v>88.830213000000001</v>
      </c>
      <c r="J71" s="23">
        <f t="shared" si="22"/>
        <v>510.01567400000005</v>
      </c>
      <c r="K71" s="23">
        <f t="shared" si="22"/>
        <v>96.360933000000003</v>
      </c>
      <c r="L71" s="23">
        <f t="shared" si="22"/>
        <v>413.654741</v>
      </c>
      <c r="M71" s="23">
        <f t="shared" si="22"/>
        <v>128.586871</v>
      </c>
      <c r="N71" s="23">
        <f t="shared" si="22"/>
        <v>285.06786899999997</v>
      </c>
      <c r="O71" s="23">
        <f t="shared" si="22"/>
        <v>117.135486</v>
      </c>
      <c r="P71" s="23">
        <f t="shared" si="22"/>
        <v>167.93238299999999</v>
      </c>
      <c r="Q71" s="23">
        <f t="shared" si="22"/>
        <v>168.97238300000001</v>
      </c>
      <c r="R71" s="23">
        <f t="shared" si="22"/>
        <v>167.57531700000001</v>
      </c>
      <c r="S71" s="23">
        <f t="shared" si="22"/>
        <v>56.706556999999997</v>
      </c>
    </row>
    <row r="72" spans="1:19" x14ac:dyDescent="0.25">
      <c r="B72" s="23"/>
      <c r="C72" s="23"/>
      <c r="D72" s="23"/>
      <c r="E72" s="23"/>
      <c r="F72" s="23"/>
      <c r="G72" s="23"/>
      <c r="H72" s="23"/>
      <c r="I72" s="23"/>
      <c r="J72" s="23"/>
      <c r="K72" s="23"/>
      <c r="L72" s="23"/>
      <c r="M72" s="23"/>
      <c r="N72" s="23"/>
      <c r="O72" s="23"/>
      <c r="P72" s="23"/>
      <c r="Q72" s="23"/>
      <c r="R72" s="23"/>
      <c r="S72" s="23"/>
    </row>
    <row r="73" spans="1:19" x14ac:dyDescent="0.25">
      <c r="A73" t="s">
        <v>78</v>
      </c>
      <c r="B73" s="23">
        <f>B71/4*4</f>
        <v>336.790978</v>
      </c>
      <c r="C73" s="23">
        <f>C71*4</f>
        <v>322.521028</v>
      </c>
      <c r="D73" s="23">
        <f>D71/3*4</f>
        <v>341.54762800000003</v>
      </c>
      <c r="E73" s="23">
        <f>E71*4</f>
        <v>347.540368</v>
      </c>
      <c r="F73" s="23">
        <f>F71/2*4</f>
        <v>338.55125800000002</v>
      </c>
      <c r="G73" s="23">
        <f>G71*4</f>
        <v>344.36498</v>
      </c>
      <c r="H73" s="23">
        <f>H71/1*4</f>
        <v>332.73753199999999</v>
      </c>
      <c r="I73" s="23">
        <f>I71*4</f>
        <v>355.320852</v>
      </c>
      <c r="J73" s="23">
        <f>J71/4*4</f>
        <v>510.01567400000005</v>
      </c>
      <c r="K73" s="23">
        <f>K71*4</f>
        <v>385.44373200000001</v>
      </c>
      <c r="L73" s="23">
        <f>L71/3*4</f>
        <v>551.53965466666671</v>
      </c>
      <c r="M73" s="23">
        <f>M71*4</f>
        <v>514.34748400000001</v>
      </c>
      <c r="N73" s="23">
        <f>N71/2*4</f>
        <v>570.13573799999995</v>
      </c>
      <c r="O73" s="23">
        <f>O71*4</f>
        <v>468.541944</v>
      </c>
      <c r="P73" s="23">
        <f>P71/1*4</f>
        <v>671.72953199999995</v>
      </c>
      <c r="Q73" s="23">
        <f>Q71*4</f>
        <v>675.88953200000003</v>
      </c>
      <c r="R73" s="23">
        <f>R71/4*4</f>
        <v>167.57531700000001</v>
      </c>
      <c r="S73" s="23">
        <f>S71*4</f>
        <v>226.82622799999999</v>
      </c>
    </row>
    <row r="74" spans="1:19" ht="30" x14ac:dyDescent="0.25">
      <c r="A74" s="32" t="s">
        <v>76</v>
      </c>
      <c r="B74" s="21">
        <f>(B62+D62+F62+H62+J62)/5</f>
        <v>143460.61309592222</v>
      </c>
      <c r="C74" s="21">
        <f>(B62+D62)/2</f>
        <v>147965.05663997508</v>
      </c>
      <c r="D74" s="21">
        <f>(D62+F62+H62+J62)/4</f>
        <v>142129.69139228773</v>
      </c>
      <c r="E74" s="21">
        <f>(D62+F62)/2</f>
        <v>145472.71394927494</v>
      </c>
      <c r="F74" s="21">
        <f>(F62+H62+J62)/3</f>
        <v>140457.65073322027</v>
      </c>
      <c r="G74" s="21">
        <f>(F62+H62)/2</f>
        <v>141918.88093342542</v>
      </c>
      <c r="H74" s="21">
        <f>(H62+J62)/2</f>
        <v>138786.66883530054</v>
      </c>
      <c r="I74" s="21">
        <f>(H62+J62)/2</f>
        <v>138786.66883530054</v>
      </c>
      <c r="J74" s="21">
        <f>(J62+L62+N62+P62+R62)/5</f>
        <v>132295.68910185405</v>
      </c>
      <c r="K74" s="21">
        <f>(J62+L62)/2</f>
        <v>135998.48966862509</v>
      </c>
      <c r="L74" s="21">
        <f>(L62+N62+P62+R62)/4</f>
        <v>130985.81379411508</v>
      </c>
      <c r="M74" s="21">
        <f>(L62+N62)/2</f>
        <v>133522.31411501017</v>
      </c>
      <c r="N74" s="21">
        <f>(N62+P62+R62)/3</f>
        <v>129827.15539067338</v>
      </c>
      <c r="O74" s="21">
        <f>(N62+P62)/2</f>
        <v>131051.63844250009</v>
      </c>
      <c r="P74" s="21">
        <f>(P62+R62)/2</f>
        <v>128449.31347321998</v>
      </c>
      <c r="Q74" s="21">
        <f>(P62+R62)/2</f>
        <v>128449.31347321998</v>
      </c>
      <c r="R74" s="21">
        <v>124288.89289973801</v>
      </c>
      <c r="S74" s="21">
        <v>126778.86383071498</v>
      </c>
    </row>
    <row r="75" spans="1:19" s="3" customFormat="1" ht="15.75" thickBot="1" x14ac:dyDescent="0.3">
      <c r="A75" s="47" t="s">
        <v>77</v>
      </c>
      <c r="B75" s="57">
        <f>B73/B74</f>
        <v>2.3476198151670459E-3</v>
      </c>
      <c r="C75" s="57">
        <f t="shared" ref="C75:S75" si="23">C73/C74</f>
        <v>2.1797107730965846E-3</v>
      </c>
      <c r="D75" s="57">
        <f t="shared" si="23"/>
        <v>2.4030702146344992E-3</v>
      </c>
      <c r="E75" s="57">
        <f t="shared" si="23"/>
        <v>2.3890416186308607E-3</v>
      </c>
      <c r="F75" s="57">
        <f t="shared" si="23"/>
        <v>2.410344016382781E-3</v>
      </c>
      <c r="G75" s="57">
        <f t="shared" si="23"/>
        <v>2.4264916530841495E-3</v>
      </c>
      <c r="H75" s="57">
        <f t="shared" si="23"/>
        <v>2.3974747343699326E-3</v>
      </c>
      <c r="I75" s="57">
        <f t="shared" si="23"/>
        <v>2.5601943975012659E-3</v>
      </c>
      <c r="J75" s="57">
        <f t="shared" si="23"/>
        <v>3.8551193728416995E-3</v>
      </c>
      <c r="K75" s="57">
        <f t="shared" si="23"/>
        <v>2.8341765628366539E-3</v>
      </c>
      <c r="L75" s="57">
        <f t="shared" si="23"/>
        <v>4.2106823532324098E-3</v>
      </c>
      <c r="M75" s="57">
        <f t="shared" si="23"/>
        <v>3.8521462679036852E-3</v>
      </c>
      <c r="N75" s="57">
        <f t="shared" si="23"/>
        <v>4.3914983447365724E-3</v>
      </c>
      <c r="O75" s="57">
        <f t="shared" si="23"/>
        <v>3.5752467467667442E-3</v>
      </c>
      <c r="P75" s="57">
        <f t="shared" si="23"/>
        <v>5.2295299510498891E-3</v>
      </c>
      <c r="Q75" s="57">
        <f t="shared" si="23"/>
        <v>5.2619162666129333E-3</v>
      </c>
      <c r="R75" s="57">
        <f t="shared" si="23"/>
        <v>1.3482726661277812E-3</v>
      </c>
      <c r="S75" s="57">
        <f t="shared" si="23"/>
        <v>1.7891486099991876E-3</v>
      </c>
    </row>
    <row r="78" spans="1:19" x14ac:dyDescent="0.25">
      <c r="A78" t="s">
        <v>69</v>
      </c>
      <c r="B78" s="23">
        <v>284.02141502000001</v>
      </c>
      <c r="C78" s="23"/>
      <c r="D78" s="23">
        <v>262.93853737999996</v>
      </c>
      <c r="E78" s="23"/>
      <c r="F78" s="23">
        <v>258.01873832999996</v>
      </c>
      <c r="G78" s="23"/>
      <c r="H78" s="23">
        <v>211.24568238999996</v>
      </c>
      <c r="I78" s="23"/>
      <c r="J78" s="23">
        <v>213.64372684999992</v>
      </c>
      <c r="K78" s="23"/>
      <c r="L78" s="23">
        <v>220.93960296999987</v>
      </c>
      <c r="M78" s="23"/>
      <c r="N78" s="23">
        <v>254.58489814000001</v>
      </c>
      <c r="O78" s="23"/>
      <c r="P78" s="23">
        <v>204.99684253999996</v>
      </c>
      <c r="Q78" s="23"/>
      <c r="R78" s="23">
        <v>205.19985896999989</v>
      </c>
      <c r="S78" s="23"/>
    </row>
    <row r="79" spans="1:19" x14ac:dyDescent="0.25">
      <c r="A79" s="33" t="s">
        <v>61</v>
      </c>
      <c r="B79" s="21">
        <f>B62</f>
        <v>148784.29991046002</v>
      </c>
      <c r="C79" s="21"/>
      <c r="D79" s="21">
        <f t="shared" ref="D79:R79" si="24">D62</f>
        <v>147145.81336949015</v>
      </c>
      <c r="E79" s="21"/>
      <c r="F79" s="21">
        <f t="shared" si="24"/>
        <v>143799.61452905973</v>
      </c>
      <c r="G79" s="21"/>
      <c r="H79" s="21">
        <f t="shared" si="24"/>
        <v>140038.1473377911</v>
      </c>
      <c r="I79" s="21"/>
      <c r="J79" s="21">
        <f t="shared" si="24"/>
        <v>137535.19033280999</v>
      </c>
      <c r="K79" s="21"/>
      <c r="L79" s="21">
        <f t="shared" si="24"/>
        <v>134461.78900444019</v>
      </c>
      <c r="M79" s="21"/>
      <c r="N79" s="21">
        <f t="shared" si="24"/>
        <v>132582.83922558016</v>
      </c>
      <c r="O79" s="21"/>
      <c r="P79" s="21">
        <f t="shared" si="24"/>
        <v>129520.43765942003</v>
      </c>
      <c r="Q79" s="21"/>
      <c r="R79" s="21">
        <f t="shared" si="24"/>
        <v>127378.18928701995</v>
      </c>
      <c r="S79" s="21"/>
    </row>
    <row r="80" spans="1:19" ht="30.75" thickBot="1" x14ac:dyDescent="0.3">
      <c r="A80" s="53" t="s">
        <v>70</v>
      </c>
      <c r="B80" s="54">
        <f>B78/B79</f>
        <v>1.9089474843174122E-3</v>
      </c>
      <c r="C80" s="54"/>
      <c r="D80" s="54">
        <f t="shared" ref="D80:R80" si="25">D78/D79</f>
        <v>1.7869250327887261E-3</v>
      </c>
      <c r="E80" s="54"/>
      <c r="F80" s="54">
        <f t="shared" si="25"/>
        <v>1.7942936716138294E-3</v>
      </c>
      <c r="G80" s="54"/>
      <c r="H80" s="54">
        <f t="shared" si="25"/>
        <v>1.5084866974171443E-3</v>
      </c>
      <c r="I80" s="54"/>
      <c r="J80" s="54">
        <f t="shared" si="25"/>
        <v>1.5533750041209179E-3</v>
      </c>
      <c r="K80" s="54"/>
      <c r="L80" s="54">
        <f t="shared" si="25"/>
        <v>1.6431404386766267E-3</v>
      </c>
      <c r="M80" s="54"/>
      <c r="N80" s="54">
        <f t="shared" si="25"/>
        <v>1.9201949485094531E-3</v>
      </c>
      <c r="O80" s="54"/>
      <c r="P80" s="54">
        <f t="shared" si="25"/>
        <v>1.5827374138361748E-3</v>
      </c>
      <c r="Q80" s="54"/>
      <c r="R80" s="54">
        <f t="shared" si="25"/>
        <v>1.6109497247415348E-3</v>
      </c>
      <c r="S80" s="54"/>
    </row>
    <row r="83" spans="1:19" x14ac:dyDescent="0.25">
      <c r="A83" t="s">
        <v>71</v>
      </c>
      <c r="B83" s="23">
        <v>1184.3460325700007</v>
      </c>
      <c r="C83" s="23"/>
      <c r="D83" s="23">
        <v>1215.0663439399998</v>
      </c>
      <c r="E83" s="23"/>
      <c r="F83" s="23">
        <v>1150.7571588999997</v>
      </c>
      <c r="G83" s="23"/>
      <c r="H83" s="23">
        <v>1078.0993718100001</v>
      </c>
      <c r="I83" s="23"/>
      <c r="J83" s="23">
        <v>1474.1701159499994</v>
      </c>
      <c r="K83" s="23"/>
      <c r="L83" s="23">
        <v>1359.8783193500001</v>
      </c>
      <c r="M83" s="23"/>
      <c r="N83" s="23">
        <v>1198.32720404</v>
      </c>
      <c r="O83" s="23"/>
      <c r="P83" s="23">
        <v>411.38801758</v>
      </c>
      <c r="Q83" s="23"/>
      <c r="R83" s="23">
        <v>399.15415899999994</v>
      </c>
      <c r="S83" s="23"/>
    </row>
    <row r="84" spans="1:19" s="16" customFormat="1" x14ac:dyDescent="0.25">
      <c r="A84" s="16" t="s">
        <v>61</v>
      </c>
      <c r="B84" s="20">
        <f>B62</f>
        <v>148784.29991046002</v>
      </c>
      <c r="C84" s="20"/>
      <c r="D84" s="20">
        <f t="shared" ref="D84:R84" si="26">D62</f>
        <v>147145.81336949015</v>
      </c>
      <c r="E84" s="20"/>
      <c r="F84" s="20">
        <f t="shared" si="26"/>
        <v>143799.61452905973</v>
      </c>
      <c r="G84" s="20"/>
      <c r="H84" s="20">
        <f t="shared" si="26"/>
        <v>140038.1473377911</v>
      </c>
      <c r="I84" s="20"/>
      <c r="J84" s="20">
        <f t="shared" si="26"/>
        <v>137535.19033280999</v>
      </c>
      <c r="K84" s="20"/>
      <c r="L84" s="20">
        <f t="shared" si="26"/>
        <v>134461.78900444019</v>
      </c>
      <c r="M84" s="20"/>
      <c r="N84" s="20">
        <f t="shared" si="26"/>
        <v>132582.83922558016</v>
      </c>
      <c r="O84" s="20"/>
      <c r="P84" s="20">
        <f t="shared" si="26"/>
        <v>129520.43765942003</v>
      </c>
      <c r="Q84" s="20"/>
      <c r="R84" s="20">
        <f t="shared" si="26"/>
        <v>127378.18928701995</v>
      </c>
      <c r="S84" s="20"/>
    </row>
    <row r="85" spans="1:19" s="56" customFormat="1" ht="30.75" thickBot="1" x14ac:dyDescent="0.3">
      <c r="A85" s="55" t="s">
        <v>72</v>
      </c>
      <c r="B85" s="57">
        <f>B83/B84</f>
        <v>7.9601546217090979E-3</v>
      </c>
      <c r="C85" s="57"/>
      <c r="D85" s="57">
        <f t="shared" ref="D85:R85" si="27">D83/D84</f>
        <v>8.2575665329254755E-3</v>
      </c>
      <c r="E85" s="57"/>
      <c r="F85" s="57">
        <f t="shared" si="27"/>
        <v>8.0025051713017558E-3</v>
      </c>
      <c r="G85" s="57"/>
      <c r="H85" s="57">
        <f t="shared" si="27"/>
        <v>7.698612073247995E-3</v>
      </c>
      <c r="I85" s="57"/>
      <c r="J85" s="57">
        <f t="shared" si="27"/>
        <v>1.0718494026021831E-2</v>
      </c>
      <c r="K85" s="57"/>
      <c r="L85" s="57">
        <f t="shared" si="27"/>
        <v>1.0113492683821827E-2</v>
      </c>
      <c r="M85" s="57"/>
      <c r="N85" s="57">
        <f t="shared" si="27"/>
        <v>9.0383281202866123E-3</v>
      </c>
      <c r="O85" s="57"/>
      <c r="P85" s="57">
        <f t="shared" si="27"/>
        <v>3.1762401750198201E-3</v>
      </c>
      <c r="Q85" s="57"/>
      <c r="R85" s="57">
        <f t="shared" si="27"/>
        <v>3.1336146418331477E-3</v>
      </c>
      <c r="S85" s="57"/>
    </row>
    <row r="93" spans="1:19" x14ac:dyDescent="0.25">
      <c r="F93" s="23"/>
    </row>
    <row r="94" spans="1:19" x14ac:dyDescent="0.25">
      <c r="F94" s="23"/>
    </row>
    <row r="95" spans="1:19" x14ac:dyDescent="0.25">
      <c r="F95" s="23"/>
    </row>
    <row r="96" spans="1:19" x14ac:dyDescent="0.25">
      <c r="F96" s="23"/>
    </row>
    <row r="97" spans="6:6" x14ac:dyDescent="0.25">
      <c r="F97" s="23"/>
    </row>
    <row r="98" spans="6:6" x14ac:dyDescent="0.25">
      <c r="F98" s="28"/>
    </row>
    <row r="99" spans="6:6" x14ac:dyDescent="0.25">
      <c r="F99" s="23"/>
    </row>
    <row r="100" spans="6:6" x14ac:dyDescent="0.25">
      <c r="F100" s="23"/>
    </row>
    <row r="101" spans="6:6" x14ac:dyDescent="0.25">
      <c r="F101" s="3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10" t="s">
        <v>147</v>
      </c>
    </row>
    <row r="2" spans="1:3" ht="85.5" customHeight="1" x14ac:dyDescent="0.25">
      <c r="A2" s="75" t="s">
        <v>145</v>
      </c>
      <c r="B2" s="75"/>
      <c r="C2" s="35"/>
    </row>
    <row r="3" spans="1:3" ht="78.75" customHeight="1" x14ac:dyDescent="0.25">
      <c r="A3" s="75" t="s">
        <v>146</v>
      </c>
      <c r="B3" s="75"/>
      <c r="C3" s="35"/>
    </row>
    <row r="5" spans="1:3" ht="16.5" thickBot="1" x14ac:dyDescent="0.3">
      <c r="A5" s="68"/>
      <c r="B5" s="67"/>
    </row>
    <row r="6" spans="1:3" ht="30.75" thickBot="1" x14ac:dyDescent="0.3">
      <c r="A6" s="70" t="s">
        <v>129</v>
      </c>
      <c r="B6" s="62" t="s">
        <v>130</v>
      </c>
    </row>
    <row r="7" spans="1:3" ht="105.75" customHeight="1" x14ac:dyDescent="0.25">
      <c r="A7" s="58" t="s">
        <v>180</v>
      </c>
      <c r="B7" s="59" t="s">
        <v>131</v>
      </c>
    </row>
    <row r="8" spans="1:3" ht="108.75" customHeight="1" x14ac:dyDescent="0.25">
      <c r="A8" s="58" t="s">
        <v>132</v>
      </c>
      <c r="B8" s="71" t="s">
        <v>133</v>
      </c>
    </row>
    <row r="9" spans="1:3" ht="122.25" customHeight="1" x14ac:dyDescent="0.25">
      <c r="A9" s="58" t="s">
        <v>134</v>
      </c>
      <c r="B9" s="59" t="s">
        <v>135</v>
      </c>
    </row>
    <row r="10" spans="1:3" ht="75" customHeight="1" x14ac:dyDescent="0.25">
      <c r="A10" s="58" t="s">
        <v>181</v>
      </c>
      <c r="B10" s="71" t="s">
        <v>136</v>
      </c>
    </row>
    <row r="11" spans="1:3" ht="66.75" customHeight="1" x14ac:dyDescent="0.25">
      <c r="A11" s="58" t="s">
        <v>109</v>
      </c>
      <c r="B11" s="59" t="s">
        <v>137</v>
      </c>
    </row>
    <row r="12" spans="1:3" ht="190.5" customHeight="1" x14ac:dyDescent="0.25">
      <c r="A12" s="60" t="s">
        <v>138</v>
      </c>
      <c r="B12" s="71" t="s">
        <v>139</v>
      </c>
    </row>
    <row r="13" spans="1:3" ht="30" customHeight="1" x14ac:dyDescent="0.25">
      <c r="A13" s="61" t="s">
        <v>140</v>
      </c>
      <c r="B13" s="59"/>
    </row>
    <row r="14" spans="1:3" ht="124.5" customHeight="1" x14ac:dyDescent="0.25">
      <c r="A14" s="58" t="s">
        <v>141</v>
      </c>
      <c r="B14" s="59" t="s">
        <v>142</v>
      </c>
    </row>
    <row r="15" spans="1:3" ht="66.75" customHeight="1" x14ac:dyDescent="0.25">
      <c r="A15" s="58" t="s">
        <v>182</v>
      </c>
      <c r="B15" s="71" t="s">
        <v>143</v>
      </c>
    </row>
    <row r="16" spans="1:3" ht="75" customHeight="1" x14ac:dyDescent="0.25">
      <c r="A16" s="58" t="s">
        <v>183</v>
      </c>
      <c r="B16" s="59" t="s">
        <v>144</v>
      </c>
    </row>
    <row r="18" spans="1:1" ht="18.75" x14ac:dyDescent="0.25">
      <c r="A18" s="69"/>
    </row>
    <row r="19" spans="1:1" ht="18.75" x14ac:dyDescent="0.25">
      <c r="A19" s="69"/>
    </row>
    <row r="20" spans="1:1" ht="18.75" x14ac:dyDescent="0.25">
      <c r="A20" s="69"/>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
  <sheetViews>
    <sheetView workbookViewId="0">
      <pane xSplit="1" ySplit="1" topLeftCell="B2" activePane="bottomRight" state="frozen"/>
      <selection pane="topRight" activeCell="B1" sqref="B1"/>
      <selection pane="bottomLeft" activeCell="A2" sqref="A2"/>
      <selection pane="bottomRight" activeCell="D9" sqref="D9"/>
    </sheetView>
  </sheetViews>
  <sheetFormatPr baseColWidth="10" defaultRowHeight="15" x14ac:dyDescent="0.25"/>
  <cols>
    <col min="1" max="1" width="58.7109375" customWidth="1"/>
    <col min="2" max="2" width="16.140625" customWidth="1"/>
    <col min="3" max="3" width="15" customWidth="1"/>
    <col min="4" max="4" width="14.5703125" customWidth="1"/>
    <col min="5" max="5" width="12.42578125" customWidth="1"/>
    <col min="6" max="6" width="14" customWidth="1"/>
    <col min="7" max="7" width="12.85546875" customWidth="1"/>
    <col min="8" max="10" width="15" customWidth="1"/>
    <col min="11" max="11" width="16.140625" customWidth="1"/>
    <col min="12" max="12" width="17.85546875" bestFit="1" customWidth="1"/>
    <col min="13" max="13" width="13" customWidth="1"/>
    <col min="14" max="14" width="17.85546875" bestFit="1" customWidth="1"/>
    <col min="15" max="15" width="13.7109375" customWidth="1"/>
    <col min="16" max="16" width="14.28515625" customWidth="1"/>
    <col min="17" max="17" width="13.42578125" customWidth="1"/>
    <col min="18" max="18" width="13.7109375" customWidth="1"/>
    <col min="19" max="19" width="14" customWidth="1"/>
  </cols>
  <sheetData>
    <row r="1" spans="1:19" s="42" customFormat="1" ht="30" x14ac:dyDescent="0.25">
      <c r="A1" s="42" t="s">
        <v>79</v>
      </c>
      <c r="B1" s="43" t="s">
        <v>149</v>
      </c>
      <c r="C1" s="44" t="s">
        <v>158</v>
      </c>
      <c r="D1" s="43" t="s">
        <v>150</v>
      </c>
      <c r="E1" s="44" t="s">
        <v>159</v>
      </c>
      <c r="F1" s="43" t="s">
        <v>151</v>
      </c>
      <c r="G1" s="44" t="s">
        <v>160</v>
      </c>
      <c r="H1" s="43" t="s">
        <v>152</v>
      </c>
      <c r="I1" s="44" t="s">
        <v>161</v>
      </c>
      <c r="J1" s="43" t="s">
        <v>153</v>
      </c>
      <c r="K1" s="44" t="s">
        <v>162</v>
      </c>
      <c r="L1" s="43" t="s">
        <v>154</v>
      </c>
      <c r="M1" s="44" t="s">
        <v>163</v>
      </c>
      <c r="N1" s="43" t="s">
        <v>155</v>
      </c>
      <c r="O1" s="44" t="s">
        <v>164</v>
      </c>
      <c r="P1" s="43" t="s">
        <v>156</v>
      </c>
      <c r="Q1" s="44" t="s">
        <v>165</v>
      </c>
      <c r="R1" s="43" t="s">
        <v>157</v>
      </c>
      <c r="S1" s="42" t="s">
        <v>166</v>
      </c>
    </row>
    <row r="3" spans="1:19" x14ac:dyDescent="0.25">
      <c r="A3" s="15"/>
      <c r="B3" s="16"/>
      <c r="C3" s="16"/>
      <c r="D3" s="16"/>
      <c r="E3" s="16"/>
      <c r="F3" s="16"/>
      <c r="G3" s="16"/>
      <c r="H3" s="16"/>
      <c r="I3" s="16"/>
      <c r="J3" s="16"/>
      <c r="K3" s="16"/>
      <c r="L3" s="16"/>
      <c r="M3" s="16"/>
      <c r="N3" s="16"/>
      <c r="O3" s="16"/>
      <c r="P3" s="16"/>
      <c r="Q3" s="16"/>
    </row>
    <row r="4" spans="1:19" x14ac:dyDescent="0.25">
      <c r="A4" s="15" t="s">
        <v>80</v>
      </c>
      <c r="B4" s="20">
        <f>[1]Res!$I$26</f>
        <v>1828.1755349999996</v>
      </c>
      <c r="C4" s="20">
        <v>552.96782299999995</v>
      </c>
      <c r="D4" s="24">
        <v>1275.4393257525001</v>
      </c>
      <c r="E4" s="24">
        <v>499.51647091749982</v>
      </c>
      <c r="F4" s="24">
        <v>775.88704233500005</v>
      </c>
      <c r="G4" s="24">
        <v>409.11490300000003</v>
      </c>
      <c r="H4" s="24">
        <v>366.72430600000001</v>
      </c>
      <c r="I4" s="24">
        <v>366.57633725499977</v>
      </c>
      <c r="J4" s="24">
        <v>1680.9976879899996</v>
      </c>
      <c r="K4" s="24">
        <v>470.48943324250013</v>
      </c>
      <c r="L4" s="24">
        <v>1210.4704714974994</v>
      </c>
      <c r="M4" s="24">
        <v>422.4114718350001</v>
      </c>
      <c r="N4" s="24">
        <v>788.05900066250047</v>
      </c>
      <c r="O4" s="24">
        <v>468.42951891500007</v>
      </c>
      <c r="P4" s="24">
        <v>319.62948174750005</v>
      </c>
      <c r="Q4" s="24">
        <v>319.62948174750005</v>
      </c>
      <c r="R4" s="79">
        <v>1454.0306119000004</v>
      </c>
      <c r="S4" s="23">
        <v>296.0728165000001</v>
      </c>
    </row>
    <row r="5" spans="1:19" x14ac:dyDescent="0.25">
      <c r="A5" s="17" t="s">
        <v>81</v>
      </c>
      <c r="B5" s="21">
        <f>[1]Res!$I$27</f>
        <v>33.083989582500003</v>
      </c>
      <c r="C5" s="21">
        <f>8021770.83/1000000</f>
        <v>8.0217708299999995</v>
      </c>
      <c r="D5" s="25">
        <v>25.062218752500002</v>
      </c>
      <c r="E5" s="25">
        <f>8226010.4175/1000000</f>
        <v>8.2260104175000013</v>
      </c>
      <c r="F5" s="25">
        <v>16.836208334999998</v>
      </c>
      <c r="G5" s="25">
        <f>8291458.335/1000000</f>
        <v>8.2914583349999997</v>
      </c>
      <c r="H5" s="25">
        <v>8.5447500000000005</v>
      </c>
      <c r="I5" s="25">
        <f>8544750/1000000</f>
        <v>8.5447500000000005</v>
      </c>
      <c r="J5" s="25">
        <v>33.920749995000001</v>
      </c>
      <c r="K5" s="25">
        <f>8494281.2475/1000000</f>
        <v>8.4942812475</v>
      </c>
      <c r="L5" s="25">
        <v>25.417937497499999</v>
      </c>
      <c r="M5" s="21">
        <v>8.3857708350000006</v>
      </c>
      <c r="N5" s="21">
        <v>17.0321666625</v>
      </c>
      <c r="O5" s="21">
        <v>8.4525729149999993</v>
      </c>
      <c r="P5" s="21">
        <v>8.5795937475000006</v>
      </c>
      <c r="Q5" s="21">
        <v>8.5795937475000006</v>
      </c>
      <c r="R5" s="80">
        <v>36.080729175000002</v>
      </c>
      <c r="S5" s="21">
        <v>8.8693124999999995</v>
      </c>
    </row>
    <row r="6" spans="1:19" x14ac:dyDescent="0.25">
      <c r="A6" s="15" t="s">
        <v>82</v>
      </c>
      <c r="B6" s="20">
        <f>B4-B5</f>
        <v>1795.0915454174997</v>
      </c>
      <c r="C6" s="20">
        <f>C4-C5</f>
        <v>544.94605216999992</v>
      </c>
      <c r="D6" s="24">
        <f>D4-D5</f>
        <v>1250.377107</v>
      </c>
      <c r="E6" s="24">
        <f>E4-E5</f>
        <v>491.29046049999982</v>
      </c>
      <c r="F6" s="24">
        <f>F4-F5</f>
        <v>759.05083400000001</v>
      </c>
      <c r="G6" s="24">
        <f>G4-G5</f>
        <v>400.82344466500001</v>
      </c>
      <c r="H6" s="24">
        <f>H4-H5</f>
        <v>358.17955599999999</v>
      </c>
      <c r="I6" s="24">
        <f>I4-I5</f>
        <v>358.03158725499975</v>
      </c>
      <c r="J6" s="24">
        <f>J4-J5</f>
        <v>1647.0769379949995</v>
      </c>
      <c r="K6" s="24">
        <f>K4-K5</f>
        <v>461.99515199500013</v>
      </c>
      <c r="L6" s="24">
        <f t="shared" ref="L6:R6" si="0">L4-L5</f>
        <v>1185.0525339999995</v>
      </c>
      <c r="M6" s="24">
        <f t="shared" si="0"/>
        <v>414.02570100000008</v>
      </c>
      <c r="N6" s="24">
        <f t="shared" si="0"/>
        <v>771.02683400000046</v>
      </c>
      <c r="O6" s="24">
        <f t="shared" si="0"/>
        <v>459.97694600000005</v>
      </c>
      <c r="P6" s="24">
        <f t="shared" si="0"/>
        <v>311.04988800000007</v>
      </c>
      <c r="Q6" s="24">
        <f t="shared" si="0"/>
        <v>311.04988800000007</v>
      </c>
      <c r="R6" s="24">
        <f t="shared" si="0"/>
        <v>1417.9498827250004</v>
      </c>
      <c r="S6" s="23">
        <f>S4-S5</f>
        <v>287.20350400000012</v>
      </c>
    </row>
    <row r="7" spans="1:19" x14ac:dyDescent="0.25">
      <c r="A7" s="15"/>
      <c r="B7" s="20"/>
      <c r="C7" s="20"/>
      <c r="D7" s="24"/>
      <c r="E7" s="24"/>
      <c r="F7" s="24"/>
      <c r="G7" s="24"/>
      <c r="H7" s="24"/>
      <c r="I7" s="24"/>
      <c r="J7" s="24"/>
      <c r="K7" s="24"/>
      <c r="L7" s="24"/>
      <c r="M7" s="20"/>
      <c r="N7" s="20"/>
      <c r="O7" s="20"/>
      <c r="P7" s="20"/>
      <c r="Q7" s="20"/>
      <c r="R7" s="23"/>
      <c r="S7" s="23"/>
    </row>
    <row r="8" spans="1:19" x14ac:dyDescent="0.25">
      <c r="A8" s="15" t="s">
        <v>83</v>
      </c>
      <c r="B8" s="20">
        <f>[1]Bal!$G$37</f>
        <v>17509.798303000003</v>
      </c>
      <c r="C8" s="20">
        <v>17509.798303000003</v>
      </c>
      <c r="D8" s="24">
        <v>16967.908790752499</v>
      </c>
      <c r="E8" s="24">
        <v>16951.072582417499</v>
      </c>
      <c r="F8" s="24">
        <v>16482.052351450398</v>
      </c>
      <c r="G8" s="24">
        <v>16473.507601450401</v>
      </c>
      <c r="H8" s="24">
        <v>16006.741612000002</v>
      </c>
      <c r="I8" s="24">
        <v>16006.741612000002</v>
      </c>
      <c r="J8" s="24">
        <v>16249.298683999999</v>
      </c>
      <c r="K8" s="24">
        <v>16249.298683999999</v>
      </c>
      <c r="L8" s="24">
        <v>15868.606189497499</v>
      </c>
      <c r="M8" s="20">
        <v>15851.574022835001</v>
      </c>
      <c r="N8" s="20">
        <v>15426.777326662501</v>
      </c>
      <c r="O8" s="20">
        <v>15418.197732915</v>
      </c>
      <c r="P8" s="20">
        <v>15009.085067747499</v>
      </c>
      <c r="Q8" s="20">
        <v>15009.085067747499</v>
      </c>
      <c r="R8" s="20">
        <v>14853.613821999999</v>
      </c>
      <c r="S8" s="20">
        <v>14853.613821999999</v>
      </c>
    </row>
    <row r="9" spans="1:19" x14ac:dyDescent="0.25">
      <c r="A9" s="17" t="s">
        <v>84</v>
      </c>
      <c r="B9" s="21">
        <f>[1]Bal!$G$34</f>
        <v>992.50400000000002</v>
      </c>
      <c r="C9" s="21">
        <v>992.50400000000002</v>
      </c>
      <c r="D9" s="25">
        <f>950+D5</f>
        <v>975.06221875250003</v>
      </c>
      <c r="E9" s="25">
        <f t="shared" ref="E9:I9" si="1">950+E5</f>
        <v>958.22601041749999</v>
      </c>
      <c r="F9" s="25">
        <f t="shared" si="1"/>
        <v>966.83620833500004</v>
      </c>
      <c r="G9" s="25">
        <f t="shared" si="1"/>
        <v>958.29145833500002</v>
      </c>
      <c r="H9" s="25">
        <f t="shared" si="1"/>
        <v>958.54475000000002</v>
      </c>
      <c r="I9" s="25">
        <f t="shared" si="1"/>
        <v>958.54475000000002</v>
      </c>
      <c r="J9" s="25">
        <v>950</v>
      </c>
      <c r="K9" s="25">
        <v>950</v>
      </c>
      <c r="L9" s="25">
        <f t="shared" ref="L9:S9" si="2">950+L5</f>
        <v>975.41793749750002</v>
      </c>
      <c r="M9" s="25">
        <f t="shared" si="2"/>
        <v>958.38577083500002</v>
      </c>
      <c r="N9" s="25">
        <f t="shared" si="2"/>
        <v>967.0321666625</v>
      </c>
      <c r="O9" s="25">
        <f t="shared" si="2"/>
        <v>958.45257291500002</v>
      </c>
      <c r="P9" s="25">
        <f t="shared" si="2"/>
        <v>958.57959374749998</v>
      </c>
      <c r="Q9" s="25">
        <f t="shared" si="2"/>
        <v>958.57959374749998</v>
      </c>
      <c r="R9" s="25">
        <f t="shared" si="2"/>
        <v>986.08072917499999</v>
      </c>
      <c r="S9" s="25">
        <f t="shared" si="2"/>
        <v>958.86931249999998</v>
      </c>
    </row>
    <row r="10" spans="1:19" x14ac:dyDescent="0.25">
      <c r="A10" s="15" t="s">
        <v>85</v>
      </c>
      <c r="B10" s="20">
        <f t="shared" ref="B10:S10" si="3">B8-B9</f>
        <v>16517.294303000002</v>
      </c>
      <c r="C10" s="20">
        <f t="shared" si="3"/>
        <v>16517.294303000002</v>
      </c>
      <c r="D10" s="24">
        <f t="shared" si="3"/>
        <v>15992.846571999999</v>
      </c>
      <c r="E10" s="24">
        <f t="shared" si="3"/>
        <v>15992.846571999999</v>
      </c>
      <c r="F10" s="24">
        <f t="shared" si="3"/>
        <v>15515.216143115398</v>
      </c>
      <c r="G10" s="24">
        <f t="shared" si="3"/>
        <v>15515.216143115402</v>
      </c>
      <c r="H10" s="24">
        <f t="shared" si="3"/>
        <v>15048.196862000001</v>
      </c>
      <c r="I10" s="24">
        <f t="shared" si="3"/>
        <v>15048.196862000001</v>
      </c>
      <c r="J10" s="24">
        <f t="shared" si="3"/>
        <v>15299.298683999999</v>
      </c>
      <c r="K10" s="24">
        <f t="shared" si="3"/>
        <v>15299.298683999999</v>
      </c>
      <c r="L10" s="24">
        <f t="shared" si="3"/>
        <v>14893.188252</v>
      </c>
      <c r="M10" s="20">
        <f t="shared" si="3"/>
        <v>14893.188252</v>
      </c>
      <c r="N10" s="20">
        <f t="shared" si="3"/>
        <v>14459.74516</v>
      </c>
      <c r="O10" s="20">
        <f t="shared" si="3"/>
        <v>14459.745159999999</v>
      </c>
      <c r="P10" s="20">
        <f t="shared" si="3"/>
        <v>14050.505474</v>
      </c>
      <c r="Q10" s="20">
        <f t="shared" si="3"/>
        <v>14050.505474</v>
      </c>
      <c r="R10" s="20">
        <f t="shared" si="3"/>
        <v>13867.533092824999</v>
      </c>
      <c r="S10" s="20">
        <f t="shared" si="3"/>
        <v>13894.7445095</v>
      </c>
    </row>
    <row r="11" spans="1:19" x14ac:dyDescent="0.25">
      <c r="A11" s="15"/>
      <c r="B11" s="20"/>
      <c r="C11" s="20"/>
      <c r="D11" s="24"/>
      <c r="E11" s="24"/>
      <c r="F11" s="24"/>
      <c r="G11" s="24"/>
      <c r="H11" s="24"/>
      <c r="I11" s="24"/>
      <c r="J11" s="24"/>
      <c r="K11" s="24"/>
      <c r="L11" s="24"/>
      <c r="M11" s="20"/>
      <c r="N11" s="20"/>
      <c r="O11" s="20"/>
      <c r="P11" s="20"/>
      <c r="Q11" s="20"/>
      <c r="R11" s="23"/>
      <c r="S11" s="23"/>
    </row>
    <row r="12" spans="1:19" x14ac:dyDescent="0.25">
      <c r="A12" s="15" t="s">
        <v>86</v>
      </c>
      <c r="B12" s="20">
        <f>(B10+D10+F10+H10+J10)/5</f>
        <v>15674.57051282308</v>
      </c>
      <c r="C12" s="20">
        <f>(C10+D10)/2</f>
        <v>16255.0704375</v>
      </c>
      <c r="D12" s="24">
        <f>(D10+F10+H10+J10)/4</f>
        <v>15463.889565278851</v>
      </c>
      <c r="E12" s="24">
        <f>(E10+F10)/2</f>
        <v>15754.031357557698</v>
      </c>
      <c r="F12" s="24">
        <f>(F10+H10+J10)/3</f>
        <v>15287.570563038467</v>
      </c>
      <c r="G12" s="24">
        <f>(G10+H10)/2</f>
        <v>15281.706502557701</v>
      </c>
      <c r="H12" s="24">
        <f>(H10+J10)/2</f>
        <v>15173.747772999999</v>
      </c>
      <c r="I12" s="24">
        <f>(I10+J10)/2</f>
        <v>15173.747772999999</v>
      </c>
      <c r="J12" s="24">
        <f>(J10+L10+N10+P10+R10)/5</f>
        <v>14514.054132565001</v>
      </c>
      <c r="K12" s="24">
        <f>(K10+L10)/2</f>
        <v>15096.243468000001</v>
      </c>
      <c r="L12" s="24">
        <f>(L10+N10+P10+R10)/4</f>
        <v>14317.742994706248</v>
      </c>
      <c r="M12" s="24">
        <f>(M10+N10)/2</f>
        <v>14676.466705999999</v>
      </c>
      <c r="N12" s="20">
        <f>(N10+P10+R10)/3</f>
        <v>14125.927908941667</v>
      </c>
      <c r="O12" s="24">
        <f>(O10+P10)/2</f>
        <v>14255.125316999998</v>
      </c>
      <c r="P12" s="20">
        <f>(P10+R10)/2</f>
        <v>13959.019283412499</v>
      </c>
      <c r="Q12" s="24">
        <f>(Q10+R10)/2</f>
        <v>13959.019283412499</v>
      </c>
      <c r="R12" s="23">
        <v>13119.126429</v>
      </c>
      <c r="S12" s="23">
        <v>13679.268631000001</v>
      </c>
    </row>
    <row r="13" spans="1:19" x14ac:dyDescent="0.25">
      <c r="A13" s="15"/>
      <c r="B13" s="20"/>
      <c r="C13" s="20"/>
      <c r="D13" s="24"/>
      <c r="E13" s="24"/>
      <c r="F13" s="24"/>
      <c r="G13" s="24"/>
      <c r="H13" s="24"/>
      <c r="I13" s="24"/>
      <c r="J13" s="24"/>
      <c r="K13" s="24"/>
      <c r="L13" s="24"/>
      <c r="M13" s="20"/>
      <c r="N13" s="20"/>
      <c r="O13" s="20"/>
      <c r="P13" s="20"/>
      <c r="Q13" s="20"/>
      <c r="R13" s="23"/>
      <c r="S13" s="23"/>
    </row>
    <row r="14" spans="1:19" x14ac:dyDescent="0.25">
      <c r="A14" s="15" t="s">
        <v>87</v>
      </c>
      <c r="B14" s="20">
        <f>B6</f>
        <v>1795.0915454174997</v>
      </c>
      <c r="C14" s="20">
        <f>C6*4</f>
        <v>2179.7842086799997</v>
      </c>
      <c r="D14" s="24">
        <f>D6/3*4</f>
        <v>1667.169476</v>
      </c>
      <c r="E14" s="24">
        <f>E6*4</f>
        <v>1965.1618419999993</v>
      </c>
      <c r="F14" s="24">
        <f>F6/2*4</f>
        <v>1518.101668</v>
      </c>
      <c r="G14" s="24">
        <f>G6*4</f>
        <v>1603.29377866</v>
      </c>
      <c r="H14" s="24">
        <f>H6*4</f>
        <v>1432.718224</v>
      </c>
      <c r="I14" s="24">
        <f>I6*4</f>
        <v>1432.126349019999</v>
      </c>
      <c r="J14" s="24">
        <f>J6</f>
        <v>1647.0769379949995</v>
      </c>
      <c r="K14" s="24">
        <f>K6*4</f>
        <v>1847.9806079800005</v>
      </c>
      <c r="L14" s="24">
        <f>L6/3*4</f>
        <v>1580.0700453333327</v>
      </c>
      <c r="M14" s="24">
        <f>M6*4</f>
        <v>1656.1028040000003</v>
      </c>
      <c r="N14" s="24">
        <f>N6/2*4</f>
        <v>1542.0536680000009</v>
      </c>
      <c r="O14" s="24">
        <f>O6*4</f>
        <v>1839.9077840000002</v>
      </c>
      <c r="P14" s="24">
        <f>P6*4</f>
        <v>1244.1995520000003</v>
      </c>
      <c r="Q14" s="24">
        <f>Q6*4</f>
        <v>1244.1995520000003</v>
      </c>
      <c r="R14" s="24">
        <f>R6</f>
        <v>1417.9498827250004</v>
      </c>
      <c r="S14" s="24">
        <f>S6*4</f>
        <v>1148.8140160000005</v>
      </c>
    </row>
    <row r="15" spans="1:19" x14ac:dyDescent="0.25">
      <c r="A15" s="17" t="s">
        <v>88</v>
      </c>
      <c r="B15" s="21">
        <f t="shared" ref="B15:S15" si="4">B12</f>
        <v>15674.57051282308</v>
      </c>
      <c r="C15" s="21">
        <f t="shared" si="4"/>
        <v>16255.0704375</v>
      </c>
      <c r="D15" s="25">
        <f t="shared" si="4"/>
        <v>15463.889565278851</v>
      </c>
      <c r="E15" s="25">
        <f t="shared" si="4"/>
        <v>15754.031357557698</v>
      </c>
      <c r="F15" s="25">
        <f t="shared" si="4"/>
        <v>15287.570563038467</v>
      </c>
      <c r="G15" s="25">
        <f t="shared" si="4"/>
        <v>15281.706502557701</v>
      </c>
      <c r="H15" s="25">
        <f t="shared" si="4"/>
        <v>15173.747772999999</v>
      </c>
      <c r="I15" s="25">
        <f t="shared" si="4"/>
        <v>15173.747772999999</v>
      </c>
      <c r="J15" s="25">
        <f t="shared" si="4"/>
        <v>14514.054132565001</v>
      </c>
      <c r="K15" s="25">
        <f t="shared" si="4"/>
        <v>15096.243468000001</v>
      </c>
      <c r="L15" s="25">
        <f t="shared" si="4"/>
        <v>14317.742994706248</v>
      </c>
      <c r="M15" s="25">
        <f t="shared" si="4"/>
        <v>14676.466705999999</v>
      </c>
      <c r="N15" s="25">
        <f t="shared" si="4"/>
        <v>14125.927908941667</v>
      </c>
      <c r="O15" s="25">
        <f t="shared" si="4"/>
        <v>14255.125316999998</v>
      </c>
      <c r="P15" s="25">
        <f t="shared" si="4"/>
        <v>13959.019283412499</v>
      </c>
      <c r="Q15" s="25">
        <f t="shared" si="4"/>
        <v>13959.019283412499</v>
      </c>
      <c r="R15" s="25">
        <f t="shared" si="4"/>
        <v>13119.126429</v>
      </c>
      <c r="S15" s="25">
        <f t="shared" si="4"/>
        <v>13679.268631000001</v>
      </c>
    </row>
    <row r="16" spans="1:19" ht="15.75" thickBot="1" x14ac:dyDescent="0.3">
      <c r="A16" s="19" t="s">
        <v>89</v>
      </c>
      <c r="B16" s="22">
        <f>B14/B15</f>
        <v>0.11452253469713687</v>
      </c>
      <c r="C16" s="22">
        <f t="shared" ref="C16:S16" si="5">C14/C15</f>
        <v>0.13409872427567571</v>
      </c>
      <c r="D16" s="26">
        <f t="shared" si="5"/>
        <v>0.10781048771476641</v>
      </c>
      <c r="E16" s="26">
        <f t="shared" si="5"/>
        <v>0.12474025202807852</v>
      </c>
      <c r="F16" s="26">
        <f t="shared" si="5"/>
        <v>9.9303003164570261E-2</v>
      </c>
      <c r="G16" s="26">
        <f t="shared" si="5"/>
        <v>0.10491588608848472</v>
      </c>
      <c r="H16" s="26">
        <f t="shared" si="5"/>
        <v>9.442085405883463E-2</v>
      </c>
      <c r="I16" s="26">
        <f t="shared" si="5"/>
        <v>9.4381847546478201E-2</v>
      </c>
      <c r="J16" s="26">
        <f t="shared" si="5"/>
        <v>0.11348152094179349</v>
      </c>
      <c r="K16" s="26">
        <f t="shared" si="5"/>
        <v>0.12241327532224988</v>
      </c>
      <c r="L16" s="26">
        <f t="shared" si="5"/>
        <v>0.11035748063906006</v>
      </c>
      <c r="M16" s="26">
        <f t="shared" si="5"/>
        <v>0.11284070186477214</v>
      </c>
      <c r="N16" s="26">
        <f t="shared" si="5"/>
        <v>0.10916476977231959</v>
      </c>
      <c r="O16" s="26">
        <f t="shared" si="5"/>
        <v>0.12906991296707943</v>
      </c>
      <c r="P16" s="26">
        <f t="shared" si="5"/>
        <v>8.9132304120998124E-2</v>
      </c>
      <c r="Q16" s="26">
        <f t="shared" si="5"/>
        <v>8.9132304120998124E-2</v>
      </c>
      <c r="R16" s="26">
        <f t="shared" si="5"/>
        <v>0.10808264486197829</v>
      </c>
      <c r="S16" s="26">
        <f t="shared" si="5"/>
        <v>8.3982122655048577E-2</v>
      </c>
    </row>
    <row r="17" spans="1:19" x14ac:dyDescent="0.25">
      <c r="B17" s="40"/>
      <c r="C17" s="40"/>
      <c r="D17" s="40"/>
      <c r="E17" s="40"/>
      <c r="F17" s="40"/>
      <c r="G17" s="40"/>
      <c r="H17" s="40"/>
      <c r="I17" s="40"/>
      <c r="J17" s="40"/>
      <c r="K17" s="40"/>
      <c r="L17" s="40"/>
      <c r="M17" s="40"/>
      <c r="N17" s="40"/>
      <c r="O17" s="40"/>
      <c r="P17" s="40"/>
      <c r="Q17" s="40"/>
      <c r="R17" s="40"/>
    </row>
    <row r="19" spans="1:19" x14ac:dyDescent="0.25">
      <c r="A19" t="s">
        <v>90</v>
      </c>
      <c r="B19" s="31">
        <v>0.63949999999999996</v>
      </c>
      <c r="C19" s="31"/>
      <c r="D19" s="31">
        <v>0.63949999999999996</v>
      </c>
      <c r="E19" s="31"/>
      <c r="F19" s="31">
        <v>0.63949999999999996</v>
      </c>
      <c r="G19" s="31"/>
      <c r="H19" s="31">
        <v>0.63949999999999996</v>
      </c>
      <c r="I19" s="31"/>
      <c r="J19" s="31">
        <v>0.63949999999999996</v>
      </c>
      <c r="K19" s="31"/>
      <c r="L19" s="28">
        <v>0.63956838636193558</v>
      </c>
      <c r="N19" s="28">
        <v>0.63956838636193558</v>
      </c>
      <c r="P19" s="28">
        <v>0.63956838636193558</v>
      </c>
      <c r="R19" s="28">
        <v>0.63956452367169381</v>
      </c>
    </row>
    <row r="20" spans="1:19" x14ac:dyDescent="0.25">
      <c r="A20" t="s">
        <v>91</v>
      </c>
      <c r="B20" s="23">
        <v>126.145752</v>
      </c>
      <c r="C20" s="23"/>
      <c r="D20" s="23">
        <v>139.03655800000001</v>
      </c>
      <c r="E20" s="23"/>
      <c r="F20" s="23">
        <v>139.03655800000001</v>
      </c>
      <c r="G20" s="23"/>
      <c r="H20" s="23">
        <v>139.03655800000001</v>
      </c>
      <c r="I20" s="23"/>
      <c r="J20" s="23">
        <v>139.03655800000001</v>
      </c>
      <c r="K20" s="23"/>
      <c r="L20" s="23">
        <v>232.549859</v>
      </c>
      <c r="M20" s="23"/>
      <c r="N20" s="23">
        <v>232.549859</v>
      </c>
      <c r="O20" s="23"/>
      <c r="P20" s="23">
        <v>289.83471900000001</v>
      </c>
      <c r="Q20" s="23"/>
      <c r="R20" s="23">
        <v>289.83471900000001</v>
      </c>
    </row>
    <row r="21" spans="1:19" x14ac:dyDescent="0.25">
      <c r="A21" t="s">
        <v>92</v>
      </c>
      <c r="B21" s="23">
        <v>1546.6467709999997</v>
      </c>
      <c r="C21" s="23"/>
      <c r="D21" s="23">
        <f>1891.111873+3.651389</f>
        <v>1894.7632620000002</v>
      </c>
      <c r="E21" s="23"/>
      <c r="F21" s="23">
        <f>3.699139+1901.636422</f>
        <v>1905.3355610000001</v>
      </c>
      <c r="G21" s="23"/>
      <c r="H21" s="23">
        <f>3.762917+1921.46862452958</f>
        <v>1925.23154152958</v>
      </c>
      <c r="I21" s="23"/>
      <c r="J21" s="23">
        <v>1656.3721639999999</v>
      </c>
      <c r="K21" s="23"/>
      <c r="L21" s="23">
        <f>3.842917+1678.69830042076</f>
        <v>1682.5412174207599</v>
      </c>
      <c r="M21" s="23"/>
      <c r="N21" s="23">
        <f>3.685028+1680.74499610025</f>
        <v>1684.4300241002502</v>
      </c>
      <c r="O21" s="23"/>
      <c r="P21" s="23">
        <f>3.793069+1705.13252024665</f>
        <v>1708.9255892466501</v>
      </c>
      <c r="Q21" s="23"/>
      <c r="R21" s="23">
        <v>1597.0129869999998</v>
      </c>
    </row>
    <row r="22" spans="1:19" x14ac:dyDescent="0.25">
      <c r="A22" t="s">
        <v>173</v>
      </c>
      <c r="B22" s="23">
        <f t="shared" ref="B22:K22" si="6">129836443-B23-B24</f>
        <v>129379137</v>
      </c>
      <c r="C22" s="23">
        <f t="shared" si="6"/>
        <v>129379137</v>
      </c>
      <c r="D22" s="23">
        <f t="shared" si="6"/>
        <v>129402711</v>
      </c>
      <c r="E22" s="23">
        <f t="shared" si="6"/>
        <v>129402711</v>
      </c>
      <c r="F22" s="23">
        <f t="shared" si="6"/>
        <v>129536890</v>
      </c>
      <c r="G22" s="23">
        <f t="shared" si="6"/>
        <v>129536890</v>
      </c>
      <c r="H22" s="23">
        <f t="shared" si="6"/>
        <v>129483846</v>
      </c>
      <c r="I22" s="23">
        <f t="shared" si="6"/>
        <v>129483846</v>
      </c>
      <c r="J22" s="23">
        <f t="shared" si="6"/>
        <v>129636564</v>
      </c>
      <c r="K22" s="23">
        <f t="shared" si="6"/>
        <v>129636564</v>
      </c>
      <c r="L22" s="23">
        <f>129836443-L23-L24</f>
        <v>129661718</v>
      </c>
      <c r="M22" s="23">
        <f>129836443-M23-M24</f>
        <v>129661718</v>
      </c>
      <c r="N22" s="23">
        <f>129836443-N23-N24</f>
        <v>129466693</v>
      </c>
      <c r="O22" s="23">
        <f>129836443-O23-O24</f>
        <v>129466693</v>
      </c>
      <c r="P22" s="23">
        <f>129836443-P23-P24</f>
        <v>129470619</v>
      </c>
      <c r="Q22" s="23">
        <f>129836443-Q23-Q24</f>
        <v>129470619</v>
      </c>
      <c r="R22" s="23">
        <f>129836443-R23-R24</f>
        <v>129432210</v>
      </c>
      <c r="S22" s="23">
        <f>129836443-S23-S24</f>
        <v>129432210</v>
      </c>
    </row>
    <row r="23" spans="1:19" x14ac:dyDescent="0.25">
      <c r="A23" t="s">
        <v>169</v>
      </c>
      <c r="B23" s="23">
        <v>1995</v>
      </c>
      <c r="C23" s="23">
        <v>1995</v>
      </c>
      <c r="D23" s="23">
        <v>2820</v>
      </c>
      <c r="E23" s="23">
        <v>2820</v>
      </c>
      <c r="F23" s="23">
        <v>2820</v>
      </c>
      <c r="G23" s="23">
        <v>2820</v>
      </c>
      <c r="H23" s="23">
        <v>2737</v>
      </c>
      <c r="I23" s="23">
        <v>2737</v>
      </c>
      <c r="J23" s="23">
        <v>4240</v>
      </c>
      <c r="K23" s="23">
        <v>4240</v>
      </c>
      <c r="L23" s="23">
        <v>4240</v>
      </c>
      <c r="M23" s="23">
        <v>4240</v>
      </c>
      <c r="N23" s="23">
        <v>4240</v>
      </c>
      <c r="O23" s="23">
        <v>4240</v>
      </c>
      <c r="P23" s="23">
        <v>4061</v>
      </c>
      <c r="Q23" s="23">
        <v>4061</v>
      </c>
      <c r="R23" s="23">
        <v>6431</v>
      </c>
      <c r="S23" s="23">
        <v>6431</v>
      </c>
    </row>
    <row r="24" spans="1:19" x14ac:dyDescent="0.25">
      <c r="A24" t="s">
        <v>170</v>
      </c>
      <c r="B24" s="23">
        <v>455311</v>
      </c>
      <c r="C24" s="23">
        <v>455311</v>
      </c>
      <c r="D24" s="23">
        <v>430912</v>
      </c>
      <c r="E24" s="23">
        <v>430912</v>
      </c>
      <c r="F24" s="23">
        <v>296733</v>
      </c>
      <c r="G24" s="23">
        <v>296733</v>
      </c>
      <c r="H24" s="23">
        <v>349860</v>
      </c>
      <c r="I24" s="23">
        <v>349860</v>
      </c>
      <c r="J24" s="23">
        <v>195639</v>
      </c>
      <c r="K24" s="23">
        <v>195639</v>
      </c>
      <c r="L24" s="23">
        <v>170485</v>
      </c>
      <c r="M24" s="23">
        <v>170485</v>
      </c>
      <c r="N24" s="23">
        <v>365510</v>
      </c>
      <c r="O24" s="23">
        <v>365510</v>
      </c>
      <c r="P24" s="23">
        <v>361763</v>
      </c>
      <c r="Q24" s="23">
        <v>361763</v>
      </c>
      <c r="R24" s="23">
        <v>397802</v>
      </c>
      <c r="S24" s="23">
        <v>397802</v>
      </c>
    </row>
    <row r="25" spans="1:19" x14ac:dyDescent="0.25">
      <c r="A25" t="s">
        <v>148</v>
      </c>
      <c r="B25" s="23">
        <f>(B22+D22+F22+H22+J22)/5</f>
        <v>129487829.59999999</v>
      </c>
      <c r="C25" s="23">
        <f>(C22+E22)/2</f>
        <v>129390924</v>
      </c>
      <c r="D25" s="23">
        <f>(D22+F22+H22+J22)/4</f>
        <v>129515002.75</v>
      </c>
      <c r="E25" s="23">
        <f>(E22+G22)/2</f>
        <v>129469800.5</v>
      </c>
      <c r="F25" s="23">
        <f>(F22+H22+J22)/3</f>
        <v>129552433.33333333</v>
      </c>
      <c r="G25" s="23">
        <f>(G22+I22)/2</f>
        <v>129510368</v>
      </c>
      <c r="H25" s="23">
        <f>(H22+J22)/2</f>
        <v>129560205</v>
      </c>
      <c r="I25" s="23">
        <f>(I22+K22)/2</f>
        <v>129560205</v>
      </c>
      <c r="J25" s="23">
        <f>(J22+L22+N22+P22+R22)/5</f>
        <v>129533560.8</v>
      </c>
      <c r="K25" s="23">
        <f>(K22+M22)/2</f>
        <v>129649141</v>
      </c>
      <c r="L25" s="23">
        <f>(L22+N22+P22+R22)/4</f>
        <v>129507810</v>
      </c>
      <c r="M25" s="23">
        <f>(M22+O22)/2</f>
        <v>129564205.5</v>
      </c>
      <c r="N25" s="23">
        <f>(N22+P22+R22)/3</f>
        <v>129456507.33333333</v>
      </c>
      <c r="O25" s="23">
        <f>(O22+Q22)/2</f>
        <v>129468656</v>
      </c>
      <c r="P25" s="23">
        <f>(P22+R22)/2</f>
        <v>129451414.5</v>
      </c>
      <c r="Q25" s="23">
        <f>(Q22+S22)/2</f>
        <v>129451414.5</v>
      </c>
      <c r="R25" s="23">
        <v>129608423.5</v>
      </c>
      <c r="S25" s="23">
        <v>129460084</v>
      </c>
    </row>
    <row r="26" spans="1:19" x14ac:dyDescent="0.25">
      <c r="B26" s="23"/>
      <c r="C26" s="23"/>
      <c r="D26" s="23"/>
      <c r="E26" s="23"/>
      <c r="F26" s="23"/>
      <c r="G26" s="23"/>
      <c r="H26" s="23"/>
      <c r="I26" s="23"/>
      <c r="J26" s="23"/>
      <c r="K26" s="23"/>
      <c r="L26" s="23"/>
      <c r="M26" s="23"/>
      <c r="N26" s="23"/>
      <c r="O26" s="23"/>
      <c r="P26" s="23"/>
      <c r="Q26" s="23"/>
      <c r="R26" s="23"/>
    </row>
    <row r="27" spans="1:19" x14ac:dyDescent="0.25">
      <c r="A27" t="s">
        <v>85</v>
      </c>
      <c r="B27" s="23">
        <f>B10</f>
        <v>16517.294303000002</v>
      </c>
      <c r="C27" s="23"/>
      <c r="D27" s="23">
        <f>D10</f>
        <v>15992.846571999999</v>
      </c>
      <c r="E27" s="23"/>
      <c r="F27" s="23">
        <f>F10</f>
        <v>15515.216143115398</v>
      </c>
      <c r="G27" s="23"/>
      <c r="H27" s="23">
        <f>H10</f>
        <v>15048.196862000001</v>
      </c>
      <c r="I27" s="23"/>
      <c r="J27" s="23">
        <f>J10</f>
        <v>15299.298683999999</v>
      </c>
      <c r="K27" s="23"/>
      <c r="L27" s="23">
        <f>L10</f>
        <v>14893.188252</v>
      </c>
      <c r="M27" s="23"/>
      <c r="N27" s="23">
        <f>N10</f>
        <v>14459.74516</v>
      </c>
      <c r="O27" s="23"/>
      <c r="P27" s="23">
        <f>P10</f>
        <v>14050.505474</v>
      </c>
      <c r="Q27" s="23"/>
      <c r="R27" s="23">
        <f>R10</f>
        <v>13867.533092824999</v>
      </c>
    </row>
    <row r="28" spans="1:19" x14ac:dyDescent="0.25">
      <c r="A28" t="s">
        <v>93</v>
      </c>
      <c r="B28" s="23">
        <v>564.92959399999995</v>
      </c>
      <c r="C28" s="23"/>
      <c r="D28" s="23">
        <v>515.54237899999998</v>
      </c>
      <c r="E28" s="23"/>
      <c r="F28" s="23">
        <v>513.735636</v>
      </c>
      <c r="G28" s="23"/>
      <c r="H28" s="23">
        <v>443.28066447042352</v>
      </c>
      <c r="I28" s="23"/>
      <c r="J28" s="23">
        <v>425.04569099999998</v>
      </c>
      <c r="K28" s="23"/>
      <c r="L28" s="23">
        <v>411.48454857923542</v>
      </c>
      <c r="M28" s="23"/>
      <c r="N28" s="23">
        <v>402.75929389975136</v>
      </c>
      <c r="O28" s="23"/>
      <c r="P28" s="23">
        <v>372.4311167533462</v>
      </c>
      <c r="Q28" s="23"/>
      <c r="R28" s="23">
        <v>318.26908900000001</v>
      </c>
    </row>
    <row r="29" spans="1:19" x14ac:dyDescent="0.25">
      <c r="A29" t="s">
        <v>94</v>
      </c>
      <c r="B29" s="23">
        <v>321.868717</v>
      </c>
      <c r="C29" s="23"/>
      <c r="D29" s="23">
        <v>0</v>
      </c>
      <c r="E29" s="23"/>
      <c r="F29" s="23">
        <v>0</v>
      </c>
      <c r="G29" s="23"/>
      <c r="H29" s="23">
        <v>0</v>
      </c>
      <c r="I29" s="23"/>
      <c r="J29" s="23">
        <v>219.51398599999999</v>
      </c>
      <c r="K29" s="23"/>
      <c r="L29" s="23">
        <v>0</v>
      </c>
      <c r="M29" s="23"/>
      <c r="N29" s="23">
        <v>0</v>
      </c>
      <c r="O29" s="23"/>
      <c r="P29" s="23">
        <v>0</v>
      </c>
      <c r="Q29" s="23"/>
      <c r="R29" s="23">
        <v>40</v>
      </c>
    </row>
    <row r="30" spans="1:19" x14ac:dyDescent="0.25">
      <c r="A30" t="s">
        <v>95</v>
      </c>
      <c r="B30" s="23">
        <v>4831.1970330000004</v>
      </c>
      <c r="C30" s="23"/>
      <c r="D30" s="23">
        <v>4497.6340479999999</v>
      </c>
      <c r="E30" s="23"/>
      <c r="F30" s="23">
        <v>4497.6340479999999</v>
      </c>
      <c r="G30" s="23"/>
      <c r="H30" s="23">
        <v>4497.6340479999999</v>
      </c>
      <c r="I30" s="23"/>
      <c r="J30" s="23">
        <f>4497.634048+1.427523</f>
        <v>4499.0615710000002</v>
      </c>
      <c r="K30" s="23"/>
      <c r="L30" s="23">
        <v>4104.7686400000002</v>
      </c>
      <c r="M30" s="23"/>
      <c r="N30" s="23">
        <v>4104.7686400000002</v>
      </c>
      <c r="O30" s="23"/>
      <c r="P30" s="23">
        <v>4104.7686400000002</v>
      </c>
      <c r="Q30" s="23"/>
      <c r="R30" s="23">
        <f>1.366954+4104.768641</f>
        <v>4106.1355949999997</v>
      </c>
    </row>
    <row r="31" spans="1:19" ht="30" x14ac:dyDescent="0.25">
      <c r="A31" s="18" t="s">
        <v>96</v>
      </c>
      <c r="B31" s="23">
        <f>B20*(1-B19)</f>
        <v>45.475543596000009</v>
      </c>
      <c r="C31" s="23"/>
      <c r="D31" s="23">
        <f>D20*(1-D19)</f>
        <v>50.122679159000008</v>
      </c>
      <c r="E31" s="23"/>
      <c r="F31" s="23">
        <f>F20*(1-F19)</f>
        <v>50.122679159000008</v>
      </c>
      <c r="G31" s="23"/>
      <c r="H31" s="23">
        <f>H20*(1-H19)</f>
        <v>50.122679159000008</v>
      </c>
      <c r="I31" s="23"/>
      <c r="J31" s="23">
        <f>J20*(1-J19)</f>
        <v>50.122679159000008</v>
      </c>
      <c r="K31" s="23"/>
      <c r="L31" s="23">
        <f>L20*(1-L19)</f>
        <v>83.818320930674361</v>
      </c>
      <c r="M31" s="23"/>
      <c r="N31" s="23">
        <f>N20*(1-N19)</f>
        <v>83.818320930674361</v>
      </c>
      <c r="O31" s="23"/>
      <c r="P31" s="23">
        <f>P20*(1-P19)</f>
        <v>104.46559545750497</v>
      </c>
      <c r="Q31" s="23"/>
      <c r="R31" s="23">
        <f>R20*(1-R19)</f>
        <v>104.46671499924578</v>
      </c>
    </row>
    <row r="32" spans="1:19" ht="30" x14ac:dyDescent="0.25">
      <c r="A32" s="32" t="s">
        <v>97</v>
      </c>
      <c r="B32" s="21">
        <f>B21*(1-B19)</f>
        <v>557.56616094549997</v>
      </c>
      <c r="C32" s="21"/>
      <c r="D32" s="21">
        <f>D21*(1-D19)</f>
        <v>683.06215595100014</v>
      </c>
      <c r="E32" s="21"/>
      <c r="F32" s="21">
        <f>F21*(1-F19)</f>
        <v>686.87346974050013</v>
      </c>
      <c r="G32" s="21"/>
      <c r="H32" s="21">
        <f>H21*(1-H19)</f>
        <v>694.04597072141371</v>
      </c>
      <c r="I32" s="21"/>
      <c r="J32" s="21">
        <f>J21*(1-J19)</f>
        <v>597.12216512200007</v>
      </c>
      <c r="K32" s="21"/>
      <c r="L32" s="21">
        <f>L21*(1-L19)</f>
        <v>606.44104600751791</v>
      </c>
      <c r="M32" s="21"/>
      <c r="N32" s="21">
        <f>N21*(1-N19)</f>
        <v>607.12183164685689</v>
      </c>
      <c r="O32" s="21"/>
      <c r="P32" s="21">
        <f>P21*(1-P19)</f>
        <v>615.9508077195502</v>
      </c>
      <c r="Q32" s="21"/>
      <c r="R32" s="21">
        <f>R21*(1-R19)</f>
        <v>575.62013667183601</v>
      </c>
      <c r="S32" s="33"/>
    </row>
    <row r="33" spans="1:19" x14ac:dyDescent="0.25">
      <c r="A33" t="s">
        <v>98</v>
      </c>
      <c r="B33" s="23">
        <f>B27-B28-B29-B30-B31-B32</f>
        <v>10196.257254458504</v>
      </c>
      <c r="C33" s="23"/>
      <c r="D33" s="23">
        <f>D27-D28-D29-D30-D31-D32</f>
        <v>10246.485309889998</v>
      </c>
      <c r="E33" s="23"/>
      <c r="F33" s="23">
        <f>F27-F28-F29-F30-F31-F32</f>
        <v>9766.8503102158993</v>
      </c>
      <c r="G33" s="23"/>
      <c r="H33" s="23">
        <f>H27-H28-H29-H30-H31-H32</f>
        <v>9363.1134996491637</v>
      </c>
      <c r="I33" s="23"/>
      <c r="J33" s="23">
        <f>J27-J28-J29-J30-J31-J32</f>
        <v>9508.4325917189999</v>
      </c>
      <c r="K33" s="23"/>
      <c r="L33" s="23">
        <f>L27-L28-L29-L30-L31-L32</f>
        <v>9686.6756964825727</v>
      </c>
      <c r="M33" s="23"/>
      <c r="N33" s="23">
        <f>N27-N28-N29-N30-N31-N32</f>
        <v>9261.2770735227186</v>
      </c>
      <c r="O33" s="23"/>
      <c r="P33" s="23">
        <f>P27-P28-P29-P30-P31-P32</f>
        <v>8852.8893140695982</v>
      </c>
      <c r="Q33" s="23"/>
      <c r="R33" s="23">
        <f>R27-R28-R29-R30-R31-R32</f>
        <v>8723.0415571539179</v>
      </c>
    </row>
    <row r="34" spans="1:19" x14ac:dyDescent="0.25">
      <c r="A34" s="33" t="s">
        <v>99</v>
      </c>
      <c r="B34" s="21">
        <f>B22</f>
        <v>129379137</v>
      </c>
      <c r="C34" s="33"/>
      <c r="D34" s="21">
        <f>D22</f>
        <v>129402711</v>
      </c>
      <c r="E34" s="33"/>
      <c r="F34" s="21">
        <f>F22</f>
        <v>129536890</v>
      </c>
      <c r="G34" s="33"/>
      <c r="H34" s="21">
        <f>H22</f>
        <v>129483846</v>
      </c>
      <c r="I34" s="33"/>
      <c r="J34" s="21">
        <f>J22</f>
        <v>129636564</v>
      </c>
      <c r="K34" s="33"/>
      <c r="L34" s="21">
        <f>L22</f>
        <v>129661718</v>
      </c>
      <c r="M34" s="33"/>
      <c r="N34" s="21">
        <f>N22</f>
        <v>129466693</v>
      </c>
      <c r="O34" s="33"/>
      <c r="P34" s="21">
        <f>P22</f>
        <v>129470619</v>
      </c>
      <c r="Q34" s="33"/>
      <c r="R34" s="21">
        <f>R22</f>
        <v>129432210</v>
      </c>
      <c r="S34" s="33"/>
    </row>
    <row r="35" spans="1:19" ht="15.75" thickBot="1" x14ac:dyDescent="0.3">
      <c r="A35" s="37" t="s">
        <v>111</v>
      </c>
      <c r="B35" s="38">
        <f>B33*1000000/B34</f>
        <v>78.809130211299092</v>
      </c>
      <c r="C35" s="37"/>
      <c r="D35" s="38">
        <f>D33*1000000/D34</f>
        <v>79.182926159019956</v>
      </c>
      <c r="E35" s="37"/>
      <c r="F35" s="38">
        <f>F33*1000000/F34</f>
        <v>75.398215212793033</v>
      </c>
      <c r="G35" s="37"/>
      <c r="H35" s="38">
        <f>H33*1000000/H34</f>
        <v>72.311054922242306</v>
      </c>
      <c r="I35" s="37"/>
      <c r="J35" s="38">
        <f>J33*1000000/J34</f>
        <v>73.346842112530837</v>
      </c>
      <c r="K35" s="37"/>
      <c r="L35" s="38">
        <f>L33*1000000/L34</f>
        <v>74.707290986863001</v>
      </c>
      <c r="M35" s="37"/>
      <c r="N35" s="38">
        <f>N33*1000000/N34</f>
        <v>71.534051414464713</v>
      </c>
      <c r="O35" s="37"/>
      <c r="P35" s="38">
        <f>P33*1000000/P34</f>
        <v>68.377593174785062</v>
      </c>
      <c r="Q35" s="37"/>
      <c r="R35" s="38">
        <f>R33*1000000/R34</f>
        <v>67.394673684038281</v>
      </c>
      <c r="S35" s="36"/>
    </row>
    <row r="36" spans="1:19" x14ac:dyDescent="0.25">
      <c r="B36" s="29"/>
    </row>
    <row r="37" spans="1:19" x14ac:dyDescent="0.25">
      <c r="A37" s="34"/>
      <c r="B37" s="16"/>
    </row>
    <row r="38" spans="1:19" x14ac:dyDescent="0.25">
      <c r="A38" s="49" t="s">
        <v>174</v>
      </c>
      <c r="B38" s="20">
        <v>1127.798624544118</v>
      </c>
      <c r="C38" s="23">
        <v>340.55942061903244</v>
      </c>
      <c r="D38" s="23">
        <v>787.34958428150003</v>
      </c>
      <c r="E38" s="23">
        <v>313.0856250137499</v>
      </c>
      <c r="F38" s="23">
        <v>474.24105717399993</v>
      </c>
      <c r="G38" s="23">
        <v>249.20846373734918</v>
      </c>
      <c r="H38" s="23">
        <v>225.00200401891829</v>
      </c>
      <c r="I38" s="23">
        <v>224.9073780064906</v>
      </c>
      <c r="J38" s="23">
        <v>1026.970835408302</v>
      </c>
      <c r="K38" s="23">
        <v>286.57281439623256</v>
      </c>
      <c r="L38" s="23">
        <v>740.45848847497552</v>
      </c>
      <c r="M38" s="23">
        <v>259.19796399937474</v>
      </c>
      <c r="N38" s="23">
        <v>481.26052511516997</v>
      </c>
      <c r="O38" s="23">
        <v>287.38064719324177</v>
      </c>
      <c r="P38" s="23">
        <v>193.87987792192789</v>
      </c>
      <c r="Q38" s="23">
        <v>193.87987792192789</v>
      </c>
      <c r="R38" s="23">
        <v>901.7337411579532</v>
      </c>
      <c r="S38" s="23">
        <v>185.71536351095801</v>
      </c>
    </row>
    <row r="39" spans="1:19" x14ac:dyDescent="0.25">
      <c r="A39" s="33" t="s">
        <v>175</v>
      </c>
      <c r="B39" s="41">
        <f>B25</f>
        <v>129487829.59999999</v>
      </c>
      <c r="C39" s="41">
        <f t="shared" ref="C39:S39" si="7">C25</f>
        <v>129390924</v>
      </c>
      <c r="D39" s="41">
        <f t="shared" si="7"/>
        <v>129515002.75</v>
      </c>
      <c r="E39" s="41">
        <f t="shared" si="7"/>
        <v>129469800.5</v>
      </c>
      <c r="F39" s="41">
        <f t="shared" si="7"/>
        <v>129552433.33333333</v>
      </c>
      <c r="G39" s="41">
        <f t="shared" si="7"/>
        <v>129510368</v>
      </c>
      <c r="H39" s="41">
        <f t="shared" si="7"/>
        <v>129560205</v>
      </c>
      <c r="I39" s="41">
        <f t="shared" si="7"/>
        <v>129560205</v>
      </c>
      <c r="J39" s="41">
        <f t="shared" si="7"/>
        <v>129533560.8</v>
      </c>
      <c r="K39" s="41">
        <f t="shared" si="7"/>
        <v>129649141</v>
      </c>
      <c r="L39" s="41">
        <f t="shared" si="7"/>
        <v>129507810</v>
      </c>
      <c r="M39" s="41">
        <f t="shared" si="7"/>
        <v>129564205.5</v>
      </c>
      <c r="N39" s="41">
        <f t="shared" si="7"/>
        <v>129456507.33333333</v>
      </c>
      <c r="O39" s="41">
        <f t="shared" si="7"/>
        <v>129468656</v>
      </c>
      <c r="P39" s="41">
        <f t="shared" si="7"/>
        <v>129451414.5</v>
      </c>
      <c r="Q39" s="41">
        <f t="shared" si="7"/>
        <v>129451414.5</v>
      </c>
      <c r="R39" s="41">
        <f t="shared" si="7"/>
        <v>129608423.5</v>
      </c>
      <c r="S39" s="41">
        <f t="shared" si="7"/>
        <v>129460084</v>
      </c>
    </row>
    <row r="40" spans="1:19" s="49" customFormat="1" x14ac:dyDescent="0.25">
      <c r="A40" s="49" t="s">
        <v>100</v>
      </c>
      <c r="B40" s="50">
        <f>(B38*1000000)/B39</f>
        <v>8.709688223426042</v>
      </c>
      <c r="C40" s="50">
        <f t="shared" ref="C40:S40" si="8">(C38*1000000)/C39</f>
        <v>2.6320193881530085</v>
      </c>
      <c r="D40" s="50">
        <f t="shared" si="8"/>
        <v>6.0792152844354552</v>
      </c>
      <c r="E40" s="50">
        <f t="shared" si="8"/>
        <v>2.418213543271428</v>
      </c>
      <c r="F40" s="50">
        <f t="shared" si="8"/>
        <v>3.6606109586054343</v>
      </c>
      <c r="G40" s="50">
        <f t="shared" si="8"/>
        <v>1.9242356236479012</v>
      </c>
      <c r="H40" s="50">
        <f t="shared" si="8"/>
        <v>1.7366598333100682</v>
      </c>
      <c r="I40" s="50">
        <f t="shared" si="8"/>
        <v>1.735929470059812</v>
      </c>
      <c r="J40" s="50">
        <f t="shared" si="8"/>
        <v>7.9282220689813858</v>
      </c>
      <c r="K40" s="50">
        <f t="shared" si="8"/>
        <v>2.2103718712354024</v>
      </c>
      <c r="L40" s="50">
        <f t="shared" si="8"/>
        <v>5.7174813509314646</v>
      </c>
      <c r="M40" s="50">
        <f t="shared" si="8"/>
        <v>2.0005368226440807</v>
      </c>
      <c r="N40" s="50">
        <f t="shared" si="8"/>
        <v>3.7175460317030486</v>
      </c>
      <c r="O40" s="50">
        <f t="shared" si="8"/>
        <v>2.2196928281486277</v>
      </c>
      <c r="P40" s="50">
        <f t="shared" si="8"/>
        <v>1.4977038193887631</v>
      </c>
      <c r="Q40" s="50">
        <f t="shared" si="8"/>
        <v>1.4977038193887631</v>
      </c>
      <c r="R40" s="50">
        <f t="shared" si="8"/>
        <v>6.9573698746359129</v>
      </c>
      <c r="S40" s="50">
        <f t="shared" si="8"/>
        <v>1.4345376410458532</v>
      </c>
    </row>
    <row r="41" spans="1:19" s="16" customFormat="1" x14ac:dyDescent="0.25"/>
    <row r="42" spans="1:19" x14ac:dyDescent="0.25">
      <c r="A42" t="s">
        <v>112</v>
      </c>
      <c r="B42">
        <v>82.25</v>
      </c>
      <c r="C42">
        <v>82.25</v>
      </c>
      <c r="D42">
        <v>81.25</v>
      </c>
      <c r="E42">
        <v>81.25</v>
      </c>
      <c r="F42">
        <v>71.75</v>
      </c>
      <c r="G42">
        <v>71.75</v>
      </c>
      <c r="H42">
        <v>66.5</v>
      </c>
      <c r="I42">
        <v>66.5</v>
      </c>
      <c r="J42">
        <v>64.75</v>
      </c>
      <c r="K42">
        <v>64.75</v>
      </c>
      <c r="L42">
        <v>55.75</v>
      </c>
      <c r="M42">
        <v>55.75</v>
      </c>
      <c r="N42">
        <v>46.7</v>
      </c>
      <c r="O42">
        <v>46.7</v>
      </c>
      <c r="P42">
        <v>52.75</v>
      </c>
      <c r="Q42">
        <v>52.75</v>
      </c>
      <c r="R42">
        <v>50.5</v>
      </c>
      <c r="S42">
        <v>50.5</v>
      </c>
    </row>
    <row r="43" spans="1:19" x14ac:dyDescent="0.25">
      <c r="A43" s="49" t="s">
        <v>113</v>
      </c>
      <c r="B43" s="30">
        <f>B40/4*4</f>
        <v>8.709688223426042</v>
      </c>
      <c r="C43" s="30">
        <f>C40*4</f>
        <v>10.528077552612034</v>
      </c>
      <c r="D43" s="30">
        <f>D40/3*4</f>
        <v>8.1056203792472736</v>
      </c>
      <c r="E43" s="30">
        <f>E40*4</f>
        <v>9.672854173085712</v>
      </c>
      <c r="F43" s="30">
        <f>F40/2*4</f>
        <v>7.3212219172108686</v>
      </c>
      <c r="G43" s="30">
        <f>G40*4</f>
        <v>7.696942494591605</v>
      </c>
      <c r="H43" s="30">
        <f>H40/1*4</f>
        <v>6.9466393332402729</v>
      </c>
      <c r="I43" s="30">
        <f>I40*4</f>
        <v>6.9437178802392481</v>
      </c>
      <c r="J43" s="30">
        <f>J40/4*4</f>
        <v>7.9282220689813858</v>
      </c>
      <c r="K43" s="30">
        <f>K40*4</f>
        <v>8.8414874849416094</v>
      </c>
      <c r="L43" s="30">
        <f>L40/3*4</f>
        <v>7.6233084679086192</v>
      </c>
      <c r="M43" s="30">
        <f>M40*4</f>
        <v>8.0021472905763229</v>
      </c>
      <c r="N43" s="30">
        <f>N40/2*4</f>
        <v>7.4350920634060973</v>
      </c>
      <c r="O43" s="30">
        <f>O40*4</f>
        <v>8.8787713125945107</v>
      </c>
      <c r="P43" s="30">
        <f>P40/1*4</f>
        <v>5.9908152775550523</v>
      </c>
      <c r="Q43" s="30">
        <f>Q40*4</f>
        <v>5.9908152775550523</v>
      </c>
      <c r="R43" s="30">
        <f>R40/4*4</f>
        <v>6.9573698746359129</v>
      </c>
      <c r="S43" s="30">
        <f>S40*4</f>
        <v>5.738150564183413</v>
      </c>
    </row>
    <row r="44" spans="1:19" s="3" customFormat="1" ht="15.75" thickBot="1" x14ac:dyDescent="0.3">
      <c r="A44" s="47" t="s">
        <v>114</v>
      </c>
      <c r="B44" s="48">
        <f>B42/B43</f>
        <v>9.4435068041558612</v>
      </c>
      <c r="C44" s="48">
        <f t="shared" ref="C44:S44" si="9">C42/C43</f>
        <v>7.8124424510525792</v>
      </c>
      <c r="D44" s="48">
        <f t="shared" si="9"/>
        <v>10.023908867978006</v>
      </c>
      <c r="E44" s="48">
        <f t="shared" si="9"/>
        <v>8.3997958147735261</v>
      </c>
      <c r="F44" s="48">
        <f t="shared" si="9"/>
        <v>9.8002766220388331</v>
      </c>
      <c r="G44" s="48">
        <f t="shared" si="9"/>
        <v>9.3218833387954287</v>
      </c>
      <c r="H44" s="48">
        <f t="shared" si="9"/>
        <v>9.5729743275704156</v>
      </c>
      <c r="I44" s="48">
        <f t="shared" si="9"/>
        <v>9.5770019961854675</v>
      </c>
      <c r="J44" s="48">
        <f t="shared" si="9"/>
        <v>8.1670265333926313</v>
      </c>
      <c r="K44" s="48">
        <f t="shared" si="9"/>
        <v>7.3234283383060879</v>
      </c>
      <c r="L44" s="48">
        <f t="shared" si="9"/>
        <v>7.3130977494466354</v>
      </c>
      <c r="M44" s="48">
        <f t="shared" si="9"/>
        <v>6.9668800105258786</v>
      </c>
      <c r="N44" s="48">
        <f t="shared" si="9"/>
        <v>6.2810251173414819</v>
      </c>
      <c r="O44" s="48">
        <f t="shared" si="9"/>
        <v>5.2597367761636331</v>
      </c>
      <c r="P44" s="48">
        <f t="shared" si="9"/>
        <v>8.805145469537516</v>
      </c>
      <c r="Q44" s="48">
        <f t="shared" si="9"/>
        <v>8.805145469537516</v>
      </c>
      <c r="R44" s="48">
        <f t="shared" si="9"/>
        <v>7.2584900486755739</v>
      </c>
      <c r="S44" s="48">
        <f t="shared" si="9"/>
        <v>8.8007450196954835</v>
      </c>
    </row>
    <row r="46" spans="1:19" x14ac:dyDescent="0.25">
      <c r="C46" s="30"/>
      <c r="D46" s="30"/>
    </row>
    <row r="47" spans="1:19" x14ac:dyDescent="0.25">
      <c r="A47" t="s">
        <v>112</v>
      </c>
      <c r="B47" s="45">
        <f>B42</f>
        <v>82.25</v>
      </c>
      <c r="D47" s="45">
        <f>D42</f>
        <v>81.25</v>
      </c>
      <c r="F47" s="45">
        <f>F42</f>
        <v>71.75</v>
      </c>
      <c r="H47" s="45">
        <f>H42</f>
        <v>66.5</v>
      </c>
      <c r="J47" s="45">
        <f>J42</f>
        <v>64.75</v>
      </c>
      <c r="L47" s="45">
        <f>L42</f>
        <v>55.75</v>
      </c>
      <c r="N47" s="45">
        <f>N42</f>
        <v>46.7</v>
      </c>
      <c r="P47" s="45">
        <f>P42</f>
        <v>52.75</v>
      </c>
      <c r="R47" s="45">
        <f>R42</f>
        <v>50.5</v>
      </c>
    </row>
    <row r="48" spans="1:19" x14ac:dyDescent="0.25">
      <c r="A48" s="33" t="s">
        <v>115</v>
      </c>
      <c r="B48" s="46">
        <f>B35</f>
        <v>78.809130211299092</v>
      </c>
      <c r="C48" s="33"/>
      <c r="D48" s="46">
        <f>D35</f>
        <v>79.182926159019956</v>
      </c>
      <c r="E48" s="33"/>
      <c r="F48" s="46">
        <f>F35</f>
        <v>75.398215212793033</v>
      </c>
      <c r="G48" s="33"/>
      <c r="H48" s="46">
        <f>H35</f>
        <v>72.311054922242306</v>
      </c>
      <c r="I48" s="33"/>
      <c r="J48" s="46">
        <f>J35</f>
        <v>73.346842112530837</v>
      </c>
      <c r="K48" s="33"/>
      <c r="L48" s="46">
        <f>L35</f>
        <v>74.707290986863001</v>
      </c>
      <c r="M48" s="33"/>
      <c r="N48" s="46">
        <f>N35</f>
        <v>71.534051414464713</v>
      </c>
      <c r="O48" s="33"/>
      <c r="P48" s="46">
        <f>P35</f>
        <v>68.377593174785062</v>
      </c>
      <c r="Q48" s="33"/>
      <c r="R48" s="46">
        <f>R35</f>
        <v>67.394673684038281</v>
      </c>
      <c r="S48" s="33"/>
    </row>
    <row r="49" spans="1:19" s="3" customFormat="1" ht="15.75" thickBot="1" x14ac:dyDescent="0.3">
      <c r="A49" s="47" t="s">
        <v>110</v>
      </c>
      <c r="B49" s="48">
        <f>B47/B48</f>
        <v>1.0436608014766235</v>
      </c>
      <c r="C49" s="47"/>
      <c r="D49" s="48">
        <f>D47/D48</f>
        <v>1.0261050448783469</v>
      </c>
      <c r="E49" s="47"/>
      <c r="F49" s="48">
        <f>F47/F48</f>
        <v>0.95161403751406004</v>
      </c>
      <c r="G49" s="47"/>
      <c r="H49" s="48">
        <f>H47/H48</f>
        <v>0.91963808399018565</v>
      </c>
      <c r="I49" s="47"/>
      <c r="J49" s="48">
        <f>J47/J48</f>
        <v>0.88279192580177734</v>
      </c>
      <c r="K49" s="47"/>
      <c r="L49" s="48">
        <f>L47/L48</f>
        <v>0.7462457715111559</v>
      </c>
      <c r="M49" s="47"/>
      <c r="N49" s="48">
        <f>N47/N48</f>
        <v>0.65283594423336289</v>
      </c>
      <c r="O49" s="47"/>
      <c r="P49" s="48">
        <f>P47/P48</f>
        <v>0.77145154649070191</v>
      </c>
      <c r="Q49" s="47"/>
      <c r="R49" s="48">
        <f>R47/R48</f>
        <v>0.74931737538719467</v>
      </c>
      <c r="S49" s="37"/>
    </row>
    <row r="51" spans="1:19" x14ac:dyDescent="0.25">
      <c r="B51" s="30"/>
      <c r="D51" s="30"/>
    </row>
    <row r="52" spans="1:19" x14ac:dyDescent="0.25">
      <c r="A52" t="s">
        <v>116</v>
      </c>
      <c r="B52" s="23">
        <v>2368.5877519999999</v>
      </c>
      <c r="C52" s="23">
        <v>617.58055300000001</v>
      </c>
      <c r="D52" s="23">
        <v>1751.0071990000001</v>
      </c>
      <c r="E52" s="23">
        <v>582.04224199999999</v>
      </c>
      <c r="F52" s="23">
        <v>1168.9649570000001</v>
      </c>
      <c r="G52" s="23">
        <v>597.78408300000001</v>
      </c>
      <c r="H52" s="23">
        <v>571.18087400000002</v>
      </c>
      <c r="I52" s="23">
        <v>571.18087400000002</v>
      </c>
      <c r="J52" s="23">
        <v>2002.9072039999999</v>
      </c>
      <c r="K52" s="23">
        <v>482.28972299999998</v>
      </c>
      <c r="L52" s="23">
        <v>1520.617483</v>
      </c>
      <c r="M52" s="23">
        <v>504.19142500000004</v>
      </c>
      <c r="N52" s="23">
        <v>1016.426059</v>
      </c>
      <c r="O52" s="23">
        <v>527.52153899999996</v>
      </c>
      <c r="P52" s="23">
        <v>488.90452000000005</v>
      </c>
      <c r="Q52" s="23">
        <v>488.90452000000005</v>
      </c>
      <c r="R52" s="23">
        <v>1930.957969</v>
      </c>
      <c r="S52" s="23">
        <v>515.04630799999995</v>
      </c>
    </row>
    <row r="53" spans="1:19" x14ac:dyDescent="0.25">
      <c r="A53" s="33" t="s">
        <v>117</v>
      </c>
      <c r="B53" s="21">
        <v>4989.1087959999995</v>
      </c>
      <c r="C53" s="21">
        <v>1373.9951959999999</v>
      </c>
      <c r="D53" s="21">
        <v>3615.1135992300001</v>
      </c>
      <c r="E53" s="21">
        <v>1287.1926378899998</v>
      </c>
      <c r="F53" s="21">
        <v>2327.9209613399998</v>
      </c>
      <c r="G53" s="21">
        <v>1201.657406</v>
      </c>
      <c r="H53" s="21">
        <v>1126.26355734</v>
      </c>
      <c r="I53" s="21">
        <v>1126.26355734</v>
      </c>
      <c r="J53" s="21">
        <v>4547.2791503199996</v>
      </c>
      <c r="K53" s="21">
        <v>1145.80299199</v>
      </c>
      <c r="L53" s="21">
        <v>3401.47615933</v>
      </c>
      <c r="M53" s="21">
        <v>1145.35657167</v>
      </c>
      <c r="N53" s="21">
        <v>2256.1195886599999</v>
      </c>
      <c r="O53" s="21">
        <v>1202.59558556</v>
      </c>
      <c r="P53" s="21">
        <v>1053.5240030999998</v>
      </c>
      <c r="Q53" s="21">
        <v>1053.5240030999998</v>
      </c>
      <c r="R53" s="21">
        <v>3923.6984788999998</v>
      </c>
      <c r="S53" s="21">
        <v>970.61289667000005</v>
      </c>
    </row>
    <row r="54" spans="1:19" s="3" customFormat="1" ht="15.75" thickBot="1" x14ac:dyDescent="0.3">
      <c r="A54" s="53" t="s">
        <v>101</v>
      </c>
      <c r="B54" s="51">
        <f>B52/B53</f>
        <v>0.47475167386588296</v>
      </c>
      <c r="C54" s="51">
        <f t="shared" ref="C54:S54" si="10">C52/C53</f>
        <v>0.44947795654447109</v>
      </c>
      <c r="D54" s="51">
        <f t="shared" si="10"/>
        <v>0.48435744851087259</v>
      </c>
      <c r="E54" s="51">
        <f t="shared" si="10"/>
        <v>0.45217959213478648</v>
      </c>
      <c r="F54" s="51">
        <f t="shared" si="10"/>
        <v>0.50214976213243923</v>
      </c>
      <c r="G54" s="51">
        <f t="shared" si="10"/>
        <v>0.49746631611905529</v>
      </c>
      <c r="H54" s="51">
        <f t="shared" si="10"/>
        <v>0.50714672447451847</v>
      </c>
      <c r="I54" s="51">
        <f t="shared" si="10"/>
        <v>0.50714672447451847</v>
      </c>
      <c r="J54" s="51">
        <f t="shared" si="10"/>
        <v>0.44046277736414136</v>
      </c>
      <c r="K54" s="51">
        <f t="shared" si="10"/>
        <v>0.4209185404223566</v>
      </c>
      <c r="L54" s="51">
        <f t="shared" si="10"/>
        <v>0.44704634451988073</v>
      </c>
      <c r="M54" s="51">
        <f t="shared" si="10"/>
        <v>0.44020476895230809</v>
      </c>
      <c r="N54" s="51">
        <f t="shared" si="10"/>
        <v>0.45051958420506261</v>
      </c>
      <c r="O54" s="51">
        <f t="shared" si="10"/>
        <v>0.43865248245889293</v>
      </c>
      <c r="P54" s="51">
        <f t="shared" si="10"/>
        <v>0.46406585759925351</v>
      </c>
      <c r="Q54" s="51">
        <f t="shared" si="10"/>
        <v>0.46406585759925351</v>
      </c>
      <c r="R54" s="51">
        <f t="shared" si="10"/>
        <v>0.49212700195590459</v>
      </c>
      <c r="S54" s="51">
        <f t="shared" si="10"/>
        <v>0.53064028900402216</v>
      </c>
    </row>
    <row r="57" spans="1:19" x14ac:dyDescent="0.25">
      <c r="A57" s="66" t="s">
        <v>107</v>
      </c>
      <c r="B57" s="23">
        <v>76475.738796999998</v>
      </c>
      <c r="C57" s="23"/>
      <c r="D57" s="23">
        <v>73085.602178999994</v>
      </c>
      <c r="E57" s="23"/>
      <c r="F57" s="23">
        <v>75558.622663999995</v>
      </c>
      <c r="G57" s="23"/>
      <c r="H57" s="23">
        <v>70175.667711000002</v>
      </c>
      <c r="I57" s="23"/>
      <c r="J57" s="23">
        <v>67167.748563000001</v>
      </c>
      <c r="K57" s="23"/>
      <c r="L57" s="23">
        <v>66289.870962000001</v>
      </c>
      <c r="M57" s="23"/>
      <c r="N57" s="23">
        <v>67030.936042000001</v>
      </c>
      <c r="O57" s="23"/>
      <c r="P57" s="23">
        <v>63850.715055000001</v>
      </c>
      <c r="Q57" s="23"/>
      <c r="R57" s="23">
        <v>64089.773975999997</v>
      </c>
      <c r="S57" s="23"/>
    </row>
    <row r="58" spans="1:19" x14ac:dyDescent="0.25">
      <c r="A58" s="66" t="s">
        <v>108</v>
      </c>
      <c r="B58" s="21">
        <v>148784.29991046002</v>
      </c>
      <c r="C58" s="21"/>
      <c r="D58" s="21">
        <v>147145.81336949015</v>
      </c>
      <c r="E58" s="21"/>
      <c r="F58" s="21">
        <v>143799.61452905973</v>
      </c>
      <c r="G58" s="21"/>
      <c r="H58" s="21">
        <v>140038.1473377911</v>
      </c>
      <c r="I58" s="21"/>
      <c r="J58" s="21">
        <v>137535.19033280999</v>
      </c>
      <c r="K58" s="21"/>
      <c r="L58" s="21">
        <v>134461.78900444019</v>
      </c>
      <c r="M58" s="21"/>
      <c r="N58" s="21">
        <v>132582.83922558016</v>
      </c>
      <c r="O58" s="21"/>
      <c r="P58" s="21">
        <v>129520.43765942003</v>
      </c>
      <c r="Q58" s="21"/>
      <c r="R58" s="21">
        <v>127378.18928701995</v>
      </c>
      <c r="S58" s="21"/>
    </row>
    <row r="59" spans="1:19" ht="15.75" thickBot="1" x14ac:dyDescent="0.3">
      <c r="A59" s="37" t="s">
        <v>109</v>
      </c>
      <c r="B59" s="51">
        <f>B57/B58</f>
        <v>0.51400409077452336</v>
      </c>
      <c r="C59" s="51"/>
      <c r="D59" s="51">
        <f t="shared" ref="C59:S59" si="11">D57/D58</f>
        <v>0.49668828834075329</v>
      </c>
      <c r="E59" s="51"/>
      <c r="F59" s="51">
        <f t="shared" si="11"/>
        <v>0.52544384706073555</v>
      </c>
      <c r="G59" s="51"/>
      <c r="H59" s="51">
        <f t="shared" si="11"/>
        <v>0.50111822417735019</v>
      </c>
      <c r="I59" s="51"/>
      <c r="J59" s="51">
        <f t="shared" si="11"/>
        <v>0.48836772901877945</v>
      </c>
      <c r="K59" s="51"/>
      <c r="L59" s="51">
        <f t="shared" si="11"/>
        <v>0.49300155421709418</v>
      </c>
      <c r="M59" s="51"/>
      <c r="N59" s="51">
        <f t="shared" si="11"/>
        <v>0.50557776883893468</v>
      </c>
      <c r="O59" s="51"/>
      <c r="P59" s="51">
        <f t="shared" si="11"/>
        <v>0.49297791305259797</v>
      </c>
      <c r="Q59" s="51"/>
      <c r="R59" s="51">
        <f t="shared" si="11"/>
        <v>0.50314558822615363</v>
      </c>
      <c r="S59" s="51"/>
    </row>
    <row r="62" spans="1:19" x14ac:dyDescent="0.25">
      <c r="A62" s="63" t="s">
        <v>102</v>
      </c>
      <c r="B62" s="27">
        <f>B58</f>
        <v>148784.29991046002</v>
      </c>
      <c r="C62" s="27"/>
      <c r="D62" s="27">
        <f t="shared" ref="C62:H62" si="12">D58</f>
        <v>147145.81336949015</v>
      </c>
      <c r="E62" s="27"/>
      <c r="F62" s="27">
        <f t="shared" si="12"/>
        <v>143799.61452905973</v>
      </c>
      <c r="G62" s="27"/>
      <c r="H62" s="27">
        <f t="shared" si="12"/>
        <v>140038.1473377911</v>
      </c>
      <c r="I62" s="27"/>
      <c r="J62" s="27">
        <f t="shared" ref="J62:S62" si="13">J58</f>
        <v>137535.19033280999</v>
      </c>
      <c r="K62" s="27"/>
      <c r="L62" s="27">
        <f t="shared" si="13"/>
        <v>134461.78900444019</v>
      </c>
      <c r="M62" s="27"/>
      <c r="N62" s="27">
        <f t="shared" si="13"/>
        <v>132582.83922558016</v>
      </c>
      <c r="O62" s="27"/>
      <c r="P62" s="27">
        <f t="shared" si="13"/>
        <v>129520.43765942003</v>
      </c>
      <c r="Q62" s="27"/>
      <c r="R62" s="27">
        <f t="shared" si="13"/>
        <v>127378.18928701995</v>
      </c>
      <c r="S62" s="27"/>
    </row>
    <row r="63" spans="1:19" x14ac:dyDescent="0.25">
      <c r="A63" s="64" t="s">
        <v>103</v>
      </c>
      <c r="B63" s="41">
        <f>J62</f>
        <v>137535.19033280999</v>
      </c>
      <c r="C63" s="41"/>
      <c r="D63" s="41">
        <f t="shared" ref="C63:K63" si="14">L62</f>
        <v>134461.78900444019</v>
      </c>
      <c r="E63" s="41"/>
      <c r="F63" s="41">
        <f t="shared" si="14"/>
        <v>132582.83922558016</v>
      </c>
      <c r="G63" s="41"/>
      <c r="H63" s="41">
        <f t="shared" si="14"/>
        <v>129520.43765942003</v>
      </c>
      <c r="I63" s="41"/>
      <c r="J63" s="41">
        <f t="shared" si="14"/>
        <v>127378.18928701995</v>
      </c>
      <c r="K63" s="41"/>
      <c r="L63" s="41">
        <v>126179.53837441001</v>
      </c>
      <c r="M63" s="41"/>
      <c r="N63" s="41">
        <v>124518.80857552995</v>
      </c>
      <c r="O63" s="41"/>
      <c r="P63" s="41">
        <v>122932.87120760018</v>
      </c>
      <c r="Q63" s="41"/>
      <c r="R63" s="41">
        <v>120435.05705413</v>
      </c>
      <c r="S63" s="41"/>
    </row>
    <row r="64" spans="1:19" x14ac:dyDescent="0.25">
      <c r="A64" s="65" t="s">
        <v>104</v>
      </c>
      <c r="B64" s="27">
        <f>B62-B63</f>
        <v>11249.10957765003</v>
      </c>
      <c r="C64" s="27"/>
      <c r="D64" s="27">
        <f t="shared" ref="C64:S64" si="15">D62-D63</f>
        <v>12684.024365049961</v>
      </c>
      <c r="E64" s="27"/>
      <c r="F64" s="27">
        <f t="shared" si="15"/>
        <v>11216.775303479575</v>
      </c>
      <c r="G64" s="27"/>
      <c r="H64" s="27">
        <f t="shared" si="15"/>
        <v>10517.709678371073</v>
      </c>
      <c r="I64" s="27"/>
      <c r="J64" s="27">
        <f t="shared" si="15"/>
        <v>10157.001045790035</v>
      </c>
      <c r="K64" s="27"/>
      <c r="L64" s="27">
        <f t="shared" si="15"/>
        <v>8282.2506300301757</v>
      </c>
      <c r="M64" s="27"/>
      <c r="N64" s="27">
        <f t="shared" si="15"/>
        <v>8064.0306500502047</v>
      </c>
      <c r="O64" s="27"/>
      <c r="P64" s="27">
        <f t="shared" si="15"/>
        <v>6587.5664518198464</v>
      </c>
      <c r="Q64" s="27"/>
      <c r="R64" s="27">
        <f t="shared" si="15"/>
        <v>6943.132232889955</v>
      </c>
      <c r="S64" s="27"/>
    </row>
    <row r="65" spans="1:19" x14ac:dyDescent="0.25">
      <c r="A65" s="65" t="s">
        <v>105</v>
      </c>
      <c r="B65" s="41">
        <f>B63</f>
        <v>137535.19033280999</v>
      </c>
      <c r="C65" s="41"/>
      <c r="D65" s="41">
        <f t="shared" ref="C65:S65" si="16">D63</f>
        <v>134461.78900444019</v>
      </c>
      <c r="E65" s="41"/>
      <c r="F65" s="41">
        <f t="shared" si="16"/>
        <v>132582.83922558016</v>
      </c>
      <c r="G65" s="41"/>
      <c r="H65" s="41">
        <f t="shared" si="16"/>
        <v>129520.43765942003</v>
      </c>
      <c r="I65" s="41"/>
      <c r="J65" s="41">
        <f t="shared" si="16"/>
        <v>127378.18928701995</v>
      </c>
      <c r="K65" s="41"/>
      <c r="L65" s="41">
        <f t="shared" si="16"/>
        <v>126179.53837441001</v>
      </c>
      <c r="M65" s="41"/>
      <c r="N65" s="41">
        <f t="shared" si="16"/>
        <v>124518.80857552995</v>
      </c>
      <c r="O65" s="41"/>
      <c r="P65" s="41">
        <f t="shared" si="16"/>
        <v>122932.87120760018</v>
      </c>
      <c r="Q65" s="41"/>
      <c r="R65" s="41">
        <f t="shared" si="16"/>
        <v>120435.05705413</v>
      </c>
      <c r="S65" s="41"/>
    </row>
    <row r="66" spans="1:19" ht="15.75" thickBot="1" x14ac:dyDescent="0.3">
      <c r="A66" s="47" t="s">
        <v>106</v>
      </c>
      <c r="B66" s="52">
        <f>B64/B65</f>
        <v>8.1790773331750541E-2</v>
      </c>
      <c r="C66" s="52"/>
      <c r="D66" s="52">
        <f t="shared" ref="C66:S66" si="17">D64/D65</f>
        <v>9.4331813215954685E-2</v>
      </c>
      <c r="E66" s="52"/>
      <c r="F66" s="52">
        <f t="shared" si="17"/>
        <v>8.4602014627210079E-2</v>
      </c>
      <c r="G66" s="52"/>
      <c r="H66" s="52">
        <f t="shared" si="17"/>
        <v>8.1205019597199599E-2</v>
      </c>
      <c r="I66" s="52"/>
      <c r="J66" s="52">
        <f t="shared" si="17"/>
        <v>7.9738934134974793E-2</v>
      </c>
      <c r="K66" s="52"/>
      <c r="L66" s="52">
        <f t="shared" si="17"/>
        <v>6.5638618881727243E-2</v>
      </c>
      <c r="M66" s="52"/>
      <c r="N66" s="52">
        <f t="shared" si="17"/>
        <v>6.476154680807733E-2</v>
      </c>
      <c r="O66" s="52"/>
      <c r="P66" s="52">
        <f t="shared" si="17"/>
        <v>5.3586696439353786E-2</v>
      </c>
      <c r="Q66" s="52"/>
      <c r="R66" s="52">
        <f t="shared" si="17"/>
        <v>5.7650425073235423E-2</v>
      </c>
      <c r="S66" s="52"/>
    </row>
    <row r="67" spans="1:19" x14ac:dyDescent="0.25">
      <c r="C67" s="49"/>
    </row>
    <row r="69" spans="1:19" x14ac:dyDescent="0.25">
      <c r="A69" t="s">
        <v>119</v>
      </c>
      <c r="B69" s="23">
        <v>341.04166199999997</v>
      </c>
      <c r="C69" s="23">
        <v>77.972505999999996</v>
      </c>
      <c r="D69" s="23">
        <v>263.06915600000002</v>
      </c>
      <c r="E69" s="23">
        <v>87.671915999999996</v>
      </c>
      <c r="F69" s="23">
        <v>175.39724000000001</v>
      </c>
      <c r="G69" s="23">
        <v>85.978745000000004</v>
      </c>
      <c r="H69" s="23">
        <v>89.418493999999995</v>
      </c>
      <c r="I69" s="23">
        <v>89.418493999999995</v>
      </c>
      <c r="J69" s="23">
        <v>515.66150400000004</v>
      </c>
      <c r="K69" s="23">
        <v>98.687763000000004</v>
      </c>
      <c r="L69" s="23">
        <v>416.97374100000002</v>
      </c>
      <c r="M69" s="23">
        <v>129.646871</v>
      </c>
      <c r="N69" s="23">
        <v>287.32686899999999</v>
      </c>
      <c r="O69" s="23">
        <v>117.559668</v>
      </c>
      <c r="P69" s="23">
        <v>169.767201</v>
      </c>
      <c r="Q69" s="23">
        <v>169.767201</v>
      </c>
      <c r="R69" s="23">
        <v>168.615317</v>
      </c>
      <c r="S69" s="23">
        <v>56.301738999999998</v>
      </c>
    </row>
    <row r="70" spans="1:19" x14ac:dyDescent="0.25">
      <c r="A70" s="33" t="s">
        <v>120</v>
      </c>
      <c r="B70" s="21">
        <v>4.2506839999999997</v>
      </c>
      <c r="C70" s="21">
        <v>-2.6577510000000002</v>
      </c>
      <c r="D70" s="21">
        <v>6.9084349999999999</v>
      </c>
      <c r="E70" s="21">
        <v>0.78682400000000019</v>
      </c>
      <c r="F70" s="21">
        <v>6.1216109999999997</v>
      </c>
      <c r="G70" s="21">
        <v>-0.11250000000000071</v>
      </c>
      <c r="H70" s="21">
        <v>6.2341110000000004</v>
      </c>
      <c r="I70" s="21">
        <v>0.58828100000000028</v>
      </c>
      <c r="J70" s="21">
        <v>5.6458300000000001</v>
      </c>
      <c r="K70" s="21">
        <v>2.3268300000000002</v>
      </c>
      <c r="L70" s="21">
        <v>3.319</v>
      </c>
      <c r="M70" s="21">
        <v>1.06</v>
      </c>
      <c r="N70" s="21">
        <v>2.2589999999999999</v>
      </c>
      <c r="O70" s="21">
        <v>0.42418199999999984</v>
      </c>
      <c r="P70" s="21">
        <v>1.8348180000000001</v>
      </c>
      <c r="Q70" s="21">
        <v>0.79481800000000002</v>
      </c>
      <c r="R70" s="21">
        <v>1.04</v>
      </c>
      <c r="S70" s="21">
        <v>-0.4048179999999999</v>
      </c>
    </row>
    <row r="71" spans="1:19" x14ac:dyDescent="0.25">
      <c r="A71" t="s">
        <v>121</v>
      </c>
      <c r="B71" s="23">
        <f>B69-B70</f>
        <v>336.790978</v>
      </c>
      <c r="C71" s="23">
        <f t="shared" ref="C71:S71" si="18">C69-C70</f>
        <v>80.630257</v>
      </c>
      <c r="D71" s="23">
        <f t="shared" si="18"/>
        <v>256.16072100000002</v>
      </c>
      <c r="E71" s="23">
        <f t="shared" si="18"/>
        <v>86.885092</v>
      </c>
      <c r="F71" s="23">
        <f t="shared" si="18"/>
        <v>169.27562900000001</v>
      </c>
      <c r="G71" s="23">
        <f t="shared" si="18"/>
        <v>86.091245000000001</v>
      </c>
      <c r="H71" s="23">
        <f t="shared" si="18"/>
        <v>83.184382999999997</v>
      </c>
      <c r="I71" s="23">
        <f t="shared" si="18"/>
        <v>88.830213000000001</v>
      </c>
      <c r="J71" s="23">
        <f t="shared" si="18"/>
        <v>510.01567400000005</v>
      </c>
      <c r="K71" s="23">
        <f t="shared" si="18"/>
        <v>96.360933000000003</v>
      </c>
      <c r="L71" s="23">
        <f t="shared" si="18"/>
        <v>413.654741</v>
      </c>
      <c r="M71" s="23">
        <f t="shared" si="18"/>
        <v>128.586871</v>
      </c>
      <c r="N71" s="23">
        <f t="shared" si="18"/>
        <v>285.06786899999997</v>
      </c>
      <c r="O71" s="23">
        <f t="shared" si="18"/>
        <v>117.135486</v>
      </c>
      <c r="P71" s="23">
        <f t="shared" si="18"/>
        <v>167.93238299999999</v>
      </c>
      <c r="Q71" s="23">
        <f t="shared" si="18"/>
        <v>168.97238300000001</v>
      </c>
      <c r="R71" s="23">
        <f t="shared" si="18"/>
        <v>167.57531700000001</v>
      </c>
      <c r="S71" s="23">
        <f t="shared" si="18"/>
        <v>56.706556999999997</v>
      </c>
    </row>
    <row r="72" spans="1:19" x14ac:dyDescent="0.25">
      <c r="B72" s="23"/>
      <c r="C72" s="23"/>
      <c r="D72" s="23"/>
      <c r="E72" s="23"/>
      <c r="F72" s="23"/>
      <c r="G72" s="23"/>
      <c r="H72" s="23"/>
      <c r="I72" s="23"/>
      <c r="J72" s="23"/>
      <c r="K72" s="23"/>
      <c r="L72" s="23"/>
      <c r="M72" s="23"/>
      <c r="N72" s="23"/>
      <c r="O72" s="23"/>
      <c r="P72" s="23"/>
      <c r="Q72" s="23"/>
      <c r="R72" s="23"/>
      <c r="S72" s="23"/>
    </row>
    <row r="73" spans="1:19" x14ac:dyDescent="0.25">
      <c r="A73" t="s">
        <v>122</v>
      </c>
      <c r="B73" s="23">
        <f>B71/4*4</f>
        <v>336.790978</v>
      </c>
      <c r="C73" s="23">
        <f>C71*4</f>
        <v>322.521028</v>
      </c>
      <c r="D73" s="23">
        <f>D71/3*4</f>
        <v>341.54762800000003</v>
      </c>
      <c r="E73" s="23">
        <f>E71*4</f>
        <v>347.540368</v>
      </c>
      <c r="F73" s="23">
        <f>F71/2*4</f>
        <v>338.55125800000002</v>
      </c>
      <c r="G73" s="23">
        <f>G71*4</f>
        <v>344.36498</v>
      </c>
      <c r="H73" s="23">
        <f>H71/1*4</f>
        <v>332.73753199999999</v>
      </c>
      <c r="I73" s="23">
        <f>I71*4</f>
        <v>355.320852</v>
      </c>
      <c r="J73" s="23">
        <f>J71/4*4</f>
        <v>510.01567400000005</v>
      </c>
      <c r="K73" s="23">
        <f>K71*4</f>
        <v>385.44373200000001</v>
      </c>
      <c r="L73" s="23">
        <f>L71/3*4</f>
        <v>551.53965466666671</v>
      </c>
      <c r="M73" s="23">
        <f>M71*4</f>
        <v>514.34748400000001</v>
      </c>
      <c r="N73" s="23">
        <f>N71/2*4</f>
        <v>570.13573799999995</v>
      </c>
      <c r="O73" s="23">
        <f>O71*4</f>
        <v>468.541944</v>
      </c>
      <c r="P73" s="23">
        <f>P71/1*4</f>
        <v>671.72953199999995</v>
      </c>
      <c r="Q73" s="23">
        <f>Q71*4</f>
        <v>675.88953200000003</v>
      </c>
      <c r="R73" s="23">
        <f>R71/4*4</f>
        <v>167.57531700000001</v>
      </c>
      <c r="S73" s="23">
        <f>S71*4</f>
        <v>226.82622799999999</v>
      </c>
    </row>
    <row r="74" spans="1:19" ht="30" x14ac:dyDescent="0.25">
      <c r="A74" s="32" t="s">
        <v>123</v>
      </c>
      <c r="B74" s="21">
        <f>(B62+D62+F62+H62+J62)/5</f>
        <v>143460.61309592222</v>
      </c>
      <c r="C74" s="21">
        <f>(B62+D62)/2</f>
        <v>147965.05663997508</v>
      </c>
      <c r="D74" s="21">
        <f>(D62+F62+H62+J62)/4</f>
        <v>142129.69139228773</v>
      </c>
      <c r="E74" s="21">
        <f>(D62+F62)/2</f>
        <v>145472.71394927494</v>
      </c>
      <c r="F74" s="21">
        <f>(F62+H62+J62)/3</f>
        <v>140457.65073322027</v>
      </c>
      <c r="G74" s="21">
        <f>(F62+H62)/2</f>
        <v>141918.88093342542</v>
      </c>
      <c r="H74" s="21">
        <f>(H62+J62)/2</f>
        <v>138786.66883530054</v>
      </c>
      <c r="I74" s="21">
        <f>(H62+J62)/2</f>
        <v>138786.66883530054</v>
      </c>
      <c r="J74" s="21">
        <f>(J62+L62+N62+P62+R62)/5</f>
        <v>132295.68910185405</v>
      </c>
      <c r="K74" s="21">
        <f>(J62+L62)/2</f>
        <v>135998.48966862509</v>
      </c>
      <c r="L74" s="21">
        <f>(L62+N62+P62+R62)/4</f>
        <v>130985.81379411508</v>
      </c>
      <c r="M74" s="21">
        <f>(L62+N62)/2</f>
        <v>133522.31411501017</v>
      </c>
      <c r="N74" s="21">
        <f>(N62+P62+R62)/3</f>
        <v>129827.15539067338</v>
      </c>
      <c r="O74" s="21">
        <f>(N62+P62)/2</f>
        <v>131051.63844250009</v>
      </c>
      <c r="P74" s="21">
        <f>(P62+R62)/2</f>
        <v>128449.31347321998</v>
      </c>
      <c r="Q74" s="21">
        <f>(P62+R62)/2</f>
        <v>128449.31347321998</v>
      </c>
      <c r="R74" s="21">
        <v>124288.89289973801</v>
      </c>
      <c r="S74" s="21">
        <v>126778.86383071498</v>
      </c>
    </row>
    <row r="75" spans="1:19" s="3" customFormat="1" ht="15.75" thickBot="1" x14ac:dyDescent="0.3">
      <c r="A75" s="55" t="s">
        <v>118</v>
      </c>
      <c r="B75" s="57">
        <f>B73/B74</f>
        <v>2.3476198151670459E-3</v>
      </c>
      <c r="C75" s="57">
        <f t="shared" ref="C75:S75" si="19">C73/C74</f>
        <v>2.1797107730965846E-3</v>
      </c>
      <c r="D75" s="57">
        <f t="shared" si="19"/>
        <v>2.4030702146344992E-3</v>
      </c>
      <c r="E75" s="57">
        <f t="shared" si="19"/>
        <v>2.3890416186308607E-3</v>
      </c>
      <c r="F75" s="57">
        <f t="shared" si="19"/>
        <v>2.410344016382781E-3</v>
      </c>
      <c r="G75" s="57">
        <f t="shared" si="19"/>
        <v>2.4264916530841495E-3</v>
      </c>
      <c r="H75" s="57">
        <f t="shared" si="19"/>
        <v>2.3974747343699326E-3</v>
      </c>
      <c r="I75" s="57">
        <f t="shared" si="19"/>
        <v>2.5601943975012659E-3</v>
      </c>
      <c r="J75" s="57">
        <f t="shared" si="19"/>
        <v>3.8551193728416995E-3</v>
      </c>
      <c r="K75" s="57">
        <f t="shared" si="19"/>
        <v>2.8341765628366539E-3</v>
      </c>
      <c r="L75" s="57">
        <f t="shared" si="19"/>
        <v>4.2106823532324098E-3</v>
      </c>
      <c r="M75" s="57">
        <f t="shared" si="19"/>
        <v>3.8521462679036852E-3</v>
      </c>
      <c r="N75" s="57">
        <f t="shared" si="19"/>
        <v>4.3914983447365724E-3</v>
      </c>
      <c r="O75" s="57">
        <f t="shared" si="19"/>
        <v>3.5752467467667442E-3</v>
      </c>
      <c r="P75" s="57">
        <f t="shared" si="19"/>
        <v>5.2295299510498891E-3</v>
      </c>
      <c r="Q75" s="57">
        <f t="shared" si="19"/>
        <v>5.2619162666129333E-3</v>
      </c>
      <c r="R75" s="57">
        <f t="shared" si="19"/>
        <v>1.3482726661277812E-3</v>
      </c>
      <c r="S75" s="57">
        <f t="shared" si="19"/>
        <v>1.7891486099991876E-3</v>
      </c>
    </row>
    <row r="78" spans="1:19" x14ac:dyDescent="0.25">
      <c r="A78" t="s">
        <v>124</v>
      </c>
      <c r="B78" s="23">
        <v>284.02141502000001</v>
      </c>
      <c r="C78" s="23"/>
      <c r="D78" s="23">
        <v>262.93853737999996</v>
      </c>
      <c r="E78" s="23"/>
      <c r="F78" s="23">
        <v>258.01873832999996</v>
      </c>
      <c r="G78" s="23"/>
      <c r="H78" s="23">
        <v>211.24568238999996</v>
      </c>
      <c r="I78" s="23"/>
      <c r="J78" s="23">
        <v>213.64372684999992</v>
      </c>
      <c r="K78" s="23"/>
      <c r="L78" s="23">
        <v>220.93960296999987</v>
      </c>
      <c r="M78" s="23"/>
      <c r="N78" s="23">
        <v>254.58489814000001</v>
      </c>
      <c r="O78" s="23"/>
      <c r="P78" s="23">
        <v>204.99684253999996</v>
      </c>
      <c r="Q78" s="23"/>
      <c r="R78" s="23">
        <v>205.19985896999989</v>
      </c>
      <c r="S78" s="23"/>
    </row>
    <row r="79" spans="1:19" ht="30" x14ac:dyDescent="0.25">
      <c r="A79" s="32" t="s">
        <v>125</v>
      </c>
      <c r="B79" s="21">
        <f>B62</f>
        <v>148784.29991046002</v>
      </c>
      <c r="C79" s="21"/>
      <c r="D79" s="21">
        <f t="shared" ref="D79:R79" si="20">D62</f>
        <v>147145.81336949015</v>
      </c>
      <c r="E79" s="21"/>
      <c r="F79" s="21">
        <f t="shared" si="20"/>
        <v>143799.61452905973</v>
      </c>
      <c r="G79" s="21"/>
      <c r="H79" s="21">
        <f t="shared" si="20"/>
        <v>140038.1473377911</v>
      </c>
      <c r="I79" s="21"/>
      <c r="J79" s="21">
        <f t="shared" si="20"/>
        <v>137535.19033280999</v>
      </c>
      <c r="K79" s="21"/>
      <c r="L79" s="21">
        <f t="shared" si="20"/>
        <v>134461.78900444019</v>
      </c>
      <c r="M79" s="21"/>
      <c r="N79" s="21">
        <f t="shared" si="20"/>
        <v>132582.83922558016</v>
      </c>
      <c r="O79" s="21"/>
      <c r="P79" s="21">
        <f t="shared" si="20"/>
        <v>129520.43765942003</v>
      </c>
      <c r="Q79" s="21"/>
      <c r="R79" s="21">
        <f t="shared" si="20"/>
        <v>127378.18928701995</v>
      </c>
      <c r="S79" s="21"/>
    </row>
    <row r="80" spans="1:19" ht="30.75" thickBot="1" x14ac:dyDescent="0.3">
      <c r="A80" s="53" t="s">
        <v>126</v>
      </c>
      <c r="B80" s="54">
        <f>B78/B79</f>
        <v>1.9089474843174122E-3</v>
      </c>
      <c r="C80" s="54"/>
      <c r="D80" s="54">
        <f t="shared" ref="D80:R80" si="21">D78/D79</f>
        <v>1.7869250327887261E-3</v>
      </c>
      <c r="E80" s="54"/>
      <c r="F80" s="54">
        <f t="shared" si="21"/>
        <v>1.7942936716138294E-3</v>
      </c>
      <c r="G80" s="54"/>
      <c r="H80" s="54">
        <f t="shared" si="21"/>
        <v>1.5084866974171443E-3</v>
      </c>
      <c r="I80" s="54"/>
      <c r="J80" s="54">
        <f t="shared" si="21"/>
        <v>1.5533750041209179E-3</v>
      </c>
      <c r="K80" s="54"/>
      <c r="L80" s="54">
        <f t="shared" si="21"/>
        <v>1.6431404386766267E-3</v>
      </c>
      <c r="M80" s="54"/>
      <c r="N80" s="54">
        <f t="shared" si="21"/>
        <v>1.9201949485094531E-3</v>
      </c>
      <c r="O80" s="54"/>
      <c r="P80" s="54">
        <f t="shared" si="21"/>
        <v>1.5827374138361748E-3</v>
      </c>
      <c r="Q80" s="54"/>
      <c r="R80" s="54">
        <f t="shared" si="21"/>
        <v>1.6109497247415348E-3</v>
      </c>
      <c r="S80" s="54"/>
    </row>
    <row r="83" spans="1:19" x14ac:dyDescent="0.25">
      <c r="A83" t="s">
        <v>128</v>
      </c>
      <c r="B83" s="23">
        <v>1184.3460325700007</v>
      </c>
      <c r="C83" s="23"/>
      <c r="D83" s="23">
        <v>1215.0663439399998</v>
      </c>
      <c r="E83" s="23"/>
      <c r="F83" s="23">
        <v>1150.7571588999997</v>
      </c>
      <c r="G83" s="23"/>
      <c r="H83" s="23">
        <v>1078.0993718100001</v>
      </c>
      <c r="I83" s="23"/>
      <c r="J83" s="23">
        <v>1474.1701159499994</v>
      </c>
      <c r="K83" s="23"/>
      <c r="L83" s="23">
        <v>1359.8783193500001</v>
      </c>
      <c r="M83" s="23"/>
      <c r="N83" s="23">
        <v>1198.32720404</v>
      </c>
      <c r="O83" s="23"/>
      <c r="P83" s="23">
        <v>411.38801758</v>
      </c>
      <c r="Q83" s="23"/>
      <c r="R83" s="23">
        <v>399.15415899999994</v>
      </c>
      <c r="S83" s="23"/>
    </row>
    <row r="84" spans="1:19" s="16" customFormat="1" ht="30" x14ac:dyDescent="0.25">
      <c r="A84" s="32" t="s">
        <v>125</v>
      </c>
      <c r="B84" s="20">
        <f>B62</f>
        <v>148784.29991046002</v>
      </c>
      <c r="C84" s="20"/>
      <c r="D84" s="20">
        <f t="shared" ref="D84:R84" si="22">D62</f>
        <v>147145.81336949015</v>
      </c>
      <c r="E84" s="20"/>
      <c r="F84" s="20">
        <f t="shared" si="22"/>
        <v>143799.61452905973</v>
      </c>
      <c r="G84" s="20"/>
      <c r="H84" s="20">
        <f t="shared" si="22"/>
        <v>140038.1473377911</v>
      </c>
      <c r="I84" s="20"/>
      <c r="J84" s="20">
        <f t="shared" si="22"/>
        <v>137535.19033280999</v>
      </c>
      <c r="K84" s="20"/>
      <c r="L84" s="20">
        <f t="shared" si="22"/>
        <v>134461.78900444019</v>
      </c>
      <c r="M84" s="20"/>
      <c r="N84" s="20">
        <f t="shared" si="22"/>
        <v>132582.83922558016</v>
      </c>
      <c r="O84" s="20"/>
      <c r="P84" s="20">
        <f t="shared" si="22"/>
        <v>129520.43765942003</v>
      </c>
      <c r="Q84" s="20"/>
      <c r="R84" s="20">
        <f t="shared" si="22"/>
        <v>127378.18928701995</v>
      </c>
      <c r="S84" s="20"/>
    </row>
    <row r="85" spans="1:19" s="56" customFormat="1" ht="30.75" thickBot="1" x14ac:dyDescent="0.3">
      <c r="A85" s="55" t="s">
        <v>127</v>
      </c>
      <c r="B85" s="57">
        <f>B83/B84</f>
        <v>7.9601546217090979E-3</v>
      </c>
      <c r="C85" s="57"/>
      <c r="D85" s="57">
        <f t="shared" ref="D85:R85" si="23">D83/D84</f>
        <v>8.2575665329254755E-3</v>
      </c>
      <c r="E85" s="57"/>
      <c r="F85" s="57">
        <f t="shared" si="23"/>
        <v>8.0025051713017558E-3</v>
      </c>
      <c r="G85" s="57"/>
      <c r="H85" s="57">
        <f t="shared" si="23"/>
        <v>7.698612073247995E-3</v>
      </c>
      <c r="I85" s="57"/>
      <c r="J85" s="57">
        <f t="shared" si="23"/>
        <v>1.0718494026021831E-2</v>
      </c>
      <c r="K85" s="57"/>
      <c r="L85" s="57">
        <f t="shared" si="23"/>
        <v>1.0113492683821827E-2</v>
      </c>
      <c r="M85" s="57"/>
      <c r="N85" s="57">
        <f t="shared" si="23"/>
        <v>9.0383281202866123E-3</v>
      </c>
      <c r="O85" s="57"/>
      <c r="P85" s="57">
        <f t="shared" si="23"/>
        <v>3.1762401750198201E-3</v>
      </c>
      <c r="Q85" s="57"/>
      <c r="R85" s="57">
        <f t="shared" si="23"/>
        <v>3.1336146418331477E-3</v>
      </c>
      <c r="S85" s="57"/>
    </row>
    <row r="93" spans="1:19" x14ac:dyDescent="0.25">
      <c r="F93" s="23"/>
    </row>
    <row r="94" spans="1:19" x14ac:dyDescent="0.25">
      <c r="F94" s="23"/>
    </row>
    <row r="95" spans="1:19" x14ac:dyDescent="0.25">
      <c r="F95" s="23"/>
    </row>
    <row r="96" spans="1:19" x14ac:dyDescent="0.25">
      <c r="F96" s="23"/>
    </row>
    <row r="97" spans="6:6" x14ac:dyDescent="0.25">
      <c r="F97" s="23"/>
    </row>
    <row r="98" spans="6:6" x14ac:dyDescent="0.25">
      <c r="F98" s="28"/>
    </row>
    <row r="99" spans="6:6" x14ac:dyDescent="0.25">
      <c r="F99" s="23"/>
    </row>
    <row r="100" spans="6:6" x14ac:dyDescent="0.25">
      <c r="F100" s="23"/>
    </row>
    <row r="101" spans="6:6" x14ac:dyDescent="0.25">
      <c r="F101" s="3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Maria Dalbu Moholt</cp:lastModifiedBy>
  <cp:lastPrinted>2017-08-23T20:15:43Z</cp:lastPrinted>
  <dcterms:created xsi:type="dcterms:W3CDTF">2017-08-15T12:23:16Z</dcterms:created>
  <dcterms:modified xsi:type="dcterms:W3CDTF">2018-02-05T10:18:37Z</dcterms:modified>
</cp:coreProperties>
</file>