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S:\Regnskapsdata\kvt\2021-kvt\3. kvt 2021\web\"/>
    </mc:Choice>
  </mc:AlternateContent>
  <xr:revisionPtr revIDLastSave="0" documentId="13_ncr:1_{B05F6F9A-8DAE-4ACC-BBC8-70B406AD709D}" xr6:coauthVersionLast="45" xr6:coauthVersionMax="45" xr10:uidLastSave="{00000000-0000-0000-0000-000000000000}"/>
  <bookViews>
    <workbookView xWindow="28680" yWindow="-120" windowWidth="29040" windowHeight="15840" activeTab="1" xr2:uid="{00000000-000D-0000-FFFF-FFFF00000000}"/>
  </bookViews>
  <sheets>
    <sheet name="APM definisjoner" sheetId="1" r:id="rId1"/>
    <sheet name="APM utregning" sheetId="2" r:id="rId2"/>
    <sheet name="APM Definitions" sheetId="5" r:id="rId3"/>
    <sheet name="APM calculation" sheetId="4" r:id="rId4"/>
  </sheets>
  <definedNames>
    <definedName name="_AMO_UniqueIdentifier" hidden="1">"'ea146410-0ba0-4315-a76f-efd61b1e6fa7'"</definedName>
    <definedName name="_xlnm.Print_Area" localSheetId="0">'APM definisjoner'!$A$1:$B$24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8" i="4" l="1"/>
  <c r="B118" i="4"/>
  <c r="C117" i="4"/>
  <c r="B117" i="4"/>
  <c r="C116" i="4"/>
  <c r="B116" i="4"/>
  <c r="C115" i="4"/>
  <c r="B115" i="4"/>
  <c r="C114" i="4"/>
  <c r="B114" i="4"/>
  <c r="C111" i="4"/>
  <c r="B111" i="4"/>
  <c r="C110" i="4"/>
  <c r="B110" i="4"/>
  <c r="C109" i="4"/>
  <c r="B109" i="4"/>
  <c r="C108" i="4"/>
  <c r="B108" i="4"/>
  <c r="C107" i="4"/>
  <c r="B107" i="4"/>
  <c r="C104" i="4"/>
  <c r="B104" i="4"/>
  <c r="C103" i="4"/>
  <c r="B103" i="4"/>
  <c r="C102" i="4"/>
  <c r="B102" i="4"/>
  <c r="C101" i="4"/>
  <c r="B101" i="4"/>
  <c r="C100" i="4"/>
  <c r="B100" i="4"/>
  <c r="C97" i="4"/>
  <c r="B97" i="4"/>
  <c r="C96" i="4"/>
  <c r="B96" i="4"/>
  <c r="C95" i="4"/>
  <c r="B95" i="4"/>
  <c r="C94" i="4"/>
  <c r="B94" i="4"/>
  <c r="C93" i="4"/>
  <c r="B93" i="4"/>
  <c r="C92" i="4"/>
  <c r="B92" i="4"/>
  <c r="C91" i="4"/>
  <c r="B91" i="4"/>
  <c r="B42" i="4"/>
  <c r="B47" i="4" s="1"/>
  <c r="B24" i="4"/>
  <c r="B23" i="4"/>
  <c r="B86" i="4"/>
  <c r="B82" i="4"/>
  <c r="C70" i="2"/>
  <c r="C72" i="2" s="1"/>
  <c r="B83" i="2"/>
  <c r="B83" i="4" s="1"/>
  <c r="B58" i="4"/>
  <c r="B47" i="2"/>
  <c r="C42" i="2"/>
  <c r="C42" i="4" s="1"/>
  <c r="B28" i="4"/>
  <c r="C24" i="2"/>
  <c r="C24" i="4" s="1"/>
  <c r="C23" i="2"/>
  <c r="C23" i="4" s="1"/>
  <c r="B22" i="2"/>
  <c r="B34" i="2" s="1"/>
  <c r="C5" i="4"/>
  <c r="B5" i="4"/>
  <c r="B22" i="4" l="1"/>
  <c r="B69" i="4"/>
  <c r="C69" i="2"/>
  <c r="C71" i="2" s="1"/>
  <c r="C73" i="2" s="1"/>
  <c r="C78" i="2"/>
  <c r="C78" i="4" s="1"/>
  <c r="B78" i="2"/>
  <c r="B78" i="4" s="1"/>
  <c r="B34" i="4"/>
  <c r="C22" i="4"/>
  <c r="B84" i="2"/>
  <c r="B84" i="4" s="1"/>
  <c r="B87" i="2"/>
  <c r="C22" i="2"/>
  <c r="F87" i="2"/>
  <c r="F88" i="2" s="1"/>
  <c r="F83" i="2"/>
  <c r="F84" i="2" s="1"/>
  <c r="C69" i="4" l="1"/>
  <c r="B88" i="2"/>
  <c r="B87" i="4"/>
  <c r="F70" i="2"/>
  <c r="E70" i="2"/>
  <c r="E63" i="2"/>
  <c r="B88" i="4" l="1"/>
  <c r="D47" i="2"/>
  <c r="G73" i="2" l="1"/>
  <c r="F72" i="2"/>
  <c r="F71" i="2"/>
  <c r="G64" i="2"/>
  <c r="G66" i="2" s="1"/>
  <c r="F64" i="2"/>
  <c r="F66" i="2" s="1"/>
  <c r="F59" i="2"/>
  <c r="G54" i="2"/>
  <c r="F54" i="2"/>
  <c r="F34" i="2"/>
  <c r="F32" i="2"/>
  <c r="F31" i="2"/>
  <c r="G25" i="2"/>
  <c r="G39" i="2" s="1"/>
  <c r="G40" i="2" s="1"/>
  <c r="F25" i="2"/>
  <c r="F39" i="2" s="1"/>
  <c r="F40" i="2" s="1"/>
  <c r="G6" i="2"/>
  <c r="G14" i="2" s="1"/>
  <c r="F6" i="2"/>
  <c r="F14" i="2" s="1"/>
  <c r="G10" i="2"/>
  <c r="F10" i="2"/>
  <c r="F27" i="2" s="1"/>
  <c r="F73" i="2" l="1"/>
  <c r="F33" i="2"/>
  <c r="F35" i="2" s="1"/>
  <c r="F48" i="2" s="1"/>
  <c r="F49" i="2" s="1"/>
  <c r="E91" i="4"/>
  <c r="E92" i="4"/>
  <c r="E93" i="4"/>
  <c r="E94" i="4"/>
  <c r="E95" i="4"/>
  <c r="E96" i="4"/>
  <c r="E97" i="4"/>
  <c r="E100" i="4"/>
  <c r="E101" i="4"/>
  <c r="E102" i="4"/>
  <c r="E103" i="4"/>
  <c r="E104" i="4"/>
  <c r="E107" i="4"/>
  <c r="E108" i="4"/>
  <c r="E109" i="4"/>
  <c r="E110" i="4"/>
  <c r="E111" i="4"/>
  <c r="E114" i="4"/>
  <c r="E115" i="4"/>
  <c r="E116" i="4"/>
  <c r="E117" i="4"/>
  <c r="E118" i="4"/>
  <c r="D92" i="4"/>
  <c r="D94" i="4"/>
  <c r="D95" i="4"/>
  <c r="D96" i="4"/>
  <c r="D97" i="4"/>
  <c r="D100" i="4"/>
  <c r="D101" i="4"/>
  <c r="D103" i="4"/>
  <c r="D104" i="4"/>
  <c r="D107" i="4"/>
  <c r="D108" i="4"/>
  <c r="D109" i="4"/>
  <c r="D110" i="4"/>
  <c r="D111" i="4"/>
  <c r="D114" i="4"/>
  <c r="D115" i="4"/>
  <c r="D116" i="4"/>
  <c r="D117" i="4"/>
  <c r="D118" i="4"/>
  <c r="D91" i="4"/>
  <c r="D102" i="4"/>
  <c r="D93" i="4"/>
  <c r="AD82" i="4" l="1"/>
  <c r="AB82" i="4"/>
  <c r="Z82" i="4"/>
  <c r="X82" i="4"/>
  <c r="V82" i="4"/>
  <c r="T82" i="4"/>
  <c r="R82" i="4"/>
  <c r="P82" i="4"/>
  <c r="L82" i="4"/>
  <c r="J82" i="4"/>
  <c r="AD86" i="4"/>
  <c r="AB86" i="4"/>
  <c r="Z86" i="4"/>
  <c r="X86" i="4"/>
  <c r="V86" i="4"/>
  <c r="T86" i="4"/>
  <c r="R86" i="4"/>
  <c r="P86" i="4"/>
  <c r="L86" i="4"/>
  <c r="J86" i="4"/>
  <c r="P83" i="2" l="1"/>
  <c r="P84" i="2" l="1"/>
  <c r="P84" i="4" s="1"/>
  <c r="P83" i="4"/>
  <c r="P87" i="2"/>
  <c r="P88" i="2" l="1"/>
  <c r="P87" i="4"/>
  <c r="N83" i="2"/>
  <c r="N83" i="4" s="1"/>
  <c r="H87" i="2"/>
  <c r="H87" i="4" s="1"/>
  <c r="H83" i="2"/>
  <c r="H83" i="4" s="1"/>
  <c r="D86" i="4"/>
  <c r="D82" i="4"/>
  <c r="P88" i="4" l="1"/>
  <c r="N87" i="2"/>
  <c r="N87" i="4" s="1"/>
  <c r="H84" i="2"/>
  <c r="H84" i="4" s="1"/>
  <c r="H82" i="4"/>
  <c r="H88" i="2"/>
  <c r="H86" i="4"/>
  <c r="N84" i="2"/>
  <c r="N84" i="4" s="1"/>
  <c r="N82" i="4"/>
  <c r="N86" i="4"/>
  <c r="N88" i="2" l="1"/>
  <c r="N88" i="4" s="1"/>
  <c r="H88" i="4"/>
  <c r="I71" i="2"/>
  <c r="I73" i="2" s="1"/>
  <c r="D78" i="2" l="1"/>
  <c r="E78" i="2"/>
  <c r="D83" i="2"/>
  <c r="D87" i="2"/>
  <c r="D84" i="2" l="1"/>
  <c r="D84" i="4" s="1"/>
  <c r="D83" i="4"/>
  <c r="D88" i="2"/>
  <c r="D87" i="4"/>
  <c r="I77" i="2"/>
  <c r="I77" i="4" s="1"/>
  <c r="H71" i="2"/>
  <c r="H73" i="2" s="1"/>
  <c r="H63" i="2"/>
  <c r="H62" i="2"/>
  <c r="H59" i="2"/>
  <c r="I54" i="2"/>
  <c r="H54" i="2"/>
  <c r="H49" i="2"/>
  <c r="I40" i="2"/>
  <c r="I43" i="2" s="1"/>
  <c r="I43" i="4" s="1"/>
  <c r="H40" i="2"/>
  <c r="H43" i="2" s="1"/>
  <c r="H34" i="2"/>
  <c r="H33" i="2"/>
  <c r="I16" i="2"/>
  <c r="H16" i="2"/>
  <c r="I10" i="2"/>
  <c r="H10" i="2"/>
  <c r="I6" i="2"/>
  <c r="H6" i="2"/>
  <c r="H77" i="4"/>
  <c r="I76" i="4"/>
  <c r="H76" i="4"/>
  <c r="H70" i="4"/>
  <c r="H72" i="4" s="1"/>
  <c r="H69" i="4"/>
  <c r="H58" i="4"/>
  <c r="H57" i="4"/>
  <c r="H62" i="4" s="1"/>
  <c r="I53" i="4"/>
  <c r="H53" i="4"/>
  <c r="I52" i="4"/>
  <c r="H52" i="4"/>
  <c r="I42" i="4"/>
  <c r="H42" i="4"/>
  <c r="H47" i="4" s="1"/>
  <c r="I38" i="4"/>
  <c r="H38" i="4"/>
  <c r="H30" i="4"/>
  <c r="H29" i="4"/>
  <c r="H28" i="4"/>
  <c r="I24" i="4"/>
  <c r="H24" i="4"/>
  <c r="I23" i="4"/>
  <c r="H23" i="4"/>
  <c r="H21" i="4"/>
  <c r="H20" i="4"/>
  <c r="H19" i="4"/>
  <c r="I15" i="4"/>
  <c r="H15" i="4"/>
  <c r="I14" i="4"/>
  <c r="H14" i="4"/>
  <c r="I9" i="4"/>
  <c r="H9" i="4"/>
  <c r="I8" i="4"/>
  <c r="H8" i="4"/>
  <c r="I5" i="4"/>
  <c r="H5" i="4"/>
  <c r="I4" i="4"/>
  <c r="H4" i="4"/>
  <c r="I10" i="4" l="1"/>
  <c r="I54" i="4"/>
  <c r="H35" i="2"/>
  <c r="H44" i="2"/>
  <c r="H43" i="4"/>
  <c r="H44" i="4" s="1"/>
  <c r="I16" i="4"/>
  <c r="H64" i="2"/>
  <c r="H66" i="2" s="1"/>
  <c r="I6" i="4"/>
  <c r="I44" i="2"/>
  <c r="H6" i="4"/>
  <c r="D88" i="4"/>
  <c r="H54" i="4"/>
  <c r="H22" i="4"/>
  <c r="H34" i="4" s="1"/>
  <c r="H10" i="4"/>
  <c r="H27" i="4" s="1"/>
  <c r="H31" i="4"/>
  <c r="H32" i="4"/>
  <c r="H16" i="4"/>
  <c r="I44" i="4"/>
  <c r="H59" i="4"/>
  <c r="I62" i="4"/>
  <c r="I69" i="4"/>
  <c r="H71" i="4"/>
  <c r="H73" i="4" s="1"/>
  <c r="I22" i="4" l="1"/>
  <c r="H33" i="4"/>
  <c r="H35" i="4" s="1"/>
  <c r="H48" i="4" s="1"/>
  <c r="H49" i="4" s="1"/>
  <c r="U62" i="4"/>
  <c r="S63" i="4"/>
  <c r="Q62" i="4"/>
  <c r="O63" i="4"/>
  <c r="Q62" i="2"/>
  <c r="O63" i="2"/>
  <c r="O62" i="2"/>
  <c r="M63" i="2"/>
  <c r="AW72" i="4"/>
  <c r="AE69" i="4"/>
  <c r="AC70" i="4"/>
  <c r="AC72" i="4" s="1"/>
  <c r="U69" i="4"/>
  <c r="S70" i="4"/>
  <c r="S72" i="4" s="1"/>
  <c r="Q69" i="4"/>
  <c r="O70" i="4"/>
  <c r="O72" i="4" s="1"/>
  <c r="O64" i="2" l="1"/>
  <c r="O66" i="2" s="1"/>
  <c r="AW72" i="2"/>
  <c r="Q69" i="2"/>
  <c r="O70" i="2"/>
  <c r="O72" i="2" s="1"/>
  <c r="O69" i="2"/>
  <c r="M70" i="2"/>
  <c r="M72" i="2" s="1"/>
  <c r="O71" i="2" l="1"/>
  <c r="O73" i="2" s="1"/>
  <c r="D22" i="2"/>
  <c r="D25" i="2" l="1"/>
  <c r="B25" i="2"/>
  <c r="D69" i="4"/>
  <c r="E69" i="4" s="1"/>
  <c r="C70" i="4" s="1"/>
  <c r="E69" i="2"/>
  <c r="C72" i="4" l="1"/>
  <c r="C71" i="4"/>
  <c r="C73" i="4" s="1"/>
  <c r="B25" i="4"/>
  <c r="B39" i="4" s="1"/>
  <c r="B39" i="2"/>
  <c r="D63" i="4"/>
  <c r="D42" i="4"/>
  <c r="D24" i="4"/>
  <c r="D23" i="4"/>
  <c r="D58" i="4"/>
  <c r="E42" i="2"/>
  <c r="E42" i="4" s="1"/>
  <c r="E24" i="2"/>
  <c r="E24" i="4" s="1"/>
  <c r="E23" i="2"/>
  <c r="E23" i="4" s="1"/>
  <c r="D34" i="2"/>
  <c r="D22" i="4" l="1"/>
  <c r="D34" i="4" s="1"/>
  <c r="E22" i="2"/>
  <c r="D25" i="4"/>
  <c r="D39" i="4" s="1"/>
  <c r="D47" i="4"/>
  <c r="E25" i="2" l="1"/>
  <c r="C25" i="2"/>
  <c r="E22" i="4"/>
  <c r="D39" i="2"/>
  <c r="E39" i="2"/>
  <c r="E25" i="4"/>
  <c r="E39" i="4" s="1"/>
  <c r="C39" i="2" l="1"/>
  <c r="C25" i="4"/>
  <c r="C39" i="4" s="1"/>
  <c r="J42" i="4"/>
  <c r="J24" i="4"/>
  <c r="J23" i="4"/>
  <c r="K76" i="4"/>
  <c r="J77" i="2"/>
  <c r="J77" i="4" s="1"/>
  <c r="J69" i="2"/>
  <c r="B70" i="2" s="1"/>
  <c r="J62" i="2"/>
  <c r="B63" i="2" s="1"/>
  <c r="K53" i="4"/>
  <c r="J53" i="4"/>
  <c r="K52" i="4"/>
  <c r="J47" i="2"/>
  <c r="K42" i="2"/>
  <c r="K42" i="4" s="1"/>
  <c r="J30" i="4"/>
  <c r="J29" i="4"/>
  <c r="J28" i="4"/>
  <c r="K24" i="2"/>
  <c r="K24" i="4" s="1"/>
  <c r="K23" i="2"/>
  <c r="K23" i="4" s="1"/>
  <c r="J22" i="2"/>
  <c r="J19" i="4"/>
  <c r="K9" i="2"/>
  <c r="K9" i="4" s="1"/>
  <c r="K5" i="4"/>
  <c r="J5" i="4"/>
  <c r="B72" i="2" l="1"/>
  <c r="B70" i="4"/>
  <c r="B71" i="2"/>
  <c r="B73" i="2" s="1"/>
  <c r="J22" i="4"/>
  <c r="J34" i="4" s="1"/>
  <c r="J83" i="2"/>
  <c r="J87" i="2"/>
  <c r="I78" i="2"/>
  <c r="K69" i="2"/>
  <c r="K22" i="2"/>
  <c r="I25" i="2"/>
  <c r="I25" i="4" s="1"/>
  <c r="I39" i="4" s="1"/>
  <c r="I40" i="4" s="1"/>
  <c r="K62" i="2"/>
  <c r="J54" i="2"/>
  <c r="J6" i="2"/>
  <c r="J14" i="2" s="1"/>
  <c r="J14" i="4" s="1"/>
  <c r="J59" i="2"/>
  <c r="K6" i="2"/>
  <c r="J58" i="4"/>
  <c r="J69" i="4" s="1"/>
  <c r="J34" i="2"/>
  <c r="K77" i="2"/>
  <c r="K77" i="4" s="1"/>
  <c r="K4" i="4"/>
  <c r="K6" i="4" s="1"/>
  <c r="J76" i="4"/>
  <c r="K54" i="4"/>
  <c r="J31" i="2"/>
  <c r="K54" i="2"/>
  <c r="J20" i="4"/>
  <c r="J31" i="4" s="1"/>
  <c r="J4" i="4"/>
  <c r="J6" i="4" s="1"/>
  <c r="J9" i="4"/>
  <c r="J52" i="4"/>
  <c r="J54" i="4" s="1"/>
  <c r="J57" i="4"/>
  <c r="J47" i="4"/>
  <c r="L70" i="4"/>
  <c r="L63" i="4"/>
  <c r="B72" i="4" l="1"/>
  <c r="B71" i="4"/>
  <c r="B73" i="4" s="1"/>
  <c r="K22" i="4"/>
  <c r="E72" i="2"/>
  <c r="E71" i="2"/>
  <c r="I79" i="2"/>
  <c r="I78" i="4"/>
  <c r="I79" i="4" s="1"/>
  <c r="J87" i="4"/>
  <c r="J88" i="2"/>
  <c r="J83" i="4"/>
  <c r="J84" i="2"/>
  <c r="J84" i="4" s="1"/>
  <c r="K69" i="4"/>
  <c r="E70" i="4"/>
  <c r="E78" i="4"/>
  <c r="D78" i="4"/>
  <c r="K14" i="2"/>
  <c r="K14" i="4" s="1"/>
  <c r="J62" i="4"/>
  <c r="B63" i="4" s="1"/>
  <c r="J59" i="4"/>
  <c r="E73" i="2" l="1"/>
  <c r="J88" i="4"/>
  <c r="E72" i="4"/>
  <c r="E71" i="4"/>
  <c r="E63" i="4"/>
  <c r="K62" i="4"/>
  <c r="O117" i="4"/>
  <c r="N117" i="4" s="1"/>
  <c r="O114" i="4"/>
  <c r="N114" i="4" s="1"/>
  <c r="O110" i="4"/>
  <c r="N110" i="4" s="1"/>
  <c r="N108" i="4"/>
  <c r="O107" i="4"/>
  <c r="N107" i="4" s="1"/>
  <c r="O103" i="4"/>
  <c r="N103" i="4" s="1"/>
  <c r="O100" i="4"/>
  <c r="N100" i="4" s="1"/>
  <c r="O96" i="4"/>
  <c r="N96" i="4"/>
  <c r="O95" i="4"/>
  <c r="N95" i="4"/>
  <c r="O94" i="4"/>
  <c r="N94" i="4" s="1"/>
  <c r="O91" i="4"/>
  <c r="N91" i="4" s="1"/>
  <c r="O76" i="4"/>
  <c r="O77" i="4" s="1"/>
  <c r="N76" i="4"/>
  <c r="N77" i="4" s="1"/>
  <c r="N58" i="4"/>
  <c r="N69" i="4" s="1"/>
  <c r="N57" i="4"/>
  <c r="N62" i="4" s="1"/>
  <c r="O53" i="4"/>
  <c r="N53" i="4"/>
  <c r="O52" i="4"/>
  <c r="N52" i="4"/>
  <c r="O42" i="4"/>
  <c r="N42" i="4"/>
  <c r="O38" i="4"/>
  <c r="N38" i="4"/>
  <c r="N30" i="4"/>
  <c r="N29" i="4"/>
  <c r="N28" i="4"/>
  <c r="O24" i="4"/>
  <c r="N24" i="4"/>
  <c r="O23" i="4"/>
  <c r="N23" i="4"/>
  <c r="N21" i="4"/>
  <c r="N20" i="4"/>
  <c r="N19" i="4"/>
  <c r="O12" i="4"/>
  <c r="O15" i="4" s="1"/>
  <c r="O9" i="4"/>
  <c r="N9" i="4"/>
  <c r="O8" i="4"/>
  <c r="N8" i="4"/>
  <c r="O5" i="4"/>
  <c r="N5" i="4"/>
  <c r="O4" i="4"/>
  <c r="N4" i="4"/>
  <c r="N78" i="2"/>
  <c r="N77" i="2"/>
  <c r="N54" i="2"/>
  <c r="N34" i="2"/>
  <c r="N33" i="2"/>
  <c r="N25" i="2"/>
  <c r="N39" i="2" s="1"/>
  <c r="N40" i="2" s="1"/>
  <c r="N43" i="2" s="1"/>
  <c r="N44" i="2" s="1"/>
  <c r="N6" i="2"/>
  <c r="N10" i="2"/>
  <c r="N12" i="2" s="1"/>
  <c r="N12" i="4" s="1"/>
  <c r="N15" i="4" s="1"/>
  <c r="N16" i="2"/>
  <c r="N72" i="2"/>
  <c r="N71" i="2"/>
  <c r="N64" i="2"/>
  <c r="N66" i="2" s="1"/>
  <c r="N59" i="2"/>
  <c r="N47" i="2"/>
  <c r="N79" i="2" l="1"/>
  <c r="E73" i="4"/>
  <c r="N73" i="2"/>
  <c r="N35" i="2"/>
  <c r="N48" i="2" s="1"/>
  <c r="N49" i="2" s="1"/>
  <c r="M63" i="4"/>
  <c r="O62" i="4"/>
  <c r="O64" i="4" s="1"/>
  <c r="O66" i="4" s="1"/>
  <c r="M70" i="4"/>
  <c r="M72" i="4" s="1"/>
  <c r="O69" i="4"/>
  <c r="O71" i="4" s="1"/>
  <c r="O73" i="4" s="1"/>
  <c r="N31" i="4"/>
  <c r="N109" i="4"/>
  <c r="N111" i="4" s="1"/>
  <c r="N22" i="4"/>
  <c r="N34" i="4" s="1"/>
  <c r="N32" i="4"/>
  <c r="N6" i="4"/>
  <c r="N14" i="4" s="1"/>
  <c r="N16" i="4" s="1"/>
  <c r="N10" i="4"/>
  <c r="N27" i="4" s="1"/>
  <c r="O54" i="4"/>
  <c r="N59" i="4"/>
  <c r="O6" i="4"/>
  <c r="O14" i="4" s="1"/>
  <c r="O16" i="4" s="1"/>
  <c r="O10" i="4"/>
  <c r="N54" i="4"/>
  <c r="O108" i="4"/>
  <c r="O109" i="4" s="1"/>
  <c r="O111" i="4" s="1"/>
  <c r="O78" i="4"/>
  <c r="O79" i="4" s="1"/>
  <c r="N47" i="4"/>
  <c r="O101" i="4"/>
  <c r="N101" i="4" s="1"/>
  <c r="N102" i="4" s="1"/>
  <c r="N104" i="4" s="1"/>
  <c r="O115" i="4"/>
  <c r="O92" i="4"/>
  <c r="N92" i="4" s="1"/>
  <c r="N93" i="4" s="1"/>
  <c r="N97" i="4" s="1"/>
  <c r="O22" i="4" l="1"/>
  <c r="O25" i="4" s="1"/>
  <c r="O39" i="4" s="1"/>
  <c r="O40" i="4" s="1"/>
  <c r="O43" i="4" s="1"/>
  <c r="O44" i="4" s="1"/>
  <c r="N33" i="4"/>
  <c r="N35" i="4" s="1"/>
  <c r="N48" i="4" s="1"/>
  <c r="N49" i="4" s="1"/>
  <c r="O93" i="4"/>
  <c r="O97" i="4" s="1"/>
  <c r="O102" i="4"/>
  <c r="O104" i="4" s="1"/>
  <c r="O116" i="4"/>
  <c r="O118" i="4" s="1"/>
  <c r="N115" i="4"/>
  <c r="N116" i="4" s="1"/>
  <c r="N118" i="4" s="1"/>
  <c r="L47" i="2" l="1"/>
  <c r="W25" i="2"/>
  <c r="X77" i="2" l="1"/>
  <c r="V77" i="2"/>
  <c r="T77" i="2"/>
  <c r="Y77" i="2"/>
  <c r="W77" i="2"/>
  <c r="U77" i="2"/>
  <c r="AD69" i="2"/>
  <c r="X69" i="2"/>
  <c r="V69" i="2"/>
  <c r="T69" i="2"/>
  <c r="X62" i="2"/>
  <c r="V62" i="2"/>
  <c r="T62" i="2"/>
  <c r="AD59" i="2"/>
  <c r="Z59" i="2"/>
  <c r="X59" i="2"/>
  <c r="V59" i="2"/>
  <c r="T59" i="2"/>
  <c r="AE54" i="2"/>
  <c r="AD54" i="2"/>
  <c r="Y54" i="2"/>
  <c r="X54" i="2"/>
  <c r="W54" i="2"/>
  <c r="V54" i="2"/>
  <c r="U54" i="2"/>
  <c r="T54" i="2"/>
  <c r="W39" i="2"/>
  <c r="W40" i="2" s="1"/>
  <c r="W43" i="2" s="1"/>
  <c r="W44" i="2" s="1"/>
  <c r="AD34" i="2"/>
  <c r="X34" i="2"/>
  <c r="V34" i="2"/>
  <c r="T34" i="2"/>
  <c r="AD32" i="2"/>
  <c r="X32" i="2"/>
  <c r="V32" i="2"/>
  <c r="T32" i="2"/>
  <c r="AD31" i="2"/>
  <c r="X31" i="2"/>
  <c r="V31" i="2"/>
  <c r="T31" i="2"/>
  <c r="V25" i="2"/>
  <c r="V39" i="2" s="1"/>
  <c r="V40" i="2" s="1"/>
  <c r="V43" i="2" s="1"/>
  <c r="V44" i="2" s="1"/>
  <c r="T25" i="2"/>
  <c r="T39" i="2" s="1"/>
  <c r="T40" i="2" s="1"/>
  <c r="T43" i="2" s="1"/>
  <c r="T44" i="2" s="1"/>
  <c r="U25" i="2"/>
  <c r="U39" i="2" s="1"/>
  <c r="U40" i="2" s="1"/>
  <c r="U43" i="2" s="1"/>
  <c r="U44" i="2" s="1"/>
  <c r="AV15" i="2"/>
  <c r="AW15" i="2"/>
  <c r="T10" i="4"/>
  <c r="U10" i="4"/>
  <c r="AC10" i="4"/>
  <c r="AD10" i="4"/>
  <c r="AE10" i="4"/>
  <c r="AF10" i="4"/>
  <c r="AG10" i="4"/>
  <c r="AN10" i="4"/>
  <c r="AO10" i="4"/>
  <c r="T6" i="4"/>
  <c r="U6" i="4"/>
  <c r="AB6" i="4"/>
  <c r="AC6" i="4"/>
  <c r="AD6" i="4"/>
  <c r="AE6" i="4"/>
  <c r="AF6" i="4"/>
  <c r="AH6" i="4"/>
  <c r="AJ6" i="4"/>
  <c r="AL6" i="4"/>
  <c r="AN6" i="4"/>
  <c r="AP6" i="4"/>
  <c r="AQ6" i="4"/>
  <c r="AR6" i="4"/>
  <c r="AS6" i="4"/>
  <c r="AT6" i="4"/>
  <c r="AU6" i="4"/>
  <c r="AV6" i="4"/>
  <c r="AW6" i="4"/>
  <c r="AE10" i="2"/>
  <c r="AD10" i="2"/>
  <c r="AD27" i="2" s="1"/>
  <c r="Y10" i="2"/>
  <c r="X10" i="2"/>
  <c r="X27" i="2" s="1"/>
  <c r="W10" i="2"/>
  <c r="V10" i="2"/>
  <c r="V27" i="2" s="1"/>
  <c r="U10" i="2"/>
  <c r="T10" i="2"/>
  <c r="AE6" i="2"/>
  <c r="AE14" i="2" s="1"/>
  <c r="AD6" i="2"/>
  <c r="AD14" i="2" s="1"/>
  <c r="Y6" i="2"/>
  <c r="Y14" i="2" s="1"/>
  <c r="X6" i="2"/>
  <c r="X14" i="2" s="1"/>
  <c r="W6" i="2"/>
  <c r="W14" i="2" s="1"/>
  <c r="V6" i="2"/>
  <c r="V14" i="2" s="1"/>
  <c r="U6" i="2"/>
  <c r="U14" i="2" s="1"/>
  <c r="T6" i="2"/>
  <c r="T14" i="2" s="1"/>
  <c r="S6" i="2"/>
  <c r="V70" i="4"/>
  <c r="W12" i="2" l="1"/>
  <c r="W15" i="2" s="1"/>
  <c r="W16" i="2" s="1"/>
  <c r="X33" i="2"/>
  <c r="X35" i="2" s="1"/>
  <c r="X48" i="2" s="1"/>
  <c r="X49" i="2" s="1"/>
  <c r="V33" i="2"/>
  <c r="V35" i="2" s="1"/>
  <c r="V48" i="2" s="1"/>
  <c r="V49" i="2" s="1"/>
  <c r="U78" i="2"/>
  <c r="U79" i="2" s="1"/>
  <c r="W78" i="2"/>
  <c r="W79" i="2" s="1"/>
  <c r="AD33" i="2"/>
  <c r="AD35" i="2" s="1"/>
  <c r="AD48" i="2" s="1"/>
  <c r="AD49" i="2" s="1"/>
  <c r="T12" i="2"/>
  <c r="T15" i="2" s="1"/>
  <c r="T16" i="2" s="1"/>
  <c r="U12" i="2"/>
  <c r="U15" i="2" s="1"/>
  <c r="U16" i="2" s="1"/>
  <c r="V12" i="2"/>
  <c r="V15" i="2" s="1"/>
  <c r="V16" i="2" s="1"/>
  <c r="T14" i="4"/>
  <c r="T16" i="4" s="1"/>
  <c r="T27" i="2"/>
  <c r="T33" i="2" s="1"/>
  <c r="T35" i="2" s="1"/>
  <c r="T48" i="2" s="1"/>
  <c r="T49" i="2" s="1"/>
  <c r="S63" i="2"/>
  <c r="U62" i="2"/>
  <c r="L63" i="2"/>
  <c r="AD83" i="2"/>
  <c r="AE69" i="2"/>
  <c r="AC70" i="2"/>
  <c r="AC72" i="2" s="1"/>
  <c r="V83" i="2"/>
  <c r="W69" i="2"/>
  <c r="U70" i="2"/>
  <c r="U72" i="2" s="1"/>
  <c r="U63" i="2"/>
  <c r="W62" i="2"/>
  <c r="V70" i="2"/>
  <c r="V72" i="2" s="1"/>
  <c r="X83" i="2"/>
  <c r="Y69" i="2"/>
  <c r="W70" i="2"/>
  <c r="W72" i="2" s="1"/>
  <c r="V78" i="2"/>
  <c r="V79" i="2" s="1"/>
  <c r="T83" i="2"/>
  <c r="S70" i="2"/>
  <c r="S72" i="2" s="1"/>
  <c r="U69" i="2"/>
  <c r="L70" i="2"/>
  <c r="Y62" i="2"/>
  <c r="W63" i="2"/>
  <c r="T12" i="4" l="1"/>
  <c r="V71" i="2"/>
  <c r="V73" i="2" s="1"/>
  <c r="W64" i="2"/>
  <c r="W66" i="2" s="1"/>
  <c r="W71" i="2"/>
  <c r="W73" i="2" s="1"/>
  <c r="U71" i="2"/>
  <c r="U73" i="2" s="1"/>
  <c r="X84" i="2"/>
  <c r="X84" i="4" s="1"/>
  <c r="X83" i="4"/>
  <c r="X87" i="2"/>
  <c r="V84" i="2"/>
  <c r="V84" i="4" s="1"/>
  <c r="V83" i="4"/>
  <c r="V87" i="2"/>
  <c r="T84" i="2"/>
  <c r="T84" i="4" s="1"/>
  <c r="T83" i="4"/>
  <c r="T87" i="2"/>
  <c r="U64" i="2"/>
  <c r="U66" i="2" s="1"/>
  <c r="AD84" i="2"/>
  <c r="AD84" i="4" s="1"/>
  <c r="AD83" i="4"/>
  <c r="AD87" i="2"/>
  <c r="M77" i="2"/>
  <c r="M77" i="4" s="1"/>
  <c r="L77" i="2"/>
  <c r="L77" i="4" s="1"/>
  <c r="L72" i="2"/>
  <c r="L69" i="2"/>
  <c r="D70" i="2" s="1"/>
  <c r="L62" i="2"/>
  <c r="D63" i="2" s="1"/>
  <c r="M53" i="4"/>
  <c r="L53" i="4"/>
  <c r="M52" i="4"/>
  <c r="M42" i="2"/>
  <c r="M42" i="4" s="1"/>
  <c r="M38" i="4"/>
  <c r="L38" i="4"/>
  <c r="L30" i="4"/>
  <c r="L29" i="4"/>
  <c r="L28" i="4"/>
  <c r="M24" i="2"/>
  <c r="M24" i="4" s="1"/>
  <c r="M23" i="2"/>
  <c r="M23" i="4" s="1"/>
  <c r="L22" i="2"/>
  <c r="L21" i="4"/>
  <c r="L20" i="4"/>
  <c r="L19" i="4"/>
  <c r="M9" i="2"/>
  <c r="M9" i="4" s="1"/>
  <c r="M8" i="2"/>
  <c r="L5" i="4"/>
  <c r="L42" i="4"/>
  <c r="L47" i="4" s="1"/>
  <c r="L24" i="4"/>
  <c r="L23" i="4"/>
  <c r="D72" i="2" l="1"/>
  <c r="D70" i="4"/>
  <c r="D71" i="2"/>
  <c r="L64" i="2"/>
  <c r="L66" i="2" s="1"/>
  <c r="M62" i="2"/>
  <c r="M64" i="2" s="1"/>
  <c r="M66" i="2" s="1"/>
  <c r="K63" i="2"/>
  <c r="K64" i="2" s="1"/>
  <c r="K66" i="2" s="1"/>
  <c r="AD88" i="2"/>
  <c r="AD88" i="4" s="1"/>
  <c r="AD87" i="4"/>
  <c r="L87" i="2"/>
  <c r="L83" i="2"/>
  <c r="H78" i="2"/>
  <c r="M69" i="2"/>
  <c r="M71" i="2" s="1"/>
  <c r="M73" i="2" s="1"/>
  <c r="K70" i="2"/>
  <c r="J78" i="2"/>
  <c r="J78" i="4" s="1"/>
  <c r="J79" i="4" s="1"/>
  <c r="X88" i="2"/>
  <c r="X88" i="4" s="1"/>
  <c r="X87" i="4"/>
  <c r="V88" i="2"/>
  <c r="V87" i="4"/>
  <c r="T88" i="2"/>
  <c r="T87" i="4"/>
  <c r="H25" i="2"/>
  <c r="H25" i="4" s="1"/>
  <c r="H39" i="4" s="1"/>
  <c r="H40" i="4" s="1"/>
  <c r="L25" i="2"/>
  <c r="L25" i="4" s="1"/>
  <c r="J25" i="2"/>
  <c r="K25" i="2"/>
  <c r="K78" i="2"/>
  <c r="M78" i="2"/>
  <c r="M78" i="4" s="1"/>
  <c r="L78" i="2"/>
  <c r="L78" i="4" s="1"/>
  <c r="L34" i="2"/>
  <c r="L6" i="2"/>
  <c r="L14" i="2" s="1"/>
  <c r="M5" i="4"/>
  <c r="M6" i="2"/>
  <c r="M14" i="2" s="1"/>
  <c r="M14" i="4" s="1"/>
  <c r="L8" i="4"/>
  <c r="L58" i="4"/>
  <c r="L69" i="4" s="1"/>
  <c r="I70" i="4" s="1"/>
  <c r="M22" i="2"/>
  <c r="M25" i="2" s="1"/>
  <c r="M25" i="4" s="1"/>
  <c r="L76" i="4"/>
  <c r="L32" i="4"/>
  <c r="M54" i="4"/>
  <c r="M76" i="4"/>
  <c r="L54" i="2"/>
  <c r="M54" i="2"/>
  <c r="L22" i="4"/>
  <c r="L31" i="4"/>
  <c r="L31" i="2"/>
  <c r="L59" i="2"/>
  <c r="M4" i="4"/>
  <c r="L9" i="4"/>
  <c r="L57" i="4"/>
  <c r="L32" i="2"/>
  <c r="L71" i="2"/>
  <c r="L73" i="2" s="1"/>
  <c r="M10" i="2"/>
  <c r="M12" i="2" s="1"/>
  <c r="M8" i="4"/>
  <c r="M10" i="4" s="1"/>
  <c r="L4" i="4"/>
  <c r="L6" i="4" s="1"/>
  <c r="L52" i="4"/>
  <c r="L54" i="4" s="1"/>
  <c r="L10" i="2"/>
  <c r="L12" i="2" s="1"/>
  <c r="R117" i="2"/>
  <c r="R115" i="2"/>
  <c r="S116" i="2"/>
  <c r="R114" i="2"/>
  <c r="R110" i="2"/>
  <c r="R108" i="2"/>
  <c r="R107" i="2"/>
  <c r="R103" i="2"/>
  <c r="R101" i="2"/>
  <c r="S102" i="2"/>
  <c r="R100" i="2"/>
  <c r="R94" i="2"/>
  <c r="R92" i="2"/>
  <c r="S93" i="2"/>
  <c r="R93" i="2" s="1"/>
  <c r="R91" i="2"/>
  <c r="D73" i="2" l="1"/>
  <c r="D72" i="4"/>
  <c r="D71" i="4"/>
  <c r="V88" i="4"/>
  <c r="T88" i="4"/>
  <c r="R102" i="2"/>
  <c r="J79" i="2"/>
  <c r="R97" i="2"/>
  <c r="R109" i="2"/>
  <c r="R111" i="2" s="1"/>
  <c r="L88" i="2"/>
  <c r="L87" i="4"/>
  <c r="K39" i="2"/>
  <c r="K25" i="4"/>
  <c r="K39" i="4" s="1"/>
  <c r="H78" i="4"/>
  <c r="H79" i="4" s="1"/>
  <c r="H79" i="2"/>
  <c r="J39" i="2"/>
  <c r="J25" i="4"/>
  <c r="J39" i="4" s="1"/>
  <c r="K72" i="2"/>
  <c r="K71" i="2"/>
  <c r="L84" i="2"/>
  <c r="L84" i="4" s="1"/>
  <c r="L83" i="4"/>
  <c r="I72" i="4"/>
  <c r="I71" i="4"/>
  <c r="M69" i="4"/>
  <c r="M71" i="4" s="1"/>
  <c r="M73" i="4" s="1"/>
  <c r="K70" i="4"/>
  <c r="K79" i="2"/>
  <c r="K78" i="4"/>
  <c r="K79" i="4" s="1"/>
  <c r="L14" i="4"/>
  <c r="L39" i="2"/>
  <c r="L40" i="2" s="1"/>
  <c r="M39" i="2"/>
  <c r="M40" i="2" s="1"/>
  <c r="L34" i="4"/>
  <c r="L10" i="4"/>
  <c r="L27" i="4" s="1"/>
  <c r="L33" i="4" s="1"/>
  <c r="M22" i="4"/>
  <c r="M6" i="4"/>
  <c r="L62" i="4"/>
  <c r="I63" i="4" s="1"/>
  <c r="I64" i="4" s="1"/>
  <c r="I66" i="4" s="1"/>
  <c r="L59" i="4"/>
  <c r="L27" i="2"/>
  <c r="R116" i="2"/>
  <c r="S109" i="2"/>
  <c r="D73" i="4" l="1"/>
  <c r="K73" i="2"/>
  <c r="L88" i="4"/>
  <c r="I73" i="4"/>
  <c r="M62" i="4"/>
  <c r="M64" i="4" s="1"/>
  <c r="M66" i="4" s="1"/>
  <c r="K63" i="4"/>
  <c r="K64" i="4" s="1"/>
  <c r="K66" i="4" s="1"/>
  <c r="K72" i="4"/>
  <c r="K71" i="4"/>
  <c r="L43" i="2"/>
  <c r="L43" i="4" s="1"/>
  <c r="L35" i="4"/>
  <c r="L48" i="4" s="1"/>
  <c r="L49" i="4" s="1"/>
  <c r="M43" i="2"/>
  <c r="L33" i="2"/>
  <c r="L35" i="2" s="1"/>
  <c r="K73" i="4" l="1"/>
  <c r="L44" i="2"/>
  <c r="M44" i="2"/>
  <c r="M43" i="4"/>
  <c r="L48" i="2"/>
  <c r="L49" i="2" s="1"/>
  <c r="S118" i="2" l="1"/>
  <c r="S111" i="2"/>
  <c r="S97" i="2"/>
  <c r="R118" i="2" l="1"/>
  <c r="R104" i="2"/>
  <c r="S104" i="2"/>
  <c r="S118" i="4" l="1"/>
  <c r="S117" i="4"/>
  <c r="S116" i="4"/>
  <c r="S115" i="4"/>
  <c r="S114" i="4"/>
  <c r="R118" i="4"/>
  <c r="R117" i="4"/>
  <c r="R116" i="4"/>
  <c r="R115" i="4"/>
  <c r="R114" i="4"/>
  <c r="S111" i="4"/>
  <c r="S110" i="4"/>
  <c r="S109" i="4"/>
  <c r="S108" i="4"/>
  <c r="S107" i="4"/>
  <c r="R111" i="4"/>
  <c r="R110" i="4"/>
  <c r="R109" i="4"/>
  <c r="R108" i="4"/>
  <c r="R107" i="4"/>
  <c r="S104" i="4"/>
  <c r="S103" i="4"/>
  <c r="S102" i="4"/>
  <c r="S101" i="4"/>
  <c r="S100" i="4"/>
  <c r="S97" i="4"/>
  <c r="S96" i="4"/>
  <c r="S95" i="4"/>
  <c r="S94" i="4"/>
  <c r="S93" i="4"/>
  <c r="S92" i="4"/>
  <c r="S91" i="4"/>
  <c r="R104" i="4"/>
  <c r="R103" i="4"/>
  <c r="R102" i="4"/>
  <c r="R101" i="4"/>
  <c r="R100" i="4"/>
  <c r="R77" i="2" l="1"/>
  <c r="S77" i="2" l="1"/>
  <c r="R97" i="4" l="1"/>
  <c r="R96" i="4"/>
  <c r="R95" i="4"/>
  <c r="R94" i="4"/>
  <c r="R93" i="4"/>
  <c r="R92" i="4"/>
  <c r="R91" i="4"/>
  <c r="V22" i="4"/>
  <c r="W76" i="4"/>
  <c r="W77" i="4" s="1"/>
  <c r="V76" i="4"/>
  <c r="V77" i="4" s="1"/>
  <c r="V58" i="4"/>
  <c r="V69" i="4" s="1"/>
  <c r="V57" i="4"/>
  <c r="W53" i="4"/>
  <c r="V53" i="4"/>
  <c r="W52" i="4"/>
  <c r="V52" i="4"/>
  <c r="W42" i="4"/>
  <c r="V42" i="4"/>
  <c r="W38" i="4"/>
  <c r="V38" i="4"/>
  <c r="V30" i="4"/>
  <c r="V29" i="4"/>
  <c r="V28" i="4"/>
  <c r="W25" i="4"/>
  <c r="W39" i="4" s="1"/>
  <c r="V25" i="4"/>
  <c r="V39" i="4" s="1"/>
  <c r="W24" i="4"/>
  <c r="V24" i="4"/>
  <c r="W23" i="4"/>
  <c r="V23" i="4"/>
  <c r="V21" i="4"/>
  <c r="V20" i="4"/>
  <c r="V19" i="4"/>
  <c r="W9" i="4"/>
  <c r="V9" i="4"/>
  <c r="W8" i="4"/>
  <c r="V8" i="4"/>
  <c r="W5" i="4"/>
  <c r="V5" i="4"/>
  <c r="W4" i="4"/>
  <c r="V4" i="4"/>
  <c r="R77" i="4"/>
  <c r="W69" i="4" l="1"/>
  <c r="U70" i="4"/>
  <c r="V10" i="4"/>
  <c r="V27" i="4" s="1"/>
  <c r="V6" i="4"/>
  <c r="V14" i="4" s="1"/>
  <c r="W6" i="4"/>
  <c r="W14" i="4" s="1"/>
  <c r="W10" i="4"/>
  <c r="V54" i="4"/>
  <c r="V59" i="4"/>
  <c r="W54" i="4"/>
  <c r="V32" i="4"/>
  <c r="V62" i="4"/>
  <c r="V31" i="4"/>
  <c r="W40" i="4"/>
  <c r="W43" i="4" s="1"/>
  <c r="W44" i="4" s="1"/>
  <c r="V34" i="4"/>
  <c r="W22" i="4"/>
  <c r="V40" i="4"/>
  <c r="V43" i="4" s="1"/>
  <c r="V44" i="4" s="1"/>
  <c r="V47" i="4"/>
  <c r="U72" i="4" l="1"/>
  <c r="U71" i="4"/>
  <c r="W62" i="4"/>
  <c r="U63" i="4"/>
  <c r="U64" i="4" s="1"/>
  <c r="U66" i="4" s="1"/>
  <c r="V33" i="4"/>
  <c r="V35" i="4" s="1"/>
  <c r="V48" i="4" s="1"/>
  <c r="V49" i="4" s="1"/>
  <c r="R22" i="2"/>
  <c r="R25" i="2" s="1"/>
  <c r="U73" i="4" l="1"/>
  <c r="R22" i="4"/>
  <c r="N25" i="4" s="1"/>
  <c r="N39" i="4" s="1"/>
  <c r="N40" i="4" s="1"/>
  <c r="N43" i="4" s="1"/>
  <c r="N44" i="4" s="1"/>
  <c r="R25" i="4"/>
  <c r="X96" i="4"/>
  <c r="X95" i="4"/>
  <c r="X76" i="4"/>
  <c r="X77" i="4" s="1"/>
  <c r="X58" i="4"/>
  <c r="X69" i="4" s="1"/>
  <c r="X57" i="4"/>
  <c r="X62" i="4" s="1"/>
  <c r="X53" i="4"/>
  <c r="X52" i="4"/>
  <c r="X42" i="4"/>
  <c r="X47" i="4" s="1"/>
  <c r="X38" i="4"/>
  <c r="X30" i="4"/>
  <c r="X29" i="4"/>
  <c r="X28" i="4"/>
  <c r="X24" i="4"/>
  <c r="X23" i="4"/>
  <c r="X21" i="4"/>
  <c r="X20" i="4"/>
  <c r="X19" i="4"/>
  <c r="X9" i="4"/>
  <c r="X8" i="4"/>
  <c r="X5" i="4"/>
  <c r="X4" i="4"/>
  <c r="Y117" i="4"/>
  <c r="Y114" i="4"/>
  <c r="Y110" i="4"/>
  <c r="Y107" i="4"/>
  <c r="Y103" i="4"/>
  <c r="Y100" i="4"/>
  <c r="Y96" i="4"/>
  <c r="Y95" i="4"/>
  <c r="Y94" i="4"/>
  <c r="Y91" i="4"/>
  <c r="Y76" i="4"/>
  <c r="Y77" i="4" s="1"/>
  <c r="Y53" i="4"/>
  <c r="Y52" i="4"/>
  <c r="Y42" i="4"/>
  <c r="Y38" i="4"/>
  <c r="Y24" i="4"/>
  <c r="Y23" i="4"/>
  <c r="Y9" i="4"/>
  <c r="Y8" i="4"/>
  <c r="Y5" i="4"/>
  <c r="Y4" i="4"/>
  <c r="X6" i="4" l="1"/>
  <c r="X14" i="4" s="1"/>
  <c r="W63" i="4"/>
  <c r="W64" i="4" s="1"/>
  <c r="W66" i="4" s="1"/>
  <c r="Y62" i="4"/>
  <c r="N70" i="4"/>
  <c r="N72" i="4" s="1"/>
  <c r="W70" i="4"/>
  <c r="Y69" i="4"/>
  <c r="Y10" i="4"/>
  <c r="L64" i="4"/>
  <c r="L66" i="4" s="1"/>
  <c r="N63" i="4"/>
  <c r="N64" i="4" s="1"/>
  <c r="N66" i="4" s="1"/>
  <c r="X10" i="4"/>
  <c r="V12" i="4" s="1"/>
  <c r="L72" i="4"/>
  <c r="L71" i="4"/>
  <c r="Y6" i="4"/>
  <c r="Y14" i="4" s="1"/>
  <c r="Y92" i="4"/>
  <c r="Y93" i="4" s="1"/>
  <c r="Y97" i="4" s="1"/>
  <c r="Y54" i="4"/>
  <c r="X32" i="4"/>
  <c r="Y101" i="4"/>
  <c r="X22" i="4"/>
  <c r="X54" i="4"/>
  <c r="Y115" i="4"/>
  <c r="X31" i="4"/>
  <c r="X59" i="4"/>
  <c r="Y108" i="4"/>
  <c r="L73" i="4" l="1"/>
  <c r="N71" i="4"/>
  <c r="N73" i="4" s="1"/>
  <c r="W72" i="4"/>
  <c r="W71" i="4"/>
  <c r="X27" i="4"/>
  <c r="X33" i="4" s="1"/>
  <c r="X34" i="4"/>
  <c r="Y22" i="4"/>
  <c r="Y116" i="4"/>
  <c r="Y118" i="4" s="1"/>
  <c r="Y109" i="4"/>
  <c r="Y111" i="4" s="1"/>
  <c r="Y102" i="4"/>
  <c r="Y104" i="4" s="1"/>
  <c r="W73" i="4" l="1"/>
  <c r="X35" i="4"/>
  <c r="X48" i="4" s="1"/>
  <c r="X49" i="4" s="1"/>
  <c r="AW114" i="4"/>
  <c r="AU114" i="4"/>
  <c r="AT114" i="4" s="1"/>
  <c r="AS114" i="4"/>
  <c r="AQ114" i="4"/>
  <c r="AO114" i="4"/>
  <c r="AM114" i="4"/>
  <c r="AL114" i="4" s="1"/>
  <c r="AK114" i="4"/>
  <c r="AI114" i="4"/>
  <c r="AG114" i="4"/>
  <c r="AE114" i="4"/>
  <c r="AD114" i="4" s="1"/>
  <c r="AC114" i="4"/>
  <c r="AA114" i="4"/>
  <c r="AW117" i="4"/>
  <c r="AU117" i="4"/>
  <c r="AT117" i="4" s="1"/>
  <c r="AS117" i="4"/>
  <c r="AQ117" i="4"/>
  <c r="AO117" i="4"/>
  <c r="AM117" i="4"/>
  <c r="AL117" i="4" s="1"/>
  <c r="AK117" i="4"/>
  <c r="AI117" i="4"/>
  <c r="AG117" i="4"/>
  <c r="AE117" i="4"/>
  <c r="AC117" i="4"/>
  <c r="AA117" i="4"/>
  <c r="AW110" i="4"/>
  <c r="AU110" i="4"/>
  <c r="AS110" i="4"/>
  <c r="AQ110" i="4"/>
  <c r="AO110" i="4"/>
  <c r="AM110" i="4"/>
  <c r="AL110" i="4" s="1"/>
  <c r="AK110" i="4"/>
  <c r="AI110" i="4"/>
  <c r="AG110" i="4"/>
  <c r="AE110" i="4"/>
  <c r="AD110" i="4" s="1"/>
  <c r="AC110" i="4"/>
  <c r="AA110" i="4"/>
  <c r="AW107" i="4"/>
  <c r="AU107" i="4"/>
  <c r="AT107" i="4" s="1"/>
  <c r="AS107" i="4"/>
  <c r="AQ107" i="4"/>
  <c r="AO107" i="4"/>
  <c r="AM107" i="4"/>
  <c r="AL107" i="4" s="1"/>
  <c r="AK107" i="4"/>
  <c r="AI107" i="4"/>
  <c r="AG107" i="4"/>
  <c r="AE107" i="4"/>
  <c r="AD107" i="4" s="1"/>
  <c r="AC107" i="4"/>
  <c r="AA107" i="4"/>
  <c r="AW103" i="4"/>
  <c r="AU103" i="4"/>
  <c r="AT103" i="4" s="1"/>
  <c r="AS103" i="4"/>
  <c r="AQ103" i="4"/>
  <c r="AO103" i="4"/>
  <c r="AM103" i="4"/>
  <c r="AK103" i="4"/>
  <c r="AI103" i="4"/>
  <c r="AG103" i="4"/>
  <c r="AE103" i="4"/>
  <c r="AD103" i="4" s="1"/>
  <c r="AC103" i="4"/>
  <c r="AA103" i="4"/>
  <c r="AW100" i="4"/>
  <c r="AU100" i="4"/>
  <c r="AT100" i="4" s="1"/>
  <c r="AS100" i="4"/>
  <c r="AQ100" i="4"/>
  <c r="AO100" i="4"/>
  <c r="AM100" i="4"/>
  <c r="AL100" i="4" s="1"/>
  <c r="AK100" i="4"/>
  <c r="AI100" i="4"/>
  <c r="AG100" i="4"/>
  <c r="AE100" i="4"/>
  <c r="AD100" i="4" s="1"/>
  <c r="AC100" i="4"/>
  <c r="AA100" i="4"/>
  <c r="AA94" i="4"/>
  <c r="AC94" i="4"/>
  <c r="AE94" i="4"/>
  <c r="AG94" i="4"/>
  <c r="AI94" i="4"/>
  <c r="AK94" i="4"/>
  <c r="AM94" i="4"/>
  <c r="AL94" i="4" s="1"/>
  <c r="AO94" i="4"/>
  <c r="AQ94" i="4"/>
  <c r="AS94" i="4"/>
  <c r="AU94" i="4"/>
  <c r="AT94" i="4" s="1"/>
  <c r="AW94" i="4"/>
  <c r="AW91" i="4"/>
  <c r="AU91" i="4"/>
  <c r="AT91" i="4" s="1"/>
  <c r="AS91" i="4"/>
  <c r="AQ91" i="4"/>
  <c r="AO91" i="4"/>
  <c r="AM91" i="4"/>
  <c r="AL91" i="4" s="1"/>
  <c r="AK91" i="4"/>
  <c r="AI91" i="4"/>
  <c r="AG91" i="4"/>
  <c r="AE91" i="4"/>
  <c r="AD91" i="4" s="1"/>
  <c r="AC91" i="4"/>
  <c r="AA91" i="4"/>
  <c r="Z95" i="4"/>
  <c r="AA95" i="4"/>
  <c r="AB95" i="4"/>
  <c r="AC95" i="4"/>
  <c r="AD95" i="4"/>
  <c r="AE95" i="4"/>
  <c r="AF95" i="4"/>
  <c r="AG95" i="4"/>
  <c r="AH95" i="4"/>
  <c r="AI95" i="4"/>
  <c r="AJ95" i="4"/>
  <c r="AK95" i="4"/>
  <c r="AL95" i="4"/>
  <c r="AM95" i="4"/>
  <c r="AN95" i="4"/>
  <c r="AO95" i="4"/>
  <c r="AP95" i="4"/>
  <c r="AQ95" i="4"/>
  <c r="AR95" i="4"/>
  <c r="AS95" i="4"/>
  <c r="AT95" i="4"/>
  <c r="AU95" i="4"/>
  <c r="AV95" i="4"/>
  <c r="AW95" i="4"/>
  <c r="Z96" i="4"/>
  <c r="AA96" i="4"/>
  <c r="AB96" i="4"/>
  <c r="AC96" i="4"/>
  <c r="AD96" i="4"/>
  <c r="AE96" i="4"/>
  <c r="AF96" i="4"/>
  <c r="AG96" i="4"/>
  <c r="AH96" i="4"/>
  <c r="AI96" i="4"/>
  <c r="AJ96" i="4"/>
  <c r="AK96" i="4"/>
  <c r="AL96" i="4"/>
  <c r="AM96" i="4"/>
  <c r="AN96" i="4"/>
  <c r="AO96" i="4"/>
  <c r="AP96" i="4"/>
  <c r="AQ96" i="4"/>
  <c r="AR96" i="4"/>
  <c r="AS96" i="4"/>
  <c r="AT96" i="4"/>
  <c r="AU96" i="4"/>
  <c r="AV96" i="4"/>
  <c r="AW96" i="4"/>
  <c r="AW108" i="2"/>
  <c r="AW109" i="2" s="1"/>
  <c r="AW111" i="2" s="1"/>
  <c r="AU108" i="2"/>
  <c r="AU109" i="2" s="1"/>
  <c r="AT109" i="2" s="1"/>
  <c r="AS108" i="2"/>
  <c r="AQ108" i="2"/>
  <c r="AQ109" i="2" s="1"/>
  <c r="AQ111" i="2" s="1"/>
  <c r="AO108" i="2"/>
  <c r="AO109" i="2" s="1"/>
  <c r="AO111" i="2" s="1"/>
  <c r="AM108" i="2"/>
  <c r="AM109" i="2" s="1"/>
  <c r="AL109" i="2" s="1"/>
  <c r="AK108" i="2"/>
  <c r="AI108" i="2"/>
  <c r="AI109" i="2" s="1"/>
  <c r="AI111" i="2" s="1"/>
  <c r="AG108" i="2"/>
  <c r="AG109" i="2" s="1"/>
  <c r="AG111" i="2" s="1"/>
  <c r="AE108" i="2"/>
  <c r="AE109" i="2" s="1"/>
  <c r="AD109" i="2" s="1"/>
  <c r="AC108" i="2"/>
  <c r="AA108" i="2"/>
  <c r="AA109" i="2" s="1"/>
  <c r="AA111" i="2" s="1"/>
  <c r="AW101" i="2"/>
  <c r="AW102" i="2" s="1"/>
  <c r="AW104" i="2" s="1"/>
  <c r="AU101" i="2"/>
  <c r="AT101" i="2" s="1"/>
  <c r="AS101" i="2"/>
  <c r="AQ101" i="2"/>
  <c r="AQ102" i="2" s="1"/>
  <c r="AQ104" i="2" s="1"/>
  <c r="AO101" i="2"/>
  <c r="AO102" i="2" s="1"/>
  <c r="AO104" i="2" s="1"/>
  <c r="AM101" i="2"/>
  <c r="AM102" i="2" s="1"/>
  <c r="AL102" i="2" s="1"/>
  <c r="AK101" i="2"/>
  <c r="AI101" i="2"/>
  <c r="AI102" i="2" s="1"/>
  <c r="AI104" i="2" s="1"/>
  <c r="AG101" i="2"/>
  <c r="AG102" i="2" s="1"/>
  <c r="AG104" i="2" s="1"/>
  <c r="AE101" i="2"/>
  <c r="AE102" i="2" s="1"/>
  <c r="AD102" i="2" s="1"/>
  <c r="AC101" i="2"/>
  <c r="AA101" i="2"/>
  <c r="AA102" i="2" s="1"/>
  <c r="AA104" i="2" s="1"/>
  <c r="AW115" i="2"/>
  <c r="AW116" i="2" s="1"/>
  <c r="AW118" i="2" s="1"/>
  <c r="AU115" i="2"/>
  <c r="AT115" i="2" s="1"/>
  <c r="AS115" i="2"/>
  <c r="AS116" i="2" s="1"/>
  <c r="AS118" i="2" s="1"/>
  <c r="AQ115" i="2"/>
  <c r="AQ116" i="2" s="1"/>
  <c r="AQ118" i="2" s="1"/>
  <c r="AO115" i="2"/>
  <c r="AO116" i="2" s="1"/>
  <c r="AO118" i="2" s="1"/>
  <c r="AM115" i="2"/>
  <c r="AK115" i="2"/>
  <c r="AK116" i="2" s="1"/>
  <c r="AK118" i="2" s="1"/>
  <c r="AI115" i="2"/>
  <c r="AI116" i="2" s="1"/>
  <c r="AI118" i="2" s="1"/>
  <c r="AG115" i="2"/>
  <c r="AG116" i="2" s="1"/>
  <c r="AG118" i="2" s="1"/>
  <c r="AE115" i="2"/>
  <c r="AC115" i="2"/>
  <c r="AC116" i="2" s="1"/>
  <c r="AC118" i="2" s="1"/>
  <c r="AA115" i="2"/>
  <c r="AA116" i="2" s="1"/>
  <c r="AA118" i="2" s="1"/>
  <c r="AW92" i="2"/>
  <c r="AW93" i="2" s="1"/>
  <c r="AW97" i="2" s="1"/>
  <c r="AU92" i="2"/>
  <c r="AU93" i="2" s="1"/>
  <c r="AU97" i="2" s="1"/>
  <c r="AS92" i="2"/>
  <c r="AS93" i="2" s="1"/>
  <c r="AS97" i="2" s="1"/>
  <c r="AQ92" i="2"/>
  <c r="AQ93" i="2" s="1"/>
  <c r="AQ97" i="2" s="1"/>
  <c r="AO92" i="2"/>
  <c r="AO93" i="2" s="1"/>
  <c r="AO97" i="2" s="1"/>
  <c r="AM92" i="2"/>
  <c r="AL92" i="2" s="1"/>
  <c r="AK92" i="2"/>
  <c r="AI92" i="2"/>
  <c r="AI93" i="2" s="1"/>
  <c r="AI97" i="2" s="1"/>
  <c r="AG92" i="2"/>
  <c r="AG93" i="2" s="1"/>
  <c r="AG97" i="2" s="1"/>
  <c r="AE92" i="2"/>
  <c r="AE93" i="2" s="1"/>
  <c r="AE97" i="2" s="1"/>
  <c r="AC92" i="2"/>
  <c r="AC93" i="2" s="1"/>
  <c r="AC97" i="2" s="1"/>
  <c r="AA92" i="2"/>
  <c r="AA93" i="2" s="1"/>
  <c r="AA97" i="2" s="1"/>
  <c r="AT91" i="2"/>
  <c r="AR91" i="2"/>
  <c r="AP91" i="2"/>
  <c r="AN91" i="2"/>
  <c r="AL91" i="2"/>
  <c r="AJ91" i="2"/>
  <c r="AH91" i="2"/>
  <c r="AF91" i="2"/>
  <c r="AD91" i="2"/>
  <c r="AB91" i="2"/>
  <c r="Z91" i="2"/>
  <c r="AT117" i="2"/>
  <c r="AR117" i="2"/>
  <c r="AP117" i="2"/>
  <c r="AN117" i="2"/>
  <c r="AL117" i="2"/>
  <c r="AJ117" i="2"/>
  <c r="AH117" i="2"/>
  <c r="AF117" i="2"/>
  <c r="AD117" i="2"/>
  <c r="AB117" i="2"/>
  <c r="Z117" i="2"/>
  <c r="AT114" i="2"/>
  <c r="AR114" i="2"/>
  <c r="AP114" i="2"/>
  <c r="AN114" i="2"/>
  <c r="AL114" i="2"/>
  <c r="AJ114" i="2"/>
  <c r="AH114" i="2"/>
  <c r="AF114" i="2"/>
  <c r="AD114" i="2"/>
  <c r="AB114" i="2"/>
  <c r="Z114" i="2"/>
  <c r="AT110" i="2"/>
  <c r="AR110" i="2"/>
  <c r="AP110" i="2"/>
  <c r="AN110" i="2"/>
  <c r="AL110" i="2"/>
  <c r="AJ110" i="2"/>
  <c r="AH110" i="2"/>
  <c r="AF110" i="2"/>
  <c r="AD110" i="2"/>
  <c r="AB110" i="2"/>
  <c r="Z110" i="2"/>
  <c r="AT107" i="2"/>
  <c r="AR107" i="2"/>
  <c r="AP107" i="2"/>
  <c r="AN107" i="2"/>
  <c r="AL107" i="2"/>
  <c r="AJ107" i="2"/>
  <c r="AH107" i="2"/>
  <c r="AF107" i="2"/>
  <c r="AD107" i="2"/>
  <c r="AB107" i="2"/>
  <c r="Z107" i="2"/>
  <c r="AT103" i="2"/>
  <c r="AR103" i="2"/>
  <c r="AP103" i="2"/>
  <c r="AN103" i="2"/>
  <c r="AL103" i="2"/>
  <c r="AJ103" i="2"/>
  <c r="AH103" i="2"/>
  <c r="AF103" i="2"/>
  <c r="AD103" i="2"/>
  <c r="AB103" i="2"/>
  <c r="Z103" i="2"/>
  <c r="AT100" i="2"/>
  <c r="AR100" i="2"/>
  <c r="AP100" i="2"/>
  <c r="AN100" i="2"/>
  <c r="AL100" i="2"/>
  <c r="AJ100" i="2"/>
  <c r="AH100" i="2"/>
  <c r="AF100" i="2"/>
  <c r="AD100" i="2"/>
  <c r="AB100" i="2"/>
  <c r="Z100" i="2"/>
  <c r="AT94" i="2"/>
  <c r="AR94" i="2"/>
  <c r="AP94" i="2"/>
  <c r="AN94" i="2"/>
  <c r="AL94" i="2"/>
  <c r="AJ94" i="2"/>
  <c r="AH94" i="2"/>
  <c r="AF94" i="2"/>
  <c r="AD94" i="2"/>
  <c r="AB94" i="2"/>
  <c r="Z94" i="2"/>
  <c r="AT108" i="2" l="1"/>
  <c r="AT92" i="2"/>
  <c r="Z101" i="2"/>
  <c r="Z102" i="2" s="1"/>
  <c r="Z104" i="2" s="1"/>
  <c r="AN101" i="2"/>
  <c r="AN102" i="2" s="1"/>
  <c r="AN104" i="2" s="1"/>
  <c r="AJ108" i="2"/>
  <c r="AJ109" i="2" s="1"/>
  <c r="AJ111" i="2" s="1"/>
  <c r="AL111" i="2"/>
  <c r="AJ92" i="2"/>
  <c r="AJ93" i="2" s="1"/>
  <c r="AJ97" i="2" s="1"/>
  <c r="AF101" i="2"/>
  <c r="AF102" i="2" s="1"/>
  <c r="AF104" i="2" s="1"/>
  <c r="Z108" i="2"/>
  <c r="Z109" i="2" s="1"/>
  <c r="Z111" i="2" s="1"/>
  <c r="AR108" i="2"/>
  <c r="AR109" i="2" s="1"/>
  <c r="AR111" i="2" s="1"/>
  <c r="AT116" i="2"/>
  <c r="AT118" i="2" s="1"/>
  <c r="AP101" i="2"/>
  <c r="AP102" i="2" s="1"/>
  <c r="AP104" i="2" s="1"/>
  <c r="AD104" i="2"/>
  <c r="AB92" i="2"/>
  <c r="AB93" i="2" s="1"/>
  <c r="AB97" i="2" s="1"/>
  <c r="AL104" i="2"/>
  <c r="AT111" i="2"/>
  <c r="AB108" i="2"/>
  <c r="AB109" i="2" s="1"/>
  <c r="AB111" i="2" s="1"/>
  <c r="AD111" i="2"/>
  <c r="AD92" i="2"/>
  <c r="AD108" i="2"/>
  <c r="AR92" i="2"/>
  <c r="AR93" i="2" s="1"/>
  <c r="AR97" i="2" s="1"/>
  <c r="AH101" i="2"/>
  <c r="AH102" i="2" s="1"/>
  <c r="AH104" i="2" s="1"/>
  <c r="AL108" i="2"/>
  <c r="X100" i="4"/>
  <c r="X103" i="4"/>
  <c r="X107" i="4"/>
  <c r="X110" i="4"/>
  <c r="X117" i="4"/>
  <c r="X114" i="4"/>
  <c r="AR91" i="4"/>
  <c r="AK93" i="2"/>
  <c r="AK97" i="2" s="1"/>
  <c r="AJ101" i="2"/>
  <c r="AJ102" i="2" s="1"/>
  <c r="AJ104" i="2" s="1"/>
  <c r="AK102" i="2"/>
  <c r="AK104" i="2" s="1"/>
  <c r="AN108" i="2"/>
  <c r="AN109" i="2" s="1"/>
  <c r="AN111" i="2" s="1"/>
  <c r="AK109" i="2"/>
  <c r="AK111" i="2" s="1"/>
  <c r="AM93" i="2"/>
  <c r="AL93" i="2" s="1"/>
  <c r="AL97" i="2" s="1"/>
  <c r="AD101" i="2"/>
  <c r="AL101" i="2"/>
  <c r="AH108" i="2"/>
  <c r="AH109" i="2" s="1"/>
  <c r="AH111" i="2" s="1"/>
  <c r="AP108" i="2"/>
  <c r="AP109" i="2" s="1"/>
  <c r="AP111" i="2" s="1"/>
  <c r="AC109" i="2"/>
  <c r="AC111" i="2" s="1"/>
  <c r="AF92" i="2"/>
  <c r="AF93" i="2" s="1"/>
  <c r="AF97" i="2" s="1"/>
  <c r="AN92" i="2"/>
  <c r="AN93" i="2" s="1"/>
  <c r="AN97" i="2" s="1"/>
  <c r="AS102" i="2"/>
  <c r="AS104" i="2" s="1"/>
  <c r="AS109" i="2"/>
  <c r="AS111" i="2" s="1"/>
  <c r="Z92" i="2"/>
  <c r="Z93" i="2" s="1"/>
  <c r="Z97" i="2" s="1"/>
  <c r="AH92" i="2"/>
  <c r="AH93" i="2" s="1"/>
  <c r="AH97" i="2" s="1"/>
  <c r="AP92" i="2"/>
  <c r="AP93" i="2" s="1"/>
  <c r="AP97" i="2" s="1"/>
  <c r="AH114" i="4"/>
  <c r="X91" i="4"/>
  <c r="X94" i="4"/>
  <c r="AP91" i="4"/>
  <c r="AS101" i="4"/>
  <c r="AS102" i="4" s="1"/>
  <c r="AS104" i="4" s="1"/>
  <c r="AK115" i="4"/>
  <c r="AK116" i="4" s="1"/>
  <c r="AK118" i="4" s="1"/>
  <c r="AG101" i="4"/>
  <c r="AG102" i="4" s="1"/>
  <c r="AG104" i="4" s="1"/>
  <c r="AF94" i="4"/>
  <c r="AJ100" i="4"/>
  <c r="AB107" i="4"/>
  <c r="AO92" i="4"/>
  <c r="AO93" i="4" s="1"/>
  <c r="AO97" i="4" s="1"/>
  <c r="AB94" i="4"/>
  <c r="AS115" i="4"/>
  <c r="AS116" i="4" s="1"/>
  <c r="AS118" i="4" s="1"/>
  <c r="AG92" i="4"/>
  <c r="AG93" i="4" s="1"/>
  <c r="AG97" i="4" s="1"/>
  <c r="AH103" i="4"/>
  <c r="AP110" i="4"/>
  <c r="AU101" i="4"/>
  <c r="AT101" i="4" s="1"/>
  <c r="AQ108" i="4"/>
  <c r="AQ109" i="4" s="1"/>
  <c r="AQ111" i="4" s="1"/>
  <c r="AM115" i="4"/>
  <c r="AL115" i="4" s="1"/>
  <c r="AL116" i="4" s="1"/>
  <c r="AL118" i="4" s="1"/>
  <c r="AI108" i="4"/>
  <c r="AI109" i="4" s="1"/>
  <c r="AI111" i="4" s="1"/>
  <c r="AE101" i="4"/>
  <c r="AE102" i="4" s="1"/>
  <c r="AD102" i="4" s="1"/>
  <c r="AD104" i="4" s="1"/>
  <c r="AA108" i="4"/>
  <c r="AF91" i="4"/>
  <c r="AR100" i="4"/>
  <c r="AJ114" i="4"/>
  <c r="AB100" i="4"/>
  <c r="AJ117" i="4"/>
  <c r="Z100" i="4"/>
  <c r="AP100" i="4"/>
  <c r="AI101" i="4"/>
  <c r="AQ101" i="4"/>
  <c r="AQ102" i="4" s="1"/>
  <c r="AQ104" i="4" s="1"/>
  <c r="AJ107" i="4"/>
  <c r="AE108" i="4"/>
  <c r="AE109" i="4" s="1"/>
  <c r="AE111" i="4" s="1"/>
  <c r="AN110" i="4"/>
  <c r="AI115" i="4"/>
  <c r="AI116" i="4" s="1"/>
  <c r="AI118" i="4" s="1"/>
  <c r="AQ115" i="4"/>
  <c r="AQ116" i="4" s="1"/>
  <c r="AQ118" i="4" s="1"/>
  <c r="AF114" i="4"/>
  <c r="AP114" i="4"/>
  <c r="AW101" i="4"/>
  <c r="AW102" i="4" s="1"/>
  <c r="AW104" i="4" s="1"/>
  <c r="AS92" i="4"/>
  <c r="AS93" i="4" s="1"/>
  <c r="AS97" i="4" s="1"/>
  <c r="AO108" i="4"/>
  <c r="AO109" i="4" s="1"/>
  <c r="AO111" i="4" s="1"/>
  <c r="AK101" i="4"/>
  <c r="AK102" i="4" s="1"/>
  <c r="AK104" i="4" s="1"/>
  <c r="AG108" i="4"/>
  <c r="AG109" i="4" s="1"/>
  <c r="AG111" i="4" s="1"/>
  <c r="AC92" i="4"/>
  <c r="AR114" i="4"/>
  <c r="AH91" i="4"/>
  <c r="AI92" i="4"/>
  <c r="AI93" i="4" s="1"/>
  <c r="AI97" i="4" s="1"/>
  <c r="AA101" i="4"/>
  <c r="AP103" i="4"/>
  <c r="AF107" i="4"/>
  <c r="AN107" i="4"/>
  <c r="AC108" i="4"/>
  <c r="AH110" i="4"/>
  <c r="AT110" i="4"/>
  <c r="AC115" i="4"/>
  <c r="AU115" i="4"/>
  <c r="AN117" i="4"/>
  <c r="AW108" i="4"/>
  <c r="AW109" i="4" s="1"/>
  <c r="AW111" i="4" s="1"/>
  <c r="AJ91" i="4"/>
  <c r="AK92" i="4"/>
  <c r="AK93" i="4" s="1"/>
  <c r="AK97" i="4" s="1"/>
  <c r="AW92" i="4"/>
  <c r="AW93" i="4" s="1"/>
  <c r="AW97" i="4" s="1"/>
  <c r="AQ92" i="4"/>
  <c r="AQ93" i="4" s="1"/>
  <c r="AQ97" i="4" s="1"/>
  <c r="Z94" i="4"/>
  <c r="AC101" i="4"/>
  <c r="AH107" i="4"/>
  <c r="AM108" i="4"/>
  <c r="AU108" i="4"/>
  <c r="AG115" i="4"/>
  <c r="AG116" i="4" s="1"/>
  <c r="AG118" i="4" s="1"/>
  <c r="AO115" i="4"/>
  <c r="AO116" i="4" s="1"/>
  <c r="AO118" i="4" s="1"/>
  <c r="AF117" i="4"/>
  <c r="AF103" i="4"/>
  <c r="AE115" i="4"/>
  <c r="AE116" i="4" s="1"/>
  <c r="AE118" i="4" s="1"/>
  <c r="AM92" i="4"/>
  <c r="AM93" i="4" s="1"/>
  <c r="AL93" i="4" s="1"/>
  <c r="AL97" i="4" s="1"/>
  <c r="AR107" i="4"/>
  <c r="AK108" i="4"/>
  <c r="AK109" i="4" s="1"/>
  <c r="AK111" i="4" s="1"/>
  <c r="AS108" i="4"/>
  <c r="AS109" i="4" s="1"/>
  <c r="AS111" i="4" s="1"/>
  <c r="AW115" i="4"/>
  <c r="AW116" i="4" s="1"/>
  <c r="AW118" i="4" s="1"/>
  <c r="AJ115" i="2"/>
  <c r="AJ116" i="2" s="1"/>
  <c r="AJ118" i="2" s="1"/>
  <c r="Z115" i="2"/>
  <c r="Z116" i="2" s="1"/>
  <c r="Z118" i="2" s="1"/>
  <c r="AB115" i="2"/>
  <c r="AB116" i="2" s="1"/>
  <c r="AB118" i="2" s="1"/>
  <c r="AR115" i="2"/>
  <c r="AR116" i="2" s="1"/>
  <c r="AR118" i="2" s="1"/>
  <c r="AL115" i="2"/>
  <c r="AL116" i="2" s="1"/>
  <c r="AL118" i="2" s="1"/>
  <c r="AN114" i="4"/>
  <c r="AB114" i="4"/>
  <c r="Z114" i="4"/>
  <c r="AR117" i="4"/>
  <c r="AP117" i="4"/>
  <c r="AH117" i="4"/>
  <c r="AB117" i="4"/>
  <c r="AD117" i="4"/>
  <c r="Z117" i="4"/>
  <c r="AA115" i="4"/>
  <c r="AR110" i="4"/>
  <c r="AJ110" i="4"/>
  <c r="AF110" i="4"/>
  <c r="AB110" i="4"/>
  <c r="Z110" i="4"/>
  <c r="AP107" i="4"/>
  <c r="Z107" i="4"/>
  <c r="AR103" i="4"/>
  <c r="AN103" i="4"/>
  <c r="AO101" i="4"/>
  <c r="AJ103" i="4"/>
  <c r="AL103" i="4"/>
  <c r="AM101" i="4"/>
  <c r="AB103" i="4"/>
  <c r="Z103" i="4"/>
  <c r="AN100" i="4"/>
  <c r="AH100" i="4"/>
  <c r="AF100" i="4"/>
  <c r="AA92" i="4"/>
  <c r="AA93" i="4" s="1"/>
  <c r="AA97" i="4" s="1"/>
  <c r="AD94" i="4"/>
  <c r="AE92" i="4"/>
  <c r="AH94" i="4"/>
  <c r="AJ94" i="4"/>
  <c r="AN94" i="4"/>
  <c r="AR94" i="4"/>
  <c r="AP94" i="4"/>
  <c r="AU92" i="4"/>
  <c r="AN91" i="4"/>
  <c r="Z91" i="4"/>
  <c r="AB91" i="4"/>
  <c r="AF108" i="2"/>
  <c r="AF109" i="2" s="1"/>
  <c r="AF111" i="2" s="1"/>
  <c r="AR101" i="2"/>
  <c r="AR102" i="2" s="1"/>
  <c r="AR104" i="2" s="1"/>
  <c r="AU102" i="2"/>
  <c r="AT102" i="2" s="1"/>
  <c r="AT104" i="2" s="1"/>
  <c r="AB101" i="2"/>
  <c r="AB102" i="2" s="1"/>
  <c r="AB104" i="2" s="1"/>
  <c r="AC102" i="2"/>
  <c r="AC104" i="2" s="1"/>
  <c r="AN115" i="2"/>
  <c r="AN116" i="2" s="1"/>
  <c r="AN118" i="2" s="1"/>
  <c r="AU116" i="2"/>
  <c r="AU118" i="2" s="1"/>
  <c r="AD115" i="2"/>
  <c r="AD116" i="2" s="1"/>
  <c r="AD118" i="2" s="1"/>
  <c r="AP115" i="2"/>
  <c r="AP116" i="2" s="1"/>
  <c r="AP118" i="2" s="1"/>
  <c r="AM116" i="2"/>
  <c r="AM118" i="2" s="1"/>
  <c r="AE116" i="2"/>
  <c r="AE118" i="2" s="1"/>
  <c r="AU111" i="2"/>
  <c r="AM111" i="2"/>
  <c r="AE111" i="2"/>
  <c r="AT93" i="2"/>
  <c r="AT97" i="2" s="1"/>
  <c r="AM104" i="2"/>
  <c r="AE104" i="2"/>
  <c r="AH115" i="2"/>
  <c r="AH116" i="2" s="1"/>
  <c r="AH118" i="2" s="1"/>
  <c r="AF115" i="2"/>
  <c r="AF116" i="2" s="1"/>
  <c r="AF118" i="2" s="1"/>
  <c r="AD93" i="2"/>
  <c r="AD97" i="2" s="1"/>
  <c r="AM97" i="2" l="1"/>
  <c r="AA102" i="4"/>
  <c r="AA104" i="4" s="1"/>
  <c r="X101" i="4"/>
  <c r="X102" i="4" s="1"/>
  <c r="X104" i="4" s="1"/>
  <c r="AA109" i="4"/>
  <c r="AA111" i="4" s="1"/>
  <c r="X108" i="4"/>
  <c r="X109" i="4" s="1"/>
  <c r="X111" i="4" s="1"/>
  <c r="AA116" i="4"/>
  <c r="AA118" i="4" s="1"/>
  <c r="X115" i="4"/>
  <c r="X116" i="4" s="1"/>
  <c r="X118" i="4" s="1"/>
  <c r="AJ115" i="4"/>
  <c r="AJ116" i="4" s="1"/>
  <c r="AJ118" i="4" s="1"/>
  <c r="AU104" i="2"/>
  <c r="AD108" i="4"/>
  <c r="AR115" i="4"/>
  <c r="AR116" i="4" s="1"/>
  <c r="AR118" i="4" s="1"/>
  <c r="AD109" i="4"/>
  <c r="AD111" i="4" s="1"/>
  <c r="AB92" i="4"/>
  <c r="AB93" i="4" s="1"/>
  <c r="AB97" i="4" s="1"/>
  <c r="AC109" i="4"/>
  <c r="AC111" i="4" s="1"/>
  <c r="X92" i="4"/>
  <c r="X93" i="4" s="1"/>
  <c r="X97" i="4" s="1"/>
  <c r="AP92" i="4"/>
  <c r="AP93" i="4" s="1"/>
  <c r="AP97" i="4" s="1"/>
  <c r="AC102" i="4"/>
  <c r="AC104" i="4" s="1"/>
  <c r="AC93" i="4"/>
  <c r="AC97" i="4" s="1"/>
  <c r="AC116" i="4"/>
  <c r="AC118" i="4" s="1"/>
  <c r="Z108" i="4"/>
  <c r="Z109" i="4" s="1"/>
  <c r="Z111" i="4" s="1"/>
  <c r="AM97" i="4"/>
  <c r="AD115" i="4"/>
  <c r="AD116" i="4" s="1"/>
  <c r="AD118" i="4" s="1"/>
  <c r="AP101" i="4"/>
  <c r="AP102" i="4" s="1"/>
  <c r="AP104" i="4" s="1"/>
  <c r="AR101" i="4"/>
  <c r="AR102" i="4" s="1"/>
  <c r="AR104" i="4" s="1"/>
  <c r="AP115" i="4"/>
  <c r="AP116" i="4" s="1"/>
  <c r="AP118" i="4" s="1"/>
  <c r="AU116" i="4"/>
  <c r="AU118" i="4" s="1"/>
  <c r="AU102" i="4"/>
  <c r="AT102" i="4" s="1"/>
  <c r="AT104" i="4" s="1"/>
  <c r="AT115" i="4"/>
  <c r="AT116" i="4" s="1"/>
  <c r="AT118" i="4" s="1"/>
  <c r="Z101" i="4"/>
  <c r="Z102" i="4" s="1"/>
  <c r="Z104" i="4" s="1"/>
  <c r="AB101" i="4"/>
  <c r="AB102" i="4" s="1"/>
  <c r="AB104" i="4" s="1"/>
  <c r="AN115" i="4"/>
  <c r="AN116" i="4" s="1"/>
  <c r="AN118" i="4" s="1"/>
  <c r="AE104" i="4"/>
  <c r="AD101" i="4"/>
  <c r="AN101" i="4"/>
  <c r="AN102" i="4" s="1"/>
  <c r="AN104" i="4" s="1"/>
  <c r="AJ108" i="4"/>
  <c r="AJ109" i="4" s="1"/>
  <c r="AJ111" i="4" s="1"/>
  <c r="AF92" i="4"/>
  <c r="AF93" i="4" s="1"/>
  <c r="AF97" i="4" s="1"/>
  <c r="AF115" i="4"/>
  <c r="AF116" i="4" s="1"/>
  <c r="AF118" i="4" s="1"/>
  <c r="AH101" i="4"/>
  <c r="AH102" i="4" s="1"/>
  <c r="AH104" i="4" s="1"/>
  <c r="AH108" i="4"/>
  <c r="AH109" i="4" s="1"/>
  <c r="AH111" i="4" s="1"/>
  <c r="AF108" i="4"/>
  <c r="AF109" i="4" s="1"/>
  <c r="AF111" i="4" s="1"/>
  <c r="AM116" i="4"/>
  <c r="AM118" i="4" s="1"/>
  <c r="AI102" i="4"/>
  <c r="AI104" i="4" s="1"/>
  <c r="AL92" i="4"/>
  <c r="AJ92" i="4"/>
  <c r="AJ93" i="4" s="1"/>
  <c r="AJ97" i="4" s="1"/>
  <c r="AH115" i="4"/>
  <c r="AH116" i="4" s="1"/>
  <c r="AH118" i="4" s="1"/>
  <c r="AO102" i="4"/>
  <c r="AO104" i="4" s="1"/>
  <c r="AH92" i="4"/>
  <c r="AH93" i="4" s="1"/>
  <c r="AH97" i="4" s="1"/>
  <c r="AB108" i="4"/>
  <c r="AB109" i="4" s="1"/>
  <c r="AB111" i="4" s="1"/>
  <c r="AU109" i="4"/>
  <c r="AT108" i="4"/>
  <c r="AT92" i="4"/>
  <c r="AD92" i="4"/>
  <c r="AR108" i="4"/>
  <c r="AR109" i="4" s="1"/>
  <c r="AR111" i="4" s="1"/>
  <c r="AB115" i="4"/>
  <c r="AB116" i="4" s="1"/>
  <c r="AB118" i="4" s="1"/>
  <c r="AP108" i="4"/>
  <c r="AP109" i="4" s="1"/>
  <c r="AP111" i="4" s="1"/>
  <c r="AM109" i="4"/>
  <c r="AL108" i="4"/>
  <c r="Z92" i="4"/>
  <c r="Z93" i="4" s="1"/>
  <c r="Z97" i="4" s="1"/>
  <c r="AN108" i="4"/>
  <c r="AN109" i="4" s="1"/>
  <c r="AN111" i="4" s="1"/>
  <c r="Z115" i="4"/>
  <c r="Z116" i="4" s="1"/>
  <c r="Z118" i="4" s="1"/>
  <c r="AE93" i="4"/>
  <c r="AE97" i="4" s="1"/>
  <c r="AM102" i="4"/>
  <c r="AL101" i="4"/>
  <c r="AF101" i="4"/>
  <c r="AF102" i="4" s="1"/>
  <c r="AF104" i="4" s="1"/>
  <c r="AJ101" i="4"/>
  <c r="AJ102" i="4" s="1"/>
  <c r="AJ104" i="4" s="1"/>
  <c r="AR92" i="4"/>
  <c r="AR93" i="4" s="1"/>
  <c r="AR97" i="4" s="1"/>
  <c r="AN92" i="4"/>
  <c r="AN93" i="4" s="1"/>
  <c r="AN97" i="4" s="1"/>
  <c r="AU93" i="4"/>
  <c r="AU104" i="4" l="1"/>
  <c r="AD93" i="4"/>
  <c r="AD97" i="4" s="1"/>
  <c r="AL109" i="4"/>
  <c r="AL111" i="4" s="1"/>
  <c r="AM111" i="4"/>
  <c r="AT109" i="4"/>
  <c r="AT111" i="4" s="1"/>
  <c r="AU111" i="4"/>
  <c r="AL102" i="4"/>
  <c r="AL104" i="4" s="1"/>
  <c r="AM104" i="4"/>
  <c r="AT93" i="4"/>
  <c r="AT97" i="4" s="1"/>
  <c r="AU97" i="4"/>
  <c r="AV62" i="4"/>
  <c r="AT62" i="4"/>
  <c r="AR62" i="4"/>
  <c r="AP62" i="4"/>
  <c r="AN62" i="4"/>
  <c r="AL62" i="4"/>
  <c r="AJ62" i="4"/>
  <c r="AH62" i="4"/>
  <c r="AF62" i="4"/>
  <c r="AD62" i="4"/>
  <c r="AB62" i="4"/>
  <c r="AF63" i="4" l="1"/>
  <c r="AF64" i="4" s="1"/>
  <c r="AF66" i="4" s="1"/>
  <c r="AO62" i="4"/>
  <c r="AM63" i="4"/>
  <c r="AH63" i="4"/>
  <c r="AH64" i="4" s="1"/>
  <c r="AH66" i="4" s="1"/>
  <c r="AQ62" i="4"/>
  <c r="AO63" i="4"/>
  <c r="AD63" i="4"/>
  <c r="AD64" i="4" s="1"/>
  <c r="AD66" i="4" s="1"/>
  <c r="AM62" i="4"/>
  <c r="AK63" i="4"/>
  <c r="AC62" i="4"/>
  <c r="AA63" i="4"/>
  <c r="AJ63" i="4"/>
  <c r="AJ64" i="4" s="1"/>
  <c r="AJ66" i="4" s="1"/>
  <c r="AQ63" i="4"/>
  <c r="AS62" i="4"/>
  <c r="AE62" i="4"/>
  <c r="AC63" i="4"/>
  <c r="V63" i="4"/>
  <c r="V64" i="4" s="1"/>
  <c r="V66" i="4" s="1"/>
  <c r="AN63" i="4"/>
  <c r="AN64" i="4" s="1"/>
  <c r="AN66" i="4" s="1"/>
  <c r="AW62" i="4"/>
  <c r="AW64" i="4" s="1"/>
  <c r="AW66" i="4" s="1"/>
  <c r="AU63" i="4"/>
  <c r="AL63" i="4"/>
  <c r="AL64" i="4" s="1"/>
  <c r="AL66" i="4" s="1"/>
  <c r="AU62" i="4"/>
  <c r="AS63" i="4"/>
  <c r="AG62" i="4"/>
  <c r="AE63" i="4"/>
  <c r="Z63" i="4"/>
  <c r="AI62" i="4"/>
  <c r="AG63" i="4"/>
  <c r="AB63" i="4"/>
  <c r="AB64" i="4" s="1"/>
  <c r="AB66" i="4" s="1"/>
  <c r="AI63" i="4"/>
  <c r="AK62" i="4"/>
  <c r="X63" i="4"/>
  <c r="X64" i="4" s="1"/>
  <c r="X66" i="4" s="1"/>
  <c r="AP64" i="4"/>
  <c r="AP66" i="4" s="1"/>
  <c r="AR64" i="4"/>
  <c r="AR66" i="4" s="1"/>
  <c r="AT64" i="4"/>
  <c r="AT66" i="4" s="1"/>
  <c r="AV64" i="4"/>
  <c r="AV66" i="4" s="1"/>
  <c r="AG64" i="4" l="1"/>
  <c r="AG66" i="4" s="1"/>
  <c r="AI64" i="4"/>
  <c r="AI66" i="4" s="1"/>
  <c r="AC64" i="4"/>
  <c r="AC66" i="4" s="1"/>
  <c r="AO64" i="4"/>
  <c r="AO66" i="4" s="1"/>
  <c r="AK64" i="4"/>
  <c r="AK66" i="4" s="1"/>
  <c r="AE64" i="4"/>
  <c r="AE66" i="4" s="1"/>
  <c r="AU64" i="4"/>
  <c r="AU66" i="4" s="1"/>
  <c r="AS64" i="4"/>
  <c r="AS66" i="4" s="1"/>
  <c r="AQ64" i="4"/>
  <c r="AQ66" i="4" s="1"/>
  <c r="AM64" i="4"/>
  <c r="AM66" i="4" s="1"/>
  <c r="R29" i="4"/>
  <c r="AV62" i="2" l="1"/>
  <c r="AT62" i="2"/>
  <c r="AR62" i="2"/>
  <c r="AP62" i="2"/>
  <c r="AN62" i="2"/>
  <c r="AL62" i="2"/>
  <c r="AJ62" i="2"/>
  <c r="AH62" i="2"/>
  <c r="AF62" i="2"/>
  <c r="AD62" i="2"/>
  <c r="AB62" i="2"/>
  <c r="Z62" i="2"/>
  <c r="AK62" i="2" l="1"/>
  <c r="AI63" i="2"/>
  <c r="AG63" i="2"/>
  <c r="AI62" i="2"/>
  <c r="AM62" i="2"/>
  <c r="AK63" i="2"/>
  <c r="AM63" i="2"/>
  <c r="AO62" i="2"/>
  <c r="AA62" i="2"/>
  <c r="Y63" i="2"/>
  <c r="Y64" i="2" s="1"/>
  <c r="Y66" i="2" s="1"/>
  <c r="R63" i="2"/>
  <c r="R63" i="4" s="1"/>
  <c r="AR64" i="2"/>
  <c r="AR66" i="2" s="1"/>
  <c r="AS62" i="2"/>
  <c r="AQ63" i="2"/>
  <c r="AT64" i="2"/>
  <c r="AT66" i="2" s="1"/>
  <c r="AU62" i="2"/>
  <c r="AS63" i="2"/>
  <c r="AP64" i="2"/>
  <c r="AP66" i="2" s="1"/>
  <c r="AO63" i="2"/>
  <c r="AQ62" i="2"/>
  <c r="AC62" i="2"/>
  <c r="AA63" i="2"/>
  <c r="T63" i="2"/>
  <c r="T64" i="2" s="1"/>
  <c r="T66" i="2" s="1"/>
  <c r="AE62" i="2"/>
  <c r="AC63" i="2"/>
  <c r="V63" i="2"/>
  <c r="V64" i="2" s="1"/>
  <c r="V66" i="2" s="1"/>
  <c r="AG62" i="2"/>
  <c r="AE63" i="2"/>
  <c r="X63" i="2"/>
  <c r="X64" i="2" s="1"/>
  <c r="X66" i="2" s="1"/>
  <c r="AV64" i="2"/>
  <c r="AV66" i="2" s="1"/>
  <c r="AU63" i="2"/>
  <c r="AW62" i="2"/>
  <c r="AW64" i="2" s="1"/>
  <c r="AW66" i="2" s="1"/>
  <c r="AD63" i="2"/>
  <c r="AD64" i="2" s="1"/>
  <c r="AD66" i="2" s="1"/>
  <c r="AL63" i="2"/>
  <c r="AL64" i="2" s="1"/>
  <c r="AL66" i="2" s="1"/>
  <c r="AF63" i="2"/>
  <c r="AF64" i="2" s="1"/>
  <c r="AF66" i="2" s="1"/>
  <c r="AN63" i="2"/>
  <c r="AN64" i="2" s="1"/>
  <c r="AN66" i="2" s="1"/>
  <c r="Z63" i="2"/>
  <c r="Z64" i="2" s="1"/>
  <c r="Z66" i="2" s="1"/>
  <c r="AH63" i="2"/>
  <c r="AH64" i="2" s="1"/>
  <c r="AH66" i="2" s="1"/>
  <c r="AB63" i="2"/>
  <c r="AB64" i="2" s="1"/>
  <c r="AB66" i="2" s="1"/>
  <c r="AJ63" i="2"/>
  <c r="AJ64" i="2" s="1"/>
  <c r="AJ66" i="2" s="1"/>
  <c r="AU64" i="2" l="1"/>
  <c r="AU66" i="2" s="1"/>
  <c r="AM64" i="2"/>
  <c r="AM66" i="2" s="1"/>
  <c r="AA64" i="2"/>
  <c r="AA66" i="2" s="1"/>
  <c r="AK64" i="2"/>
  <c r="AK66" i="2" s="1"/>
  <c r="AC64" i="2"/>
  <c r="AC66" i="2" s="1"/>
  <c r="AS64" i="2"/>
  <c r="AS66" i="2" s="1"/>
  <c r="AO64" i="2"/>
  <c r="AO66" i="2" s="1"/>
  <c r="AG64" i="2"/>
  <c r="AG66" i="2" s="1"/>
  <c r="AE64" i="2"/>
  <c r="AE66" i="2" s="1"/>
  <c r="AI64" i="2"/>
  <c r="AI66" i="2" s="1"/>
  <c r="AQ64" i="2"/>
  <c r="AQ66" i="2" s="1"/>
  <c r="R24" i="4"/>
  <c r="R23" i="4"/>
  <c r="R69" i="2"/>
  <c r="S53" i="4"/>
  <c r="R53" i="4"/>
  <c r="S42" i="2"/>
  <c r="S42" i="4" s="1"/>
  <c r="R42" i="4"/>
  <c r="R47" i="4" s="1"/>
  <c r="R30" i="4"/>
  <c r="R28" i="4"/>
  <c r="S24" i="2"/>
  <c r="S24" i="4" s="1"/>
  <c r="S23" i="2"/>
  <c r="S23" i="4" s="1"/>
  <c r="R21" i="4"/>
  <c r="R20" i="4"/>
  <c r="S9" i="2"/>
  <c r="S9" i="4" s="1"/>
  <c r="R8" i="4"/>
  <c r="R83" i="2" l="1"/>
  <c r="S69" i="2"/>
  <c r="S71" i="2" s="1"/>
  <c r="S73" i="2" s="1"/>
  <c r="Q70" i="2"/>
  <c r="J70" i="2"/>
  <c r="L79" i="2"/>
  <c r="M79" i="2"/>
  <c r="S78" i="2"/>
  <c r="R69" i="4"/>
  <c r="R78" i="2"/>
  <c r="S77" i="4"/>
  <c r="R34" i="2"/>
  <c r="S22" i="2"/>
  <c r="S25" i="2" s="1"/>
  <c r="S39" i="2" s="1"/>
  <c r="R57" i="4"/>
  <c r="R62" i="2"/>
  <c r="R47" i="2"/>
  <c r="S22" i="4"/>
  <c r="M39" i="4" s="1"/>
  <c r="M40" i="4" s="1"/>
  <c r="M44" i="4" s="1"/>
  <c r="S54" i="2"/>
  <c r="S4" i="4"/>
  <c r="R32" i="2"/>
  <c r="R59" i="2"/>
  <c r="S52" i="4"/>
  <c r="S54" i="4" s="1"/>
  <c r="R58" i="4"/>
  <c r="R9" i="4"/>
  <c r="R10" i="4" s="1"/>
  <c r="R76" i="4"/>
  <c r="S8" i="2"/>
  <c r="S8" i="4" s="1"/>
  <c r="S10" i="4" s="1"/>
  <c r="S12" i="4" s="1"/>
  <c r="R54" i="2"/>
  <c r="R4" i="4"/>
  <c r="R19" i="4"/>
  <c r="R32" i="4" s="1"/>
  <c r="R52" i="4"/>
  <c r="R54" i="4" s="1"/>
  <c r="R31" i="2"/>
  <c r="R10" i="2"/>
  <c r="AB9" i="4"/>
  <c r="AB10" i="4" s="1"/>
  <c r="AB9" i="2"/>
  <c r="S62" i="2" l="1"/>
  <c r="S64" i="2" s="1"/>
  <c r="S66" i="2" s="1"/>
  <c r="Q63" i="2"/>
  <c r="Q64" i="2" s="1"/>
  <c r="Q66" i="2" s="1"/>
  <c r="J63" i="2"/>
  <c r="J64" i="2" s="1"/>
  <c r="J66" i="2" s="1"/>
  <c r="Q72" i="2"/>
  <c r="Q71" i="2"/>
  <c r="J72" i="2"/>
  <c r="J71" i="2"/>
  <c r="R87" i="2"/>
  <c r="R83" i="4"/>
  <c r="R84" i="2"/>
  <c r="R84" i="4" s="1"/>
  <c r="Q70" i="4"/>
  <c r="S69" i="4"/>
  <c r="S71" i="4" s="1"/>
  <c r="S73" i="4" s="1"/>
  <c r="N78" i="4"/>
  <c r="N79" i="4" s="1"/>
  <c r="J70" i="4"/>
  <c r="M79" i="4"/>
  <c r="L79" i="4"/>
  <c r="R64" i="2"/>
  <c r="R66" i="2" s="1"/>
  <c r="R62" i="4"/>
  <c r="H63" i="4" s="1"/>
  <c r="H64" i="4" s="1"/>
  <c r="H66" i="4" s="1"/>
  <c r="R12" i="2"/>
  <c r="R12" i="4" s="1"/>
  <c r="R27" i="4"/>
  <c r="R78" i="4"/>
  <c r="S78" i="4"/>
  <c r="S25" i="4"/>
  <c r="R34" i="4"/>
  <c r="S76" i="4"/>
  <c r="S10" i="2"/>
  <c r="S12" i="2" s="1"/>
  <c r="R59" i="4"/>
  <c r="R31" i="4"/>
  <c r="R27" i="2"/>
  <c r="AB10" i="2"/>
  <c r="Q73" i="2" l="1"/>
  <c r="J73" i="2"/>
  <c r="R88" i="2"/>
  <c r="R87" i="4"/>
  <c r="Q63" i="4"/>
  <c r="Q64" i="4" s="1"/>
  <c r="Q66" i="4" s="1"/>
  <c r="S62" i="4"/>
  <c r="S64" i="4" s="1"/>
  <c r="S66" i="4" s="1"/>
  <c r="Q72" i="4"/>
  <c r="Q71" i="4"/>
  <c r="R64" i="4"/>
  <c r="R66" i="4" s="1"/>
  <c r="J63" i="4"/>
  <c r="J64" i="4" s="1"/>
  <c r="J66" i="4" s="1"/>
  <c r="J72" i="4"/>
  <c r="J71" i="4"/>
  <c r="L12" i="4"/>
  <c r="L15" i="2"/>
  <c r="M12" i="4"/>
  <c r="M15" i="2"/>
  <c r="R33" i="2"/>
  <c r="R35" i="2" s="1"/>
  <c r="R33" i="4"/>
  <c r="R35" i="4" s="1"/>
  <c r="R48" i="4" s="1"/>
  <c r="R49" i="4" s="1"/>
  <c r="Z22" i="2"/>
  <c r="R88" i="4" l="1"/>
  <c r="Q73" i="4"/>
  <c r="J73" i="4"/>
  <c r="Z34" i="2"/>
  <c r="M16" i="2"/>
  <c r="M15" i="4"/>
  <c r="M16" i="4" s="1"/>
  <c r="L15" i="4"/>
  <c r="L16" i="4" s="1"/>
  <c r="L16" i="2"/>
  <c r="R48" i="2"/>
  <c r="R49" i="2" s="1"/>
  <c r="AE77" i="4"/>
  <c r="AD77" i="4"/>
  <c r="AC77" i="4"/>
  <c r="AB77" i="4"/>
  <c r="AE77" i="2"/>
  <c r="AD77" i="2"/>
  <c r="AB77" i="2"/>
  <c r="AL69" i="4"/>
  <c r="AJ69" i="4"/>
  <c r="AH69" i="4"/>
  <c r="AF69" i="4"/>
  <c r="AB69" i="4"/>
  <c r="AJ59" i="4"/>
  <c r="AH59" i="4"/>
  <c r="AF59" i="4"/>
  <c r="AB59" i="4"/>
  <c r="AL54" i="4"/>
  <c r="AK54" i="4"/>
  <c r="AJ54" i="4"/>
  <c r="AI54" i="4"/>
  <c r="AH54" i="4"/>
  <c r="AG54" i="4"/>
  <c r="AF54" i="4"/>
  <c r="AC54" i="4"/>
  <c r="AB54" i="4"/>
  <c r="AL47" i="4"/>
  <c r="AJ47" i="4"/>
  <c r="AH47" i="4"/>
  <c r="AF47" i="4"/>
  <c r="AB47" i="4"/>
  <c r="AF32" i="4"/>
  <c r="AB32" i="4"/>
  <c r="AL31" i="4"/>
  <c r="AJ31" i="4"/>
  <c r="AH31" i="4"/>
  <c r="AF31" i="4"/>
  <c r="AB31" i="4"/>
  <c r="AL22" i="4"/>
  <c r="AL34" i="4" s="1"/>
  <c r="AK22" i="4"/>
  <c r="AJ22" i="4"/>
  <c r="AJ34" i="4" s="1"/>
  <c r="AI22" i="4"/>
  <c r="AH22" i="4"/>
  <c r="AH34" i="4" s="1"/>
  <c r="AG22" i="4"/>
  <c r="AF22" i="4"/>
  <c r="AF34" i="4" s="1"/>
  <c r="AC22" i="4"/>
  <c r="AB22" i="4"/>
  <c r="AF27" i="4"/>
  <c r="AC12" i="4"/>
  <c r="AC15" i="4" s="1"/>
  <c r="AJ14" i="4"/>
  <c r="AH14" i="4"/>
  <c r="AF14" i="4"/>
  <c r="AC14" i="4"/>
  <c r="AB14" i="4"/>
  <c r="Z23" i="4"/>
  <c r="Z24" i="4"/>
  <c r="Z42" i="4"/>
  <c r="Z47" i="4" s="1"/>
  <c r="Z30" i="4"/>
  <c r="Z19" i="4"/>
  <c r="Z69" i="2"/>
  <c r="Z47" i="2"/>
  <c r="Z28" i="4"/>
  <c r="AA24" i="2"/>
  <c r="AA24" i="4" s="1"/>
  <c r="AA23" i="2"/>
  <c r="AA23" i="4" s="1"/>
  <c r="AA9" i="2"/>
  <c r="AA9" i="4" s="1"/>
  <c r="AK69" i="4" l="1"/>
  <c r="AI70" i="4"/>
  <c r="AI72" i="4" s="1"/>
  <c r="AA70" i="4"/>
  <c r="AA72" i="4" s="1"/>
  <c r="AC69" i="4"/>
  <c r="AC71" i="4" s="1"/>
  <c r="AC73" i="4" s="1"/>
  <c r="Z83" i="2"/>
  <c r="AA69" i="2"/>
  <c r="Y70" i="2"/>
  <c r="Y78" i="2"/>
  <c r="Y79" i="2" s="1"/>
  <c r="T78" i="2"/>
  <c r="T79" i="2" s="1"/>
  <c r="R70" i="2"/>
  <c r="AG69" i="4"/>
  <c r="AE70" i="4"/>
  <c r="AK70" i="4"/>
  <c r="AK72" i="4" s="1"/>
  <c r="AM69" i="4"/>
  <c r="AG70" i="4"/>
  <c r="AG72" i="4" s="1"/>
  <c r="AI69" i="4"/>
  <c r="AB34" i="4"/>
  <c r="X25" i="4"/>
  <c r="X39" i="4" s="1"/>
  <c r="X40" i="4" s="1"/>
  <c r="X43" i="4" s="1"/>
  <c r="X44" i="4" s="1"/>
  <c r="X70" i="4"/>
  <c r="AC25" i="4"/>
  <c r="AC39" i="4" s="1"/>
  <c r="AC40" i="4" s="1"/>
  <c r="AC43" i="4" s="1"/>
  <c r="AC44" i="4" s="1"/>
  <c r="Y25" i="4"/>
  <c r="Y39" i="4" s="1"/>
  <c r="Y40" i="4" s="1"/>
  <c r="AF33" i="4"/>
  <c r="AF35" i="4" s="1"/>
  <c r="AF48" i="4" s="1"/>
  <c r="AF49" i="4" s="1"/>
  <c r="AB78" i="4"/>
  <c r="AB79" i="4" s="1"/>
  <c r="X78" i="4"/>
  <c r="X79" i="4" s="1"/>
  <c r="Y78" i="4"/>
  <c r="Y79" i="4" s="1"/>
  <c r="AB12" i="4"/>
  <c r="AB15" i="4" s="1"/>
  <c r="AB16" i="4" s="1"/>
  <c r="AG25" i="4"/>
  <c r="AG39" i="4" s="1"/>
  <c r="AG40" i="4" s="1"/>
  <c r="AG43" i="4" s="1"/>
  <c r="AG44" i="4" s="1"/>
  <c r="AB70" i="4"/>
  <c r="AB72" i="4" s="1"/>
  <c r="AK78" i="4"/>
  <c r="AI25" i="4"/>
  <c r="AI39" i="4" s="1"/>
  <c r="AI40" i="4" s="1"/>
  <c r="AI43" i="4" s="1"/>
  <c r="AI44" i="4" s="1"/>
  <c r="AB27" i="4"/>
  <c r="AB33" i="4" s="1"/>
  <c r="AB35" i="4" s="1"/>
  <c r="AB48" i="4" s="1"/>
  <c r="AB49" i="4" s="1"/>
  <c r="AC16" i="4"/>
  <c r="AG78" i="4"/>
  <c r="AB25" i="4"/>
  <c r="AB39" i="4" s="1"/>
  <c r="AB40" i="4" s="1"/>
  <c r="AB43" i="4" s="1"/>
  <c r="AB44" i="4" s="1"/>
  <c r="AC78" i="4"/>
  <c r="AC79" i="4" s="1"/>
  <c r="AI78" i="4"/>
  <c r="Z70" i="4"/>
  <c r="Z72" i="4" s="1"/>
  <c r="Z22" i="4"/>
  <c r="L39" i="4" s="1"/>
  <c r="L40" i="4" s="1"/>
  <c r="S79" i="2"/>
  <c r="Z77" i="2"/>
  <c r="AA76" i="2"/>
  <c r="AA22" i="2"/>
  <c r="Y25" i="2" s="1"/>
  <c r="Y39" i="2" s="1"/>
  <c r="Y40" i="2" s="1"/>
  <c r="Y43" i="2" s="1"/>
  <c r="Z76" i="4"/>
  <c r="Z77" i="4" s="1"/>
  <c r="Z58" i="4"/>
  <c r="Z69" i="4" s="1"/>
  <c r="Z9" i="4"/>
  <c r="Z31" i="2"/>
  <c r="Z57" i="4"/>
  <c r="Z62" i="4" s="1"/>
  <c r="Z20" i="4"/>
  <c r="Z31" i="4" s="1"/>
  <c r="AA42" i="2"/>
  <c r="AA42" i="4" s="1"/>
  <c r="AI71" i="4" l="1"/>
  <c r="AI73" i="4" s="1"/>
  <c r="AG71" i="4"/>
  <c r="AG73" i="4" s="1"/>
  <c r="AB71" i="4"/>
  <c r="AB73" i="4" s="1"/>
  <c r="Z84" i="2"/>
  <c r="Z84" i="4" s="1"/>
  <c r="Z83" i="4"/>
  <c r="Z87" i="2"/>
  <c r="Y44" i="2"/>
  <c r="Y43" i="4"/>
  <c r="Y44" i="4" s="1"/>
  <c r="Y72" i="2"/>
  <c r="Y71" i="2"/>
  <c r="AK71" i="4"/>
  <c r="AK73" i="4" s="1"/>
  <c r="AE72" i="4"/>
  <c r="AE71" i="4"/>
  <c r="R70" i="4"/>
  <c r="R72" i="4" s="1"/>
  <c r="AA69" i="4"/>
  <c r="AA71" i="4" s="1"/>
  <c r="AA73" i="4" s="1"/>
  <c r="Y70" i="4"/>
  <c r="Z64" i="4"/>
  <c r="Z66" i="4" s="1"/>
  <c r="AA62" i="4"/>
  <c r="AA64" i="4" s="1"/>
  <c r="AA66" i="4" s="1"/>
  <c r="Y63" i="4"/>
  <c r="Y64" i="4" s="1"/>
  <c r="Y66" i="4" s="1"/>
  <c r="L44" i="4"/>
  <c r="V72" i="4"/>
  <c r="V71" i="4"/>
  <c r="X72" i="4"/>
  <c r="X71" i="4"/>
  <c r="W78" i="4"/>
  <c r="W79" i="4" s="1"/>
  <c r="V78" i="4"/>
  <c r="V79" i="4" s="1"/>
  <c r="R39" i="4"/>
  <c r="Z34" i="4"/>
  <c r="AA22" i="4"/>
  <c r="AA25" i="4" s="1"/>
  <c r="AA39" i="4" s="1"/>
  <c r="Z25" i="4"/>
  <c r="Z39" i="4" s="1"/>
  <c r="Z78" i="4"/>
  <c r="Z79" i="4" s="1"/>
  <c r="R79" i="4"/>
  <c r="S79" i="4"/>
  <c r="AA78" i="4"/>
  <c r="Z59" i="4"/>
  <c r="Z71" i="4"/>
  <c r="Z73" i="4" s="1"/>
  <c r="AC76" i="2"/>
  <c r="AC77" i="2" s="1"/>
  <c r="X73" i="4" l="1"/>
  <c r="AE73" i="4"/>
  <c r="V73" i="4"/>
  <c r="Z88" i="2"/>
  <c r="Z88" i="4" s="1"/>
  <c r="Z87" i="4"/>
  <c r="Y73" i="2"/>
  <c r="R71" i="4"/>
  <c r="R73" i="4" s="1"/>
  <c r="Y72" i="4"/>
  <c r="Y71" i="4"/>
  <c r="S39" i="4"/>
  <c r="AB69" i="2"/>
  <c r="AB47" i="2"/>
  <c r="AB32" i="2"/>
  <c r="AB31" i="2"/>
  <c r="AC24" i="2"/>
  <c r="AC23" i="2"/>
  <c r="AB22" i="2"/>
  <c r="AC8" i="2"/>
  <c r="Y73" i="4" l="1"/>
  <c r="AB34" i="2"/>
  <c r="AB83" i="2"/>
  <c r="AC69" i="2"/>
  <c r="AC71" i="2" s="1"/>
  <c r="AC73" i="2" s="1"/>
  <c r="AA70" i="2"/>
  <c r="T70" i="2"/>
  <c r="AA78" i="2"/>
  <c r="AC22" i="2"/>
  <c r="AA25" i="2" s="1"/>
  <c r="AA39" i="2" s="1"/>
  <c r="AA76" i="4"/>
  <c r="AA77" i="4" s="1"/>
  <c r="AA79" i="4" s="1"/>
  <c r="AA77" i="2"/>
  <c r="AC78" i="2"/>
  <c r="AC9" i="2"/>
  <c r="AC10" i="2" s="1"/>
  <c r="AB59" i="2"/>
  <c r="AC42" i="2"/>
  <c r="AC25" i="2" l="1"/>
  <c r="AC39" i="2" s="1"/>
  <c r="T72" i="2"/>
  <c r="T71" i="2"/>
  <c r="AB84" i="2"/>
  <c r="AB84" i="4" s="1"/>
  <c r="AB83" i="4"/>
  <c r="AB87" i="2"/>
  <c r="AA72" i="2"/>
  <c r="AA71" i="2"/>
  <c r="AA79" i="2"/>
  <c r="AB27" i="2"/>
  <c r="AB33" i="2" s="1"/>
  <c r="AB35" i="2" s="1"/>
  <c r="AC79" i="2"/>
  <c r="T73" i="2" l="1"/>
  <c r="AA73" i="2"/>
  <c r="AB88" i="2"/>
  <c r="AB88" i="4" s="1"/>
  <c r="AB87" i="4"/>
  <c r="AB48" i="2"/>
  <c r="AB49" i="2" s="1"/>
  <c r="AF6" i="2" l="1"/>
  <c r="AO5" i="4" l="1"/>
  <c r="AO6" i="4" s="1"/>
  <c r="AM5" i="4"/>
  <c r="AM6" i="4" s="1"/>
  <c r="AK5" i="4"/>
  <c r="AI5" i="4"/>
  <c r="AL6" i="2"/>
  <c r="AJ6" i="2"/>
  <c r="AI6" i="4" l="1"/>
  <c r="AI14" i="4" s="1"/>
  <c r="AK6" i="4"/>
  <c r="AK14" i="4" s="1"/>
  <c r="AH6" i="2"/>
  <c r="AW14" i="4" l="1"/>
  <c r="AW6" i="2"/>
  <c r="AW14" i="2" s="1"/>
  <c r="AW16" i="2" s="1"/>
  <c r="AV6" i="2"/>
  <c r="AW39" i="4" l="1"/>
  <c r="AW40" i="4" s="1"/>
  <c r="AV39" i="4"/>
  <c r="AV40" i="4" s="1"/>
  <c r="AW22" i="4" l="1"/>
  <c r="AV22" i="4"/>
  <c r="AU22" i="4"/>
  <c r="AT22" i="4"/>
  <c r="AS22" i="4"/>
  <c r="AR22" i="4"/>
  <c r="AQ22" i="4"/>
  <c r="AP22" i="4"/>
  <c r="AO22" i="4"/>
  <c r="AN22" i="4"/>
  <c r="AM22" i="4"/>
  <c r="AW39" i="2"/>
  <c r="AW40" i="2" s="1"/>
  <c r="AV39" i="2"/>
  <c r="AV40" i="2" s="1"/>
  <c r="AP25" i="4" l="1"/>
  <c r="AP39" i="4" s="1"/>
  <c r="AP40" i="4" s="1"/>
  <c r="AT25" i="4"/>
  <c r="AT39" i="4" s="1"/>
  <c r="AT40" i="4" s="1"/>
  <c r="AU25" i="4"/>
  <c r="AU39" i="4" s="1"/>
  <c r="AU40" i="4" s="1"/>
  <c r="AQ25" i="4"/>
  <c r="AQ39" i="4" s="1"/>
  <c r="AQ40" i="4" s="1"/>
  <c r="AM25" i="4"/>
  <c r="AM39" i="4" s="1"/>
  <c r="AM40" i="4" s="1"/>
  <c r="AK25" i="4"/>
  <c r="AK39" i="4" s="1"/>
  <c r="AK40" i="4" s="1"/>
  <c r="AK43" i="4" s="1"/>
  <c r="AK44" i="4" s="1"/>
  <c r="AJ25" i="4"/>
  <c r="AJ39" i="4" s="1"/>
  <c r="AJ40" i="4" s="1"/>
  <c r="AJ43" i="4" s="1"/>
  <c r="AJ44" i="4" s="1"/>
  <c r="AF25" i="4"/>
  <c r="AF39" i="4" s="1"/>
  <c r="AF40" i="4" s="1"/>
  <c r="AF43" i="4" s="1"/>
  <c r="AF44" i="4" s="1"/>
  <c r="AL25" i="4"/>
  <c r="AL39" i="4" s="1"/>
  <c r="AL40" i="4" s="1"/>
  <c r="AL43" i="4" s="1"/>
  <c r="AL44" i="4" s="1"/>
  <c r="AH25" i="4"/>
  <c r="AH39" i="4" s="1"/>
  <c r="AH40" i="4" s="1"/>
  <c r="AH43" i="4" s="1"/>
  <c r="AH44" i="4" s="1"/>
  <c r="AN25" i="4"/>
  <c r="AN39" i="4" s="1"/>
  <c r="AN40" i="4" s="1"/>
  <c r="AR25" i="4"/>
  <c r="AR39" i="4" s="1"/>
  <c r="AR40" i="4" s="1"/>
  <c r="AO25" i="4"/>
  <c r="AO39" i="4" s="1"/>
  <c r="AO40" i="4" s="1"/>
  <c r="AS25" i="4"/>
  <c r="AS39" i="4" s="1"/>
  <c r="AS40" i="4" s="1"/>
  <c r="AW22" i="2"/>
  <c r="AV22" i="2"/>
  <c r="AU22" i="2"/>
  <c r="AT22" i="2"/>
  <c r="AS22" i="2"/>
  <c r="AR22" i="2"/>
  <c r="AQ22" i="2"/>
  <c r="AP22" i="2"/>
  <c r="AP25" i="2" l="1"/>
  <c r="AP39" i="2" s="1"/>
  <c r="AP40" i="2" s="1"/>
  <c r="AT25" i="2"/>
  <c r="AT39" i="2" s="1"/>
  <c r="AT40" i="2" s="1"/>
  <c r="AQ25" i="2"/>
  <c r="AQ39" i="2" s="1"/>
  <c r="AQ40" i="2" s="1"/>
  <c r="AU25" i="2"/>
  <c r="AU39" i="2" s="1"/>
  <c r="AU40" i="2" s="1"/>
  <c r="AR25" i="2"/>
  <c r="AR39" i="2" s="1"/>
  <c r="AR40" i="2" s="1"/>
  <c r="AS25" i="2"/>
  <c r="AS39" i="2" s="1"/>
  <c r="AS40" i="2" s="1"/>
  <c r="AW77" i="4"/>
  <c r="AW79" i="4" s="1"/>
  <c r="AV77" i="4"/>
  <c r="AV79" i="4" s="1"/>
  <c r="AU77" i="4"/>
  <c r="AT77" i="4"/>
  <c r="AS77" i="4"/>
  <c r="AR77" i="4"/>
  <c r="AQ77" i="4"/>
  <c r="AP77" i="4"/>
  <c r="AO77" i="4"/>
  <c r="AN77" i="4"/>
  <c r="AM77" i="4"/>
  <c r="AL77" i="4"/>
  <c r="AK77" i="4"/>
  <c r="AK79" i="4" s="1"/>
  <c r="AJ77" i="4"/>
  <c r="AI77" i="4"/>
  <c r="AI79" i="4" s="1"/>
  <c r="AH77" i="4"/>
  <c r="AG77" i="4"/>
  <c r="AG79" i="4" s="1"/>
  <c r="AF77" i="4"/>
  <c r="AV72" i="4"/>
  <c r="AT72" i="4"/>
  <c r="AR72" i="4"/>
  <c r="AP72" i="4"/>
  <c r="AV69" i="4"/>
  <c r="AT69" i="4"/>
  <c r="AR69" i="4"/>
  <c r="AP69" i="4"/>
  <c r="AN69" i="4"/>
  <c r="AV59" i="4"/>
  <c r="AT59" i="4"/>
  <c r="AR59" i="4"/>
  <c r="AP59" i="4"/>
  <c r="AN59" i="4"/>
  <c r="AL59" i="4"/>
  <c r="AW54" i="4"/>
  <c r="AV54" i="4"/>
  <c r="AU54" i="4"/>
  <c r="AT54" i="4"/>
  <c r="AS54" i="4"/>
  <c r="AR54" i="4"/>
  <c r="AQ54" i="4"/>
  <c r="AP54" i="4"/>
  <c r="AO54" i="4"/>
  <c r="AN54" i="4"/>
  <c r="AM54" i="4"/>
  <c r="AV47" i="4"/>
  <c r="AT47" i="4"/>
  <c r="AR47" i="4"/>
  <c r="AP47" i="4"/>
  <c r="AN47" i="4"/>
  <c r="AW43" i="4"/>
  <c r="AW44" i="4" s="1"/>
  <c r="AV43" i="4"/>
  <c r="AV44" i="4" s="1"/>
  <c r="AU43" i="4"/>
  <c r="AU44" i="4" s="1"/>
  <c r="AT43" i="4"/>
  <c r="AT44" i="4" s="1"/>
  <c r="AS43" i="4"/>
  <c r="AS44" i="4" s="1"/>
  <c r="AR43" i="4"/>
  <c r="AR44" i="4" s="1"/>
  <c r="AQ43" i="4"/>
  <c r="AQ44" i="4" s="1"/>
  <c r="AP43" i="4"/>
  <c r="AP44" i="4" s="1"/>
  <c r="AO43" i="4"/>
  <c r="AO44" i="4" s="1"/>
  <c r="AN43" i="4"/>
  <c r="AN44" i="4" s="1"/>
  <c r="AM43" i="4"/>
  <c r="AM44" i="4" s="1"/>
  <c r="AV34" i="4"/>
  <c r="AT34" i="4"/>
  <c r="AR34" i="4"/>
  <c r="AP34" i="4"/>
  <c r="AV32" i="4"/>
  <c r="AN32" i="4"/>
  <c r="AV31" i="4"/>
  <c r="AT31" i="4"/>
  <c r="AR31" i="4"/>
  <c r="AP31" i="4"/>
  <c r="AN31" i="4"/>
  <c r="AV30" i="4"/>
  <c r="AN30" i="4"/>
  <c r="AN34" i="4"/>
  <c r="AT21" i="4"/>
  <c r="AT32" i="4" s="1"/>
  <c r="AR21" i="4"/>
  <c r="AR32" i="4" s="1"/>
  <c r="AP21" i="4"/>
  <c r="AP32" i="4" s="1"/>
  <c r="AL21" i="4"/>
  <c r="AL32" i="4" s="1"/>
  <c r="AJ21" i="4"/>
  <c r="AJ32" i="4" s="1"/>
  <c r="AH21" i="4"/>
  <c r="AH32" i="4" s="1"/>
  <c r="AW15" i="4"/>
  <c r="AW16" i="4" s="1"/>
  <c r="AV15" i="4"/>
  <c r="AV14" i="4"/>
  <c r="AU14" i="4"/>
  <c r="AR14" i="4"/>
  <c r="AQ14" i="4"/>
  <c r="AN27" i="4"/>
  <c r="AW9" i="4"/>
  <c r="AW10" i="4" s="1"/>
  <c r="AV9" i="4"/>
  <c r="AU9" i="4"/>
  <c r="AU10" i="4" s="1"/>
  <c r="AT9" i="4"/>
  <c r="AT10" i="4" s="1"/>
  <c r="AS9" i="4"/>
  <c r="AS10" i="4" s="1"/>
  <c r="AR9" i="4"/>
  <c r="AR10" i="4" s="1"/>
  <c r="AQ9" i="4"/>
  <c r="AQ10" i="4" s="1"/>
  <c r="AP9" i="4"/>
  <c r="AP10" i="4" s="1"/>
  <c r="AL9" i="4"/>
  <c r="AK9" i="4"/>
  <c r="AJ9" i="4"/>
  <c r="AJ10" i="4" s="1"/>
  <c r="AH9" i="4"/>
  <c r="AH10" i="4" s="1"/>
  <c r="AT14" i="4"/>
  <c r="AS14" i="4"/>
  <c r="AP14" i="4"/>
  <c r="AO14" i="4"/>
  <c r="AN14" i="4"/>
  <c r="AL14" i="4"/>
  <c r="AG5" i="4"/>
  <c r="AV10" i="4" l="1"/>
  <c r="AV27" i="4" s="1"/>
  <c r="AV33" i="4" s="1"/>
  <c r="AV35" i="4" s="1"/>
  <c r="AV48" i="4" s="1"/>
  <c r="AV49" i="4" s="1"/>
  <c r="AL10" i="4"/>
  <c r="AF12" i="4" s="1"/>
  <c r="AF15" i="4" s="1"/>
  <c r="AF16" i="4" s="1"/>
  <c r="AL70" i="4"/>
  <c r="AL72" i="4" s="1"/>
  <c r="AU69" i="4"/>
  <c r="AS70" i="4"/>
  <c r="AS72" i="4" s="1"/>
  <c r="AU70" i="4"/>
  <c r="AU72" i="4" s="1"/>
  <c r="AW69" i="4"/>
  <c r="AW71" i="4" s="1"/>
  <c r="AW73" i="4" s="1"/>
  <c r="AG6" i="4"/>
  <c r="AG14" i="4" s="1"/>
  <c r="AH70" i="4"/>
  <c r="AH72" i="4" s="1"/>
  <c r="AO70" i="4"/>
  <c r="AO72" i="4" s="1"/>
  <c r="AQ69" i="4"/>
  <c r="AK10" i="4"/>
  <c r="AJ70" i="4"/>
  <c r="AJ72" i="4" s="1"/>
  <c r="AS69" i="4"/>
  <c r="AQ70" i="4"/>
  <c r="AQ72" i="4" s="1"/>
  <c r="AO69" i="4"/>
  <c r="AM70" i="4"/>
  <c r="AJ27" i="4"/>
  <c r="AJ33" i="4" s="1"/>
  <c r="AJ35" i="4" s="1"/>
  <c r="AJ48" i="4" s="1"/>
  <c r="AJ49" i="4" s="1"/>
  <c r="AH27" i="4"/>
  <c r="AH33" i="4" s="1"/>
  <c r="AH35" i="4" s="1"/>
  <c r="AH48" i="4" s="1"/>
  <c r="AH49" i="4" s="1"/>
  <c r="AG12" i="4"/>
  <c r="AG15" i="4" s="1"/>
  <c r="AL78" i="4"/>
  <c r="AL79" i="4" s="1"/>
  <c r="AF70" i="4"/>
  <c r="AH78" i="4"/>
  <c r="AH79" i="4" s="1"/>
  <c r="AF78" i="4"/>
  <c r="AF79" i="4" s="1"/>
  <c r="AJ78" i="4"/>
  <c r="AJ79" i="4" s="1"/>
  <c r="AV16" i="4"/>
  <c r="AN33" i="4"/>
  <c r="AN35" i="4" s="1"/>
  <c r="AN48" i="4" s="1"/>
  <c r="AN49" i="4" s="1"/>
  <c r="AS78" i="4"/>
  <c r="AS79" i="4" s="1"/>
  <c r="AM78" i="4"/>
  <c r="AM79" i="4" s="1"/>
  <c r="AU78" i="4"/>
  <c r="AU79" i="4" s="1"/>
  <c r="AN70" i="4"/>
  <c r="AN72" i="4" s="1"/>
  <c r="AO78" i="4"/>
  <c r="AO79" i="4" s="1"/>
  <c r="AN78" i="4"/>
  <c r="AN79" i="4" s="1"/>
  <c r="AQ78" i="4"/>
  <c r="AQ79" i="4" s="1"/>
  <c r="AQ12" i="4"/>
  <c r="AQ15" i="4" s="1"/>
  <c r="AQ16" i="4" s="1"/>
  <c r="AS12" i="4"/>
  <c r="AS15" i="4" s="1"/>
  <c r="AS16" i="4" s="1"/>
  <c r="AR27" i="4"/>
  <c r="AR33" i="4" s="1"/>
  <c r="AR35" i="4" s="1"/>
  <c r="AR48" i="4" s="1"/>
  <c r="AR49" i="4" s="1"/>
  <c r="AP71" i="4"/>
  <c r="AP73" i="4" s="1"/>
  <c r="AM9" i="4"/>
  <c r="AM14" i="4"/>
  <c r="AT27" i="4"/>
  <c r="AT33" i="4" s="1"/>
  <c r="AT35" i="4" s="1"/>
  <c r="AT48" i="4" s="1"/>
  <c r="AT49" i="4" s="1"/>
  <c r="AI9" i="4"/>
  <c r="AO12" i="4"/>
  <c r="AO15" i="4" s="1"/>
  <c r="AO16" i="4" s="1"/>
  <c r="AP27" i="4"/>
  <c r="AP33" i="4" s="1"/>
  <c r="AP35" i="4" s="1"/>
  <c r="AP48" i="4" s="1"/>
  <c r="AP49" i="4" s="1"/>
  <c r="AP78" i="4"/>
  <c r="AP79" i="4" s="1"/>
  <c r="AT78" i="4"/>
  <c r="AT79" i="4" s="1"/>
  <c r="AT71" i="4"/>
  <c r="AT73" i="4" s="1"/>
  <c r="AR78" i="4"/>
  <c r="AR79" i="4" s="1"/>
  <c r="AR71" i="4"/>
  <c r="AR73" i="4" s="1"/>
  <c r="AV71" i="4"/>
  <c r="AV73" i="4" s="1"/>
  <c r="AW77" i="2"/>
  <c r="AW79" i="2" s="1"/>
  <c r="AV77" i="2"/>
  <c r="AV79" i="2" s="1"/>
  <c r="AU77" i="2"/>
  <c r="AT77" i="2"/>
  <c r="AS77" i="2"/>
  <c r="AR77" i="2"/>
  <c r="AQ77" i="2"/>
  <c r="AP77" i="2"/>
  <c r="AO77" i="2"/>
  <c r="AN77" i="2"/>
  <c r="AM77" i="2"/>
  <c r="AL77" i="2"/>
  <c r="AK77" i="2"/>
  <c r="AJ77" i="2"/>
  <c r="AI77" i="2"/>
  <c r="AH77" i="2"/>
  <c r="AG77" i="2"/>
  <c r="AF77" i="2"/>
  <c r="AL71" i="4" l="1"/>
  <c r="AL73" i="4" s="1"/>
  <c r="AR12" i="4"/>
  <c r="AR15" i="4" s="1"/>
  <c r="AR16" i="4" s="1"/>
  <c r="AU12" i="4"/>
  <c r="AU15" i="4" s="1"/>
  <c r="AU16" i="4" s="1"/>
  <c r="AT12" i="4"/>
  <c r="AT15" i="4" s="1"/>
  <c r="AT16" i="4" s="1"/>
  <c r="AN12" i="4"/>
  <c r="AN15" i="4" s="1"/>
  <c r="AN16" i="4" s="1"/>
  <c r="AP12" i="4"/>
  <c r="AP15" i="4" s="1"/>
  <c r="AP16" i="4" s="1"/>
  <c r="AK12" i="4"/>
  <c r="AK15" i="4" s="1"/>
  <c r="AK16" i="4" s="1"/>
  <c r="AJ71" i="4"/>
  <c r="AJ73" i="4" s="1"/>
  <c r="AH71" i="4"/>
  <c r="AH73" i="4" s="1"/>
  <c r="AJ12" i="4"/>
  <c r="AJ15" i="4" s="1"/>
  <c r="AJ16" i="4" s="1"/>
  <c r="AU71" i="4"/>
  <c r="AU73" i="4" s="1"/>
  <c r="AH12" i="4"/>
  <c r="AH15" i="4" s="1"/>
  <c r="AH16" i="4" s="1"/>
  <c r="AQ71" i="4"/>
  <c r="AQ73" i="4" s="1"/>
  <c r="AM72" i="4"/>
  <c r="AM71" i="4"/>
  <c r="AI10" i="4"/>
  <c r="AI12" i="4" s="1"/>
  <c r="AI15" i="4" s="1"/>
  <c r="AI16" i="4" s="1"/>
  <c r="AL12" i="4"/>
  <c r="AL15" i="4" s="1"/>
  <c r="AL16" i="4" s="1"/>
  <c r="AO71" i="4"/>
  <c r="AO73" i="4" s="1"/>
  <c r="AM10" i="4"/>
  <c r="AM12" i="4" s="1"/>
  <c r="AM15" i="4" s="1"/>
  <c r="AM16" i="4" s="1"/>
  <c r="AG16" i="4"/>
  <c r="AL27" i="4"/>
  <c r="AL33" i="4" s="1"/>
  <c r="AL35" i="4" s="1"/>
  <c r="AL48" i="4" s="1"/>
  <c r="AL49" i="4" s="1"/>
  <c r="AS71" i="4"/>
  <c r="AS73" i="4" s="1"/>
  <c r="AN71" i="4"/>
  <c r="AN73" i="4" s="1"/>
  <c r="AF72" i="4"/>
  <c r="AF71" i="4"/>
  <c r="AV72" i="2"/>
  <c r="AT72" i="2"/>
  <c r="AR72" i="2"/>
  <c r="AP72" i="2"/>
  <c r="AF73" i="4" l="1"/>
  <c r="AM73" i="4"/>
  <c r="AL69" i="2"/>
  <c r="AJ69" i="2"/>
  <c r="AH69" i="2"/>
  <c r="AF69" i="2"/>
  <c r="AV69" i="2"/>
  <c r="AT69" i="2"/>
  <c r="AR69" i="2"/>
  <c r="AP69" i="2"/>
  <c r="AN69" i="2"/>
  <c r="AV59" i="2"/>
  <c r="AT59" i="2"/>
  <c r="AR59" i="2"/>
  <c r="AP59" i="2"/>
  <c r="AN59" i="2"/>
  <c r="AL59" i="2"/>
  <c r="AJ59" i="2"/>
  <c r="AH59" i="2"/>
  <c r="AF59" i="2"/>
  <c r="AW43" i="2"/>
  <c r="AW44" i="2" s="1"/>
  <c r="AU78" i="2" l="1"/>
  <c r="AU79" i="2" s="1"/>
  <c r="AU69" i="2"/>
  <c r="AS70" i="2"/>
  <c r="AS72" i="2" s="1"/>
  <c r="AW69" i="2"/>
  <c r="AW71" i="2" s="1"/>
  <c r="AW73" i="2" s="1"/>
  <c r="AU70" i="2"/>
  <c r="AU72" i="2" s="1"/>
  <c r="AG69" i="2"/>
  <c r="AE70" i="2"/>
  <c r="X70" i="2"/>
  <c r="AE78" i="2"/>
  <c r="AE79" i="2" s="1"/>
  <c r="AD78" i="2"/>
  <c r="AD79" i="2" s="1"/>
  <c r="X78" i="2"/>
  <c r="X79" i="2" s="1"/>
  <c r="AG70" i="2"/>
  <c r="AG72" i="2" s="1"/>
  <c r="AI69" i="2"/>
  <c r="AQ70" i="2"/>
  <c r="AS69" i="2"/>
  <c r="AI70" i="2"/>
  <c r="AI72" i="2" s="1"/>
  <c r="AK69" i="2"/>
  <c r="AQ69" i="2"/>
  <c r="AO70" i="2"/>
  <c r="AO72" i="2" s="1"/>
  <c r="AM70" i="2"/>
  <c r="AM72" i="2" s="1"/>
  <c r="AO69" i="2"/>
  <c r="AM69" i="2"/>
  <c r="AK70" i="2"/>
  <c r="AK72" i="2" s="1"/>
  <c r="AD70" i="2"/>
  <c r="AQ78" i="2"/>
  <c r="AQ79" i="2" s="1"/>
  <c r="AS78" i="2"/>
  <c r="AS79" i="2" s="1"/>
  <c r="Z70" i="2"/>
  <c r="AI78" i="2"/>
  <c r="AI79" i="2" s="1"/>
  <c r="AB70" i="2"/>
  <c r="AK78" i="2"/>
  <c r="AK79" i="2" s="1"/>
  <c r="R79" i="2"/>
  <c r="AB78" i="2"/>
  <c r="AB79" i="2" s="1"/>
  <c r="Z78" i="2"/>
  <c r="Z79" i="2" s="1"/>
  <c r="AG78" i="2"/>
  <c r="AG79" i="2" s="1"/>
  <c r="AO78" i="2"/>
  <c r="AO79" i="2" s="1"/>
  <c r="AM78" i="2"/>
  <c r="AM79" i="2" s="1"/>
  <c r="AP78" i="2"/>
  <c r="AP79" i="2" s="1"/>
  <c r="AP71" i="2"/>
  <c r="AP73" i="2" s="1"/>
  <c r="AF78" i="2"/>
  <c r="AF79" i="2" s="1"/>
  <c r="AJ78" i="2"/>
  <c r="AJ79" i="2" s="1"/>
  <c r="AN78" i="2"/>
  <c r="AN79" i="2" s="1"/>
  <c r="AR71" i="2"/>
  <c r="AR73" i="2" s="1"/>
  <c r="AR78" i="2"/>
  <c r="AR79" i="2" s="1"/>
  <c r="AV71" i="2"/>
  <c r="AV73" i="2" s="1"/>
  <c r="AH78" i="2"/>
  <c r="AH79" i="2" s="1"/>
  <c r="AL78" i="2"/>
  <c r="AL79" i="2" s="1"/>
  <c r="AT78" i="2"/>
  <c r="AT79" i="2" s="1"/>
  <c r="AT71" i="2"/>
  <c r="AT73" i="2" s="1"/>
  <c r="AH70" i="2"/>
  <c r="AH72" i="2" s="1"/>
  <c r="AL70" i="2"/>
  <c r="AL72" i="2" s="1"/>
  <c r="AF70" i="2"/>
  <c r="AF72" i="2" s="1"/>
  <c r="AJ70" i="2"/>
  <c r="AJ72" i="2" s="1"/>
  <c r="AN70" i="2"/>
  <c r="AN72" i="2" s="1"/>
  <c r="AW9" i="2"/>
  <c r="AW10" i="2" s="1"/>
  <c r="AS71" i="2" l="1"/>
  <c r="AS73" i="2" s="1"/>
  <c r="AM71" i="2"/>
  <c r="AM73" i="2" s="1"/>
  <c r="AG71" i="2"/>
  <c r="AG73" i="2" s="1"/>
  <c r="AO71" i="2"/>
  <c r="AO73" i="2" s="1"/>
  <c r="AI71" i="2"/>
  <c r="AI73" i="2" s="1"/>
  <c r="AQ71" i="2"/>
  <c r="AQ72" i="2"/>
  <c r="AD72" i="2"/>
  <c r="AD71" i="2"/>
  <c r="AU71" i="2"/>
  <c r="AU73" i="2" s="1"/>
  <c r="X72" i="2"/>
  <c r="X71" i="2"/>
  <c r="AE72" i="2"/>
  <c r="AE71" i="2"/>
  <c r="AK71" i="2"/>
  <c r="AK73" i="2" s="1"/>
  <c r="AB72" i="2"/>
  <c r="AB71" i="2"/>
  <c r="R72" i="2"/>
  <c r="R71" i="2"/>
  <c r="Z72" i="2"/>
  <c r="Z71" i="2"/>
  <c r="AH71" i="2"/>
  <c r="AH73" i="2" s="1"/>
  <c r="AL71" i="2"/>
  <c r="AL73" i="2" s="1"/>
  <c r="AN71" i="2"/>
  <c r="AN73" i="2" s="1"/>
  <c r="AJ71" i="2"/>
  <c r="AJ73" i="2" s="1"/>
  <c r="AF71" i="2"/>
  <c r="AF73" i="2" s="1"/>
  <c r="AW54" i="2"/>
  <c r="AV54" i="2"/>
  <c r="AU54" i="2"/>
  <c r="AT54" i="2"/>
  <c r="AS54" i="2"/>
  <c r="AR54" i="2"/>
  <c r="AQ54" i="2"/>
  <c r="AP54" i="2"/>
  <c r="AO54" i="2"/>
  <c r="AN54" i="2"/>
  <c r="AM54" i="2"/>
  <c r="AL54" i="2"/>
  <c r="AK54" i="2"/>
  <c r="AJ54" i="2"/>
  <c r="AI54" i="2"/>
  <c r="AH54" i="2"/>
  <c r="AG54" i="2"/>
  <c r="AF54" i="2"/>
  <c r="AD73" i="2" l="1"/>
  <c r="R73" i="2"/>
  <c r="AE73" i="2"/>
  <c r="Z73" i="2"/>
  <c r="AQ73" i="2"/>
  <c r="X73" i="2"/>
  <c r="AB73" i="2"/>
  <c r="AV47" i="2"/>
  <c r="AT47" i="2"/>
  <c r="AR47" i="2"/>
  <c r="AP47" i="2"/>
  <c r="AN47" i="2"/>
  <c r="AL47" i="2"/>
  <c r="AJ47" i="2"/>
  <c r="AH47" i="2"/>
  <c r="AF47" i="2"/>
  <c r="AV43" i="2"/>
  <c r="AV44" i="2" s="1"/>
  <c r="AU43" i="2"/>
  <c r="AU44" i="2" s="1"/>
  <c r="AT43" i="2"/>
  <c r="AT44" i="2" s="1"/>
  <c r="AS43" i="2"/>
  <c r="AS44" i="2" s="1"/>
  <c r="AR43" i="2"/>
  <c r="AR44" i="2" s="1"/>
  <c r="AQ43" i="2"/>
  <c r="AQ44" i="2" s="1"/>
  <c r="AP43" i="2"/>
  <c r="AP44" i="2" s="1"/>
  <c r="AO22" i="2"/>
  <c r="AM22" i="2"/>
  <c r="AK22" i="2"/>
  <c r="AI22" i="2"/>
  <c r="AG22" i="2"/>
  <c r="AE25" i="2" s="1"/>
  <c r="AE39" i="2" s="1"/>
  <c r="AE40" i="2" s="1"/>
  <c r="AE43" i="2" s="1"/>
  <c r="AE44" i="2" s="1"/>
  <c r="AK25" i="2" l="1"/>
  <c r="AK39" i="2" s="1"/>
  <c r="AK40" i="2" s="1"/>
  <c r="AK43" i="2" s="1"/>
  <c r="AK44" i="2" s="1"/>
  <c r="AI25" i="2"/>
  <c r="AI39" i="2" s="1"/>
  <c r="AI40" i="2" s="1"/>
  <c r="AI43" i="2" s="1"/>
  <c r="AI44" i="2" s="1"/>
  <c r="AM25" i="2"/>
  <c r="AM39" i="2" s="1"/>
  <c r="AM40" i="2" s="1"/>
  <c r="AM43" i="2" s="1"/>
  <c r="AM44" i="2" s="1"/>
  <c r="AG25" i="2"/>
  <c r="AG39" i="2" s="1"/>
  <c r="AG40" i="2" s="1"/>
  <c r="AG43" i="2" s="1"/>
  <c r="AG44" i="2" s="1"/>
  <c r="AO25" i="2"/>
  <c r="AO39" i="2" s="1"/>
  <c r="AO40" i="2" s="1"/>
  <c r="AO43" i="2" s="1"/>
  <c r="AO44" i="2" s="1"/>
  <c r="AU6" i="2"/>
  <c r="AT6" i="2"/>
  <c r="AS6" i="2"/>
  <c r="AR6" i="2"/>
  <c r="AQ6" i="2"/>
  <c r="AP6" i="2"/>
  <c r="AO10" i="2"/>
  <c r="AN10" i="2"/>
  <c r="AG10" i="2" l="1"/>
  <c r="AV14" i="2"/>
  <c r="AV16" i="2" s="1"/>
  <c r="AT14" i="2"/>
  <c r="AR14" i="2"/>
  <c r="AU14" i="2"/>
  <c r="AS14" i="2"/>
  <c r="AQ14" i="2"/>
  <c r="AP14" i="2"/>
  <c r="AV9" i="2"/>
  <c r="AV10" i="2" s="1"/>
  <c r="AU9" i="2"/>
  <c r="AU10" i="2" s="1"/>
  <c r="AT9" i="2"/>
  <c r="AT10" i="2" s="1"/>
  <c r="AS9" i="2"/>
  <c r="AS10" i="2" s="1"/>
  <c r="AR9" i="2"/>
  <c r="AR10" i="2" s="1"/>
  <c r="AQ9" i="2"/>
  <c r="AQ10" i="2" s="1"/>
  <c r="AP9" i="2"/>
  <c r="AP10" i="2" s="1"/>
  <c r="AL9" i="2"/>
  <c r="AL10" i="2" s="1"/>
  <c r="AJ9" i="2"/>
  <c r="AJ10" i="2" s="1"/>
  <c r="AH9" i="2"/>
  <c r="AH10" i="2" s="1"/>
  <c r="AV34" i="2" l="1"/>
  <c r="AT34" i="2"/>
  <c r="AR34" i="2"/>
  <c r="AP34" i="2"/>
  <c r="AV31" i="2" l="1"/>
  <c r="AV30" i="2"/>
  <c r="AP21" i="2" l="1"/>
  <c r="AN6" i="2" l="1"/>
  <c r="AT21" i="2"/>
  <c r="AL21" i="2"/>
  <c r="AR21" i="2" l="1"/>
  <c r="AJ21" i="2"/>
  <c r="AN30" i="2" l="1"/>
  <c r="AL32" i="2"/>
  <c r="AH21" i="2"/>
  <c r="AH32" i="2" s="1"/>
  <c r="AV32" i="2"/>
  <c r="AT32" i="2"/>
  <c r="AR32" i="2"/>
  <c r="AP32" i="2"/>
  <c r="AN32" i="2"/>
  <c r="AJ32" i="2"/>
  <c r="AT31" i="2" l="1"/>
  <c r="AR31" i="2"/>
  <c r="AP31" i="2"/>
  <c r="AN31" i="2"/>
  <c r="AL31" i="2"/>
  <c r="AJ31" i="2"/>
  <c r="AH31" i="2"/>
  <c r="AN22" i="2" l="1"/>
  <c r="AL22" i="2"/>
  <c r="AJ22" i="2"/>
  <c r="AH22" i="2"/>
  <c r="AF22" i="2"/>
  <c r="AB25" i="2" l="1"/>
  <c r="AB39" i="2" s="1"/>
  <c r="AD25" i="2"/>
  <c r="AD39" i="2" s="1"/>
  <c r="AD40" i="2" s="1"/>
  <c r="AD43" i="2" s="1"/>
  <c r="AD44" i="2" s="1"/>
  <c r="X25" i="2"/>
  <c r="X39" i="2" s="1"/>
  <c r="X40" i="2" s="1"/>
  <c r="X43" i="2" s="1"/>
  <c r="X44" i="2" s="1"/>
  <c r="Z25" i="2"/>
  <c r="Z39" i="2" s="1"/>
  <c r="AL25" i="2"/>
  <c r="AL39" i="2" s="1"/>
  <c r="AL40" i="2" s="1"/>
  <c r="AL43" i="2" s="1"/>
  <c r="AL44" i="2" s="1"/>
  <c r="AH25" i="2"/>
  <c r="AH39" i="2" s="1"/>
  <c r="AH40" i="2" s="1"/>
  <c r="AH43" i="2" s="1"/>
  <c r="AH44" i="2" s="1"/>
  <c r="AJ25" i="2"/>
  <c r="AJ39" i="2" s="1"/>
  <c r="AJ40" i="2" s="1"/>
  <c r="AJ43" i="2" s="1"/>
  <c r="AJ44" i="2" s="1"/>
  <c r="AF25" i="2"/>
  <c r="AF39" i="2" s="1"/>
  <c r="AF40" i="2" s="1"/>
  <c r="AF43" i="2" s="1"/>
  <c r="AF44" i="2" s="1"/>
  <c r="AN25" i="2"/>
  <c r="AN39" i="2" s="1"/>
  <c r="AN40" i="2" s="1"/>
  <c r="AN43" i="2" s="1"/>
  <c r="AN44" i="2" s="1"/>
  <c r="AH34" i="2"/>
  <c r="AJ34" i="2"/>
  <c r="AL34" i="2"/>
  <c r="AF34" i="2"/>
  <c r="AN34" i="2"/>
  <c r="AF32" i="2"/>
  <c r="AF31" i="2"/>
  <c r="R39" i="2" l="1"/>
  <c r="AN14" i="2"/>
  <c r="AH14" i="2" l="1"/>
  <c r="AJ14" i="2"/>
  <c r="AO5" i="2"/>
  <c r="AO6" i="2" s="1"/>
  <c r="AM5" i="2"/>
  <c r="AK5" i="2"/>
  <c r="AI5" i="2"/>
  <c r="AG5" i="2"/>
  <c r="AG6" i="2" s="1"/>
  <c r="AG14" i="2" s="1"/>
  <c r="AL27" i="2"/>
  <c r="AL33" i="2" s="1"/>
  <c r="AL35" i="2" s="1"/>
  <c r="AL48" i="2" s="1"/>
  <c r="AL49" i="2" s="1"/>
  <c r="AJ27" i="2"/>
  <c r="AJ33" i="2" s="1"/>
  <c r="AJ35" i="2" s="1"/>
  <c r="AJ48" i="2" s="1"/>
  <c r="AJ49" i="2" s="1"/>
  <c r="AH27" i="2"/>
  <c r="AH33" i="2" s="1"/>
  <c r="AH35" i="2" s="1"/>
  <c r="AH48" i="2" s="1"/>
  <c r="AH49" i="2" s="1"/>
  <c r="AO14" i="2" l="1"/>
  <c r="AI6" i="2"/>
  <c r="AI9" i="2"/>
  <c r="AI10" i="2" s="1"/>
  <c r="AI12" i="2" s="1"/>
  <c r="AI15" i="2" s="1"/>
  <c r="AM6" i="2"/>
  <c r="AM9" i="2"/>
  <c r="AM10" i="2" s="1"/>
  <c r="AK6" i="2"/>
  <c r="AK9" i="2"/>
  <c r="AK10" i="2" s="1"/>
  <c r="AK12" i="2" s="1"/>
  <c r="AK15" i="2" s="1"/>
  <c r="AU12" i="2"/>
  <c r="AU15" i="2" s="1"/>
  <c r="AU16" i="2" s="1"/>
  <c r="AV27" i="2"/>
  <c r="AV33" i="2" s="1"/>
  <c r="AV35" i="2" s="1"/>
  <c r="AV48" i="2" s="1"/>
  <c r="AV49" i="2" s="1"/>
  <c r="AR12" i="2"/>
  <c r="AR15" i="2" s="1"/>
  <c r="AR16" i="2" s="1"/>
  <c r="AQ12" i="2"/>
  <c r="AQ15" i="2" s="1"/>
  <c r="AQ16" i="2" s="1"/>
  <c r="AR27" i="2"/>
  <c r="AR33" i="2" s="1"/>
  <c r="AR35" i="2" s="1"/>
  <c r="AR48" i="2" s="1"/>
  <c r="AR49" i="2" s="1"/>
  <c r="AT12" i="2"/>
  <c r="AT15" i="2" s="1"/>
  <c r="AT16" i="2" s="1"/>
  <c r="AS12" i="2"/>
  <c r="AS15" i="2" s="1"/>
  <c r="AS16" i="2" s="1"/>
  <c r="AT27" i="2"/>
  <c r="AT33" i="2" s="1"/>
  <c r="AT35" i="2" s="1"/>
  <c r="AT48" i="2" s="1"/>
  <c r="AT49" i="2" s="1"/>
  <c r="AG12" i="2"/>
  <c r="AG15" i="2" s="1"/>
  <c r="AG16" i="2" s="1"/>
  <c r="AK14" i="2" l="1"/>
  <c r="AK16" i="2" s="1"/>
  <c r="AI14" i="2"/>
  <c r="AI16" i="2" s="1"/>
  <c r="AM14" i="2"/>
  <c r="AF10" i="2"/>
  <c r="AD12" i="2" l="1"/>
  <c r="AD15" i="2" s="1"/>
  <c r="AD16" i="2" s="1"/>
  <c r="AE12" i="2"/>
  <c r="AE15" i="2" s="1"/>
  <c r="AE16" i="2" s="1"/>
  <c r="AF27" i="2"/>
  <c r="AF33" i="2" l="1"/>
  <c r="AF35" i="2" s="1"/>
  <c r="AF48" i="2" s="1"/>
  <c r="AF49" i="2" s="1"/>
  <c r="AF14" i="2"/>
  <c r="AH12" i="2"/>
  <c r="AH15" i="2" s="1"/>
  <c r="AH16" i="2" s="1"/>
  <c r="AF12" i="2" l="1"/>
  <c r="AF15" i="2" s="1"/>
  <c r="AF16" i="2" s="1"/>
  <c r="AM12" i="2"/>
  <c r="AM15" i="2" s="1"/>
  <c r="AM16" i="2" s="1"/>
  <c r="AL12" i="2"/>
  <c r="AL15" i="2" s="1"/>
  <c r="AJ12" i="2"/>
  <c r="AJ15" i="2" s="1"/>
  <c r="AJ16" i="2" s="1"/>
  <c r="AN27" i="2"/>
  <c r="AN33" i="2" s="1"/>
  <c r="AN35" i="2" s="1"/>
  <c r="AN48" i="2" s="1"/>
  <c r="AN49" i="2" s="1"/>
  <c r="AO12" i="2"/>
  <c r="AO15" i="2" s="1"/>
  <c r="AO16" i="2" s="1"/>
  <c r="AP12" i="2"/>
  <c r="AP15" i="2" s="1"/>
  <c r="AP16" i="2" s="1"/>
  <c r="AP27" i="2"/>
  <c r="AP33" i="2" s="1"/>
  <c r="AP35" i="2" s="1"/>
  <c r="AP48" i="2" s="1"/>
  <c r="AP49" i="2" s="1"/>
  <c r="AN12" i="2"/>
  <c r="AN15" i="2" s="1"/>
  <c r="AN16" i="2" s="1"/>
  <c r="AL14" i="2"/>
  <c r="AL16" i="2" l="1"/>
  <c r="AB12" i="2"/>
  <c r="AB15" i="2" s="1"/>
  <c r="AC12" i="2"/>
  <c r="AC15" i="2" s="1"/>
  <c r="AC54" i="2" l="1"/>
  <c r="AB54" i="2" l="1"/>
  <c r="AC6" i="2" l="1"/>
  <c r="AC14" i="2" s="1"/>
  <c r="AC16" i="2" s="1"/>
  <c r="AB6" i="2"/>
  <c r="AB14" i="2" s="1"/>
  <c r="AB16" i="2" s="1"/>
  <c r="Z32" i="2" l="1"/>
  <c r="Z21" i="4"/>
  <c r="Z32" i="4" s="1"/>
  <c r="Z52" i="4" l="1"/>
  <c r="AA52" i="4" l="1"/>
  <c r="AA53" i="4"/>
  <c r="AA8" i="2" l="1"/>
  <c r="Z8" i="4"/>
  <c r="Z10" i="4" s="1"/>
  <c r="Z10" i="2"/>
  <c r="Z53" i="4"/>
  <c r="Z54" i="4" s="1"/>
  <c r="Z54" i="2"/>
  <c r="AA54" i="4"/>
  <c r="AA54" i="2"/>
  <c r="Y12" i="2" l="1"/>
  <c r="X12" i="2"/>
  <c r="W12" i="4"/>
  <c r="W15" i="4" s="1"/>
  <c r="W16" i="4" s="1"/>
  <c r="V15" i="4"/>
  <c r="V16" i="4" s="1"/>
  <c r="R15" i="2"/>
  <c r="R15" i="4" s="1"/>
  <c r="S15" i="2"/>
  <c r="S15" i="4"/>
  <c r="Z12" i="2"/>
  <c r="Z15" i="2" s="1"/>
  <c r="Z27" i="2"/>
  <c r="Z33" i="2" s="1"/>
  <c r="Z35" i="2" s="1"/>
  <c r="Z48" i="2" s="1"/>
  <c r="Z27" i="4"/>
  <c r="Z33" i="4" s="1"/>
  <c r="Z35" i="4" s="1"/>
  <c r="Z48" i="4" s="1"/>
  <c r="Z49" i="4" s="1"/>
  <c r="Z12" i="4"/>
  <c r="Z15" i="4" s="1"/>
  <c r="AA10" i="2"/>
  <c r="AA12" i="2" s="1"/>
  <c r="AA15" i="2" s="1"/>
  <c r="AA8" i="4"/>
  <c r="Y15" i="2" l="1"/>
  <c r="Y16" i="2" s="1"/>
  <c r="Y12" i="4"/>
  <c r="Y15" i="4" s="1"/>
  <c r="Y16" i="4" s="1"/>
  <c r="X15" i="2"/>
  <c r="X16" i="2" s="1"/>
  <c r="X12" i="4"/>
  <c r="X15" i="4" s="1"/>
  <c r="X16" i="4" s="1"/>
  <c r="AA10" i="4"/>
  <c r="AA12" i="4" s="1"/>
  <c r="AA15" i="4" s="1"/>
  <c r="Z49" i="2"/>
  <c r="Z4" i="4" l="1"/>
  <c r="AA4" i="4"/>
  <c r="Z5" i="4" l="1"/>
  <c r="Z6" i="2"/>
  <c r="Z14" i="2" s="1"/>
  <c r="Z16" i="2" s="1"/>
  <c r="AA5" i="4"/>
  <c r="AA6" i="2"/>
  <c r="AA14" i="2" s="1"/>
  <c r="AA16" i="2" s="1"/>
  <c r="Z6" i="4" l="1"/>
  <c r="Z14" i="4" s="1"/>
  <c r="Z16" i="4" s="1"/>
  <c r="AA6" i="4"/>
  <c r="AA14" i="4" s="1"/>
  <c r="AA16" i="4" s="1"/>
  <c r="Z38" i="4" l="1"/>
  <c r="Z40" i="4" s="1"/>
  <c r="Z40" i="2"/>
  <c r="Z43" i="4" l="1"/>
  <c r="Z44" i="4" s="1"/>
  <c r="Z43" i="2"/>
  <c r="Z44" i="2" s="1"/>
  <c r="AA40" i="2" l="1"/>
  <c r="AA43" i="2" s="1"/>
  <c r="AA44" i="2" s="1"/>
  <c r="AA38" i="4"/>
  <c r="AA40" i="4" s="1"/>
  <c r="AA43" i="4" s="1"/>
  <c r="AA44" i="4" s="1"/>
  <c r="AB40" i="2" l="1"/>
  <c r="AB43" i="2" s="1"/>
  <c r="AB44" i="2" s="1"/>
  <c r="AC40" i="2" l="1"/>
  <c r="AC43" i="2" l="1"/>
  <c r="AC44" i="2" s="1"/>
  <c r="S14" i="2" l="1"/>
  <c r="S16" i="2" s="1"/>
  <c r="S5" i="4"/>
  <c r="R5" i="4"/>
  <c r="R6" i="4" s="1"/>
  <c r="R6" i="2"/>
  <c r="R14" i="2" s="1"/>
  <c r="R16" i="2" s="1"/>
  <c r="S6" i="4" l="1"/>
  <c r="S14" i="4" s="1"/>
  <c r="S16" i="4" s="1"/>
  <c r="R16" i="4"/>
  <c r="R14" i="4"/>
  <c r="S40" i="2" l="1"/>
  <c r="S38" i="4"/>
  <c r="S40" i="4" s="1"/>
  <c r="S43" i="4" s="1"/>
  <c r="S44" i="4" s="1"/>
  <c r="R38" i="4" l="1"/>
  <c r="R40" i="4" s="1"/>
  <c r="R40" i="2"/>
  <c r="S43" i="2"/>
  <c r="S44" i="2" s="1"/>
  <c r="R43" i="2" l="1"/>
  <c r="R43" i="4" l="1"/>
  <c r="R44" i="4" s="1"/>
  <c r="R44" i="2"/>
  <c r="J32" i="2" l="1"/>
  <c r="J21" i="4"/>
  <c r="J32" i="4" s="1"/>
  <c r="K8" i="2" l="1"/>
  <c r="J8" i="4"/>
  <c r="J10" i="4" s="1"/>
  <c r="J27" i="4" s="1"/>
  <c r="J33" i="4" s="1"/>
  <c r="J35" i="4" s="1"/>
  <c r="J48" i="4" s="1"/>
  <c r="J49" i="4" s="1"/>
  <c r="J10" i="2"/>
  <c r="H12" i="2" l="1"/>
  <c r="H12" i="4" s="1"/>
  <c r="F12" i="2"/>
  <c r="F15" i="2" s="1"/>
  <c r="F16" i="2" s="1"/>
  <c r="J12" i="2"/>
  <c r="K10" i="2"/>
  <c r="K8" i="4"/>
  <c r="K10" i="4" s="1"/>
  <c r="J27" i="2"/>
  <c r="J33" i="2" s="1"/>
  <c r="J35" i="2" s="1"/>
  <c r="I12" i="2" l="1"/>
  <c r="I12" i="4" s="1"/>
  <c r="G12" i="2"/>
  <c r="G15" i="2" s="1"/>
  <c r="G16" i="2" s="1"/>
  <c r="K12" i="2"/>
  <c r="K15" i="2" s="1"/>
  <c r="J48" i="2"/>
  <c r="J49" i="2" s="1"/>
  <c r="J12" i="4"/>
  <c r="J15" i="2"/>
  <c r="K12" i="4" l="1"/>
  <c r="J16" i="2"/>
  <c r="J15" i="4"/>
  <c r="J16" i="4" s="1"/>
  <c r="K16" i="2"/>
  <c r="K15" i="4"/>
  <c r="K16" i="4" s="1"/>
  <c r="J38" i="4" l="1"/>
  <c r="J40" i="4" s="1"/>
  <c r="J40" i="2"/>
  <c r="J43" i="2" l="1"/>
  <c r="J44" i="2" s="1"/>
  <c r="J43" i="4" l="1"/>
  <c r="J44" i="4" s="1"/>
  <c r="D28" i="4" l="1"/>
  <c r="E5" i="4" l="1"/>
  <c r="D5" i="4"/>
  <c r="D21" i="4" l="1"/>
  <c r="D9" i="4" l="1"/>
  <c r="E9" i="2"/>
  <c r="E9" i="4" s="1"/>
  <c r="D30" i="4" l="1"/>
  <c r="D29" i="4"/>
  <c r="D20" i="4" l="1"/>
  <c r="D53" i="4" l="1"/>
  <c r="D62" i="2" l="1"/>
  <c r="C63" i="2" s="1"/>
  <c r="D57" i="4"/>
  <c r="D59" i="2"/>
  <c r="E77" i="2"/>
  <c r="E76" i="4"/>
  <c r="E53" i="4"/>
  <c r="E77" i="4" l="1"/>
  <c r="E79" i="4" s="1"/>
  <c r="E79" i="2"/>
  <c r="D77" i="2"/>
  <c r="D76" i="4"/>
  <c r="D10" i="2"/>
  <c r="D8" i="4"/>
  <c r="D10" i="4" s="1"/>
  <c r="D27" i="4" s="1"/>
  <c r="E8" i="2"/>
  <c r="D64" i="2"/>
  <c r="D66" i="2" s="1"/>
  <c r="E62" i="2"/>
  <c r="E64" i="2" s="1"/>
  <c r="E66" i="2" s="1"/>
  <c r="D52" i="4"/>
  <c r="D54" i="4" s="1"/>
  <c r="D54" i="2"/>
  <c r="D62" i="4"/>
  <c r="C63" i="4" s="1"/>
  <c r="D59" i="4"/>
  <c r="D12" i="2" l="1"/>
  <c r="D27" i="2"/>
  <c r="D64" i="4"/>
  <c r="D66" i="4" s="1"/>
  <c r="E62" i="4"/>
  <c r="E64" i="4" s="1"/>
  <c r="E66" i="4" s="1"/>
  <c r="D77" i="4"/>
  <c r="D79" i="4" s="1"/>
  <c r="D79" i="2"/>
  <c r="E52" i="4"/>
  <c r="E54" i="4" s="1"/>
  <c r="E54" i="2"/>
  <c r="E4" i="4"/>
  <c r="E6" i="4" s="1"/>
  <c r="E6" i="2"/>
  <c r="E14" i="2" s="1"/>
  <c r="E10" i="2"/>
  <c r="E8" i="4"/>
  <c r="E10" i="4" s="1"/>
  <c r="E12" i="2" l="1"/>
  <c r="E15" i="2" s="1"/>
  <c r="E15" i="4" s="1"/>
  <c r="E12" i="4"/>
  <c r="E14" i="4"/>
  <c r="D15" i="2"/>
  <c r="D15" i="4" s="1"/>
  <c r="D12" i="4"/>
  <c r="E16" i="2" l="1"/>
  <c r="D4" i="4"/>
  <c r="D6" i="4" s="1"/>
  <c r="D6" i="2"/>
  <c r="D14" i="2" s="1"/>
  <c r="E16" i="4"/>
  <c r="D14" i="4" l="1"/>
  <c r="D16" i="4" s="1"/>
  <c r="D16" i="2"/>
  <c r="D19" i="4" l="1"/>
  <c r="D32" i="2"/>
  <c r="D31" i="2"/>
  <c r="D33" i="2" l="1"/>
  <c r="D35" i="2" s="1"/>
  <c r="D48" i="2" s="1"/>
  <c r="D49" i="2" s="1"/>
  <c r="D32" i="4"/>
  <c r="D31" i="4"/>
  <c r="D33" i="4" l="1"/>
  <c r="D35" i="4" s="1"/>
  <c r="D48" i="4" s="1"/>
  <c r="D49" i="4" s="1"/>
  <c r="D40" i="2"/>
  <c r="D38" i="4"/>
  <c r="D40" i="4" s="1"/>
  <c r="D43" i="2" l="1"/>
  <c r="D44" i="2" l="1"/>
  <c r="D43" i="4"/>
  <c r="D44" i="4" s="1"/>
  <c r="E40" i="2" l="1"/>
  <c r="E38" i="4"/>
  <c r="E40" i="4" s="1"/>
  <c r="E43" i="2" l="1"/>
  <c r="E44" i="2" l="1"/>
  <c r="E43" i="4"/>
  <c r="E44" i="4" s="1"/>
  <c r="B19" i="4" l="1"/>
  <c r="B21" i="4" l="1"/>
  <c r="B32" i="4" s="1"/>
  <c r="B32" i="2"/>
  <c r="C9" i="2" l="1"/>
  <c r="C9" i="4" s="1"/>
  <c r="B9" i="4"/>
  <c r="B30" i="4" l="1"/>
  <c r="B29" i="4"/>
  <c r="B20" i="4" l="1"/>
  <c r="B31" i="4" s="1"/>
  <c r="B31" i="2"/>
  <c r="B76" i="4" l="1"/>
  <c r="B77" i="2"/>
  <c r="C76" i="4"/>
  <c r="C77" i="2"/>
  <c r="B59" i="2"/>
  <c r="B57" i="4"/>
  <c r="B62" i="2"/>
  <c r="C79" i="2" l="1"/>
  <c r="C77" i="4"/>
  <c r="C79" i="4" s="1"/>
  <c r="B64" i="2"/>
  <c r="B66" i="2" s="1"/>
  <c r="C62" i="2"/>
  <c r="C64" i="2" s="1"/>
  <c r="C66" i="2" s="1"/>
  <c r="B52" i="4"/>
  <c r="B62" i="4"/>
  <c r="B59" i="4"/>
  <c r="B79" i="2"/>
  <c r="B77" i="4"/>
  <c r="B79" i="4" s="1"/>
  <c r="C52" i="4"/>
  <c r="C53" i="4"/>
  <c r="B53" i="4"/>
  <c r="C54" i="2" l="1"/>
  <c r="C54" i="4"/>
  <c r="C62" i="4"/>
  <c r="C64" i="4" s="1"/>
  <c r="C66" i="4" s="1"/>
  <c r="B64" i="4"/>
  <c r="B66" i="4" s="1"/>
  <c r="B54" i="2"/>
  <c r="B8" i="4"/>
  <c r="B10" i="4" s="1"/>
  <c r="B27" i="4" s="1"/>
  <c r="B33" i="4" s="1"/>
  <c r="B35" i="4" s="1"/>
  <c r="B48" i="4" s="1"/>
  <c r="B49" i="4" s="1"/>
  <c r="C8" i="2"/>
  <c r="B10" i="2"/>
  <c r="B12" i="2" s="1"/>
  <c r="B54" i="4"/>
  <c r="B27" i="2" l="1"/>
  <c r="B33" i="2" s="1"/>
  <c r="B35" i="2" s="1"/>
  <c r="C8" i="4"/>
  <c r="C10" i="4" s="1"/>
  <c r="C10" i="2"/>
  <c r="C12" i="2" s="1"/>
  <c r="B48" i="2" l="1"/>
  <c r="B49" i="2" s="1"/>
  <c r="C12" i="4"/>
  <c r="C15" i="2"/>
  <c r="C15" i="4" s="1"/>
  <c r="B15" i="2"/>
  <c r="B15" i="4" s="1"/>
  <c r="B12" i="4"/>
  <c r="C6" i="2" l="1"/>
  <c r="C14" i="2" s="1"/>
  <c r="C4" i="4"/>
  <c r="C6" i="4" s="1"/>
  <c r="C14" i="4" l="1"/>
  <c r="C16" i="4" s="1"/>
  <c r="C16" i="2"/>
  <c r="B6" i="2"/>
  <c r="B14" i="2" s="1"/>
  <c r="B4" i="4"/>
  <c r="B6" i="4" s="1"/>
  <c r="B14" i="4" l="1"/>
  <c r="B16" i="4" s="1"/>
  <c r="B16" i="2"/>
  <c r="B38" i="4" l="1"/>
  <c r="B40" i="4" s="1"/>
  <c r="B40" i="2"/>
  <c r="B43" i="2" l="1"/>
  <c r="B44" i="2" s="1"/>
  <c r="B43" i="4" l="1"/>
  <c r="B44" i="4" s="1"/>
  <c r="K38" i="4" l="1"/>
  <c r="K40" i="4" s="1"/>
  <c r="K40" i="2"/>
  <c r="K43" i="2" s="1"/>
  <c r="C38" i="4"/>
  <c r="C40" i="4" s="1"/>
  <c r="C40" i="2"/>
  <c r="C43" i="2" l="1"/>
  <c r="C44" i="2" s="1"/>
  <c r="K44" i="2"/>
  <c r="K43" i="4"/>
  <c r="K44" i="4" s="1"/>
  <c r="C43" i="4" l="1"/>
  <c r="C44" i="4" s="1"/>
</calcChain>
</file>

<file path=xl/sharedStrings.xml><?xml version="1.0" encoding="utf-8"?>
<sst xmlns="http://schemas.openxmlformats.org/spreadsheetml/2006/main" count="298" uniqueCount="281">
  <si>
    <t xml:space="preserve">Alternative resultatmål i SMN med definisjoner: </t>
  </si>
  <si>
    <t>Innskuddsdekning inkl. SB1 Boligkreditt og SB1 Næringskreditt</t>
  </si>
  <si>
    <t>Utlånsvekst (bto.) siste 12 mnd (inkl SB1 Boligkreditt og SB1 Næringskreditt)</t>
  </si>
  <si>
    <t>Tapsprosent utlån</t>
  </si>
  <si>
    <t>Bokført egenkapital per EKB (inkl. utbytte)</t>
  </si>
  <si>
    <t>Pris / Resultat per EKB</t>
  </si>
  <si>
    <t>Pris / Bokført egenkapital</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</si>
  <si>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(se definisjonen av dette nøkkeltallet over). </t>
  </si>
  <si>
    <t>Begrunnelse og definisjon</t>
  </si>
  <si>
    <t xml:space="preserve">Alternative Resultatmål (APM'er) </t>
  </si>
  <si>
    <t xml:space="preserve">Nøkkeltall som er regulert i IFRS eller annet lovgivning er ikke regnet som alternative resultatmål. Det samme gjelder for ikke-finansiell informasjon. SpareBank 1  SMN sine alternative resultatmål er presentert i oversikten over hovedtall, og i styrets beretning. Alle APM-er presenteres med sammenligningstall. APM'ene som nevnt under har vært brukt konsistent over tid. </t>
  </si>
  <si>
    <t xml:space="preserve">Kostnadsprosent er inkludert for å gi informasjon om korrelasjonen mellom inntekter og kostnader, og er vurdert å være et av SpareBank 1 SMN's  viktigste finansielle måltall. Beregnes som sum driftskostnader dividert med sum inntekter. </t>
  </si>
  <si>
    <t>Måltallet for innskuddsdekning gir relevant informasjon om SpareBank 1 SMNs likviditet. Innskuddsdekning beregnes som Innskudd fra kunder dividert med sum utlån inkludert lån solgt til SpareBank 1 Bolig- og SpareBank 1 Næringskreditt ved utløpet av perioden.</t>
  </si>
  <si>
    <t xml:space="preserve">Utlånsvekst siste 12 måneder er et resultatmål som gir relevant informasjon om aktiviteten og veksten i bankens utlånsvirksomhet.  Banken benytter kredittforetakene som finansieringskilde, og nøkkeltallet inkluderer lån solgt til kredittforetakene fordi dette bedre reflekterer aktiviteten og veksten i utlånsvirksomheten enn om disse lånene er ekskludert. Nøkkeltallet er beregnet som Brutto utlån inkludert lån solgt til SpareBank 1 Bolig- og SpareBank 1 Næringskreditt ved utløpet av perioden minus Brutto utlån inkludert lån solgt til SpareBank 1 Bolig- og SpareBank 1 Næringskreditt ved starten av perioden dividert på Brutto utlån inkludert lån solgt til SpareBank 1 Bolig- og SpareBank 1 Næringskreditt ved  starten av perioden. </t>
  </si>
  <si>
    <t xml:space="preserve">Nøkkeltallet angir resultatført tapskostnad som funksjon av brutto utlån inkludert lån overført til kredittforetak. Tallet beregnes som Tap resultatført i perioden dividert med Brutto utlån inkludert lån solgt til SpareBank 1 Bolig- og SpareBank 1 Næringskreditt ved utløpet av perioden. Ved opplysninger om tapsprosent for kortere perioder enn hele år, blir resultatført tapskostnad annualisert. </t>
  </si>
  <si>
    <t xml:space="preserve">SpareBank 1 SMN presenterer alternative resultatmål (APM'er) som gir nyttig informasjon for å supplere regnskapet. Målene er ikke definert i IFRS og er ikke nødvendigvis direkte sammenlignbare med andre selskapers resultatmål. APM'er er ikke ment å erstatte eller overskygge regnskapstallene, men er inkludert i våre rapporter for å gi innsikt og forståelse for SpareBank 1 SMN sin resultatoppnåelse og representerer viktige måltall for hvordan ledelsen styrer selskapene og aktivitetene i konsernet.  </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</si>
  <si>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</si>
  <si>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</si>
  <si>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EK avkastning gir relevant informasjon om SpareBank 1 SMN's lønnsomhet ved å måle evne til å genere lønnsomhet fra aksjonærens investering. EK-avkastning er et av SpareBank 1 SMN's viktigste finansielle måltall, og beregnes som aksjonærenes andel av resultatet for perioden delt på gjennomsnittlig egenkapital, fratrukket hybridkapital (fondsobligasjoner klassifisert som egenkapital).</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</si>
  <si>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</si>
  <si>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</si>
  <si>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</si>
  <si>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</si>
  <si>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</si>
  <si>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</si>
  <si>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</si>
  <si>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</si>
  <si>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</si>
  <si>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Delt på snitt egenkapital eks. hybridkapital</t>
  </si>
  <si>
    <t>4. kvt 17</t>
  </si>
  <si>
    <t>3. kvt 17</t>
  </si>
  <si>
    <t>2. kvt 17</t>
  </si>
  <si>
    <t>1. kvt 17</t>
  </si>
  <si>
    <t>4. kvt 16</t>
  </si>
  <si>
    <t>3. kvt 16</t>
  </si>
  <si>
    <t>2. kvt 16</t>
  </si>
  <si>
    <t>1. kvt 16</t>
  </si>
  <si>
    <t>Periodens res. annualisert Eks. renter hybridkapital</t>
  </si>
  <si>
    <t>Fratrukket ikke-kontrollerende eierinteresser</t>
  </si>
  <si>
    <t>Fratrukket avsatt gaver</t>
  </si>
  <si>
    <t>Fratrukket grunnfondskapital</t>
  </si>
  <si>
    <t>Egenkapitalbevisbrøk</t>
  </si>
  <si>
    <t>Egenkapitalbeviseiernes andel av egenkapitalen</t>
  </si>
  <si>
    <t>Totalt annen egenkapital</t>
  </si>
  <si>
    <t>Totalt fond for urealiserte gevinster</t>
  </si>
  <si>
    <t>Fratrukket grunnfondets andel av fond for urealiserte gevinster (sum multiplisert med brøk)</t>
  </si>
  <si>
    <t>Fratrukket grunnfondets andel av annen egenkapital (sum multiplisert med brøk)</t>
  </si>
  <si>
    <t>Bokført egenkapital per egenkapitalbevis</t>
  </si>
  <si>
    <t>Børskurs</t>
  </si>
  <si>
    <t>Resultat per egenkapitalbevis</t>
  </si>
  <si>
    <t>Delt på bokført egenkapital per egenkapitalbevis</t>
  </si>
  <si>
    <t>Pris / Bokført egenkapital per egenkapitalbevis</t>
  </si>
  <si>
    <t>4. kvt 15</t>
  </si>
  <si>
    <t>Sum driftskostnader</t>
  </si>
  <si>
    <t>delt på sum inntekter</t>
  </si>
  <si>
    <t>Kostnadsprosent</t>
  </si>
  <si>
    <t>Delt på resultat per egenkapitalbevis, annualisert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</si>
  <si>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</si>
  <si>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</si>
  <si>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</si>
  <si>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</si>
  <si>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Antall utstedte bevis (hele kr)</t>
  </si>
  <si>
    <t>Delt på antall egenkapitalbevis (hele kr)</t>
  </si>
  <si>
    <t>Tap på utlån og garantier i resultatet</t>
  </si>
  <si>
    <t>Delt på snitt. Brutto utlån til kunder inkl. SB1 Boligkreditt og SB1 Næringskreditt</t>
  </si>
  <si>
    <t>Tapsprosent utlån til kunder</t>
  </si>
  <si>
    <t>GROUP</t>
  </si>
  <si>
    <t>Profit for the period</t>
  </si>
  <si>
    <t>Deduct interest hybrid capital</t>
  </si>
  <si>
    <t>Profit for the period  excl. Interest hybrid capital</t>
  </si>
  <si>
    <t>Total Equity</t>
  </si>
  <si>
    <t>Deduct hybrid capital</t>
  </si>
  <si>
    <t>Equity  excl hybrid capital</t>
  </si>
  <si>
    <t>Average equity excl. Hybrid capital</t>
  </si>
  <si>
    <t>Profit for the period, annualised excl. Interest hybrid capital</t>
  </si>
  <si>
    <t>Divided by average equity excl. Hybrid capital</t>
  </si>
  <si>
    <t xml:space="preserve">Return on Equity </t>
  </si>
  <si>
    <t>Equity Capital Certificate Ratio</t>
  </si>
  <si>
    <t>Unrealised gains reserve</t>
  </si>
  <si>
    <t>Total other equity</t>
  </si>
  <si>
    <t xml:space="preserve">Deduct non-controlling interests </t>
  </si>
  <si>
    <t>Deduct gifts</t>
  </si>
  <si>
    <t>Deduct Savings Bank's reserve</t>
  </si>
  <si>
    <t xml:space="preserve">Deduct Savings Bank's reserve share of Unrealised gains reserve (Total multiplied by ECC Ratio) </t>
  </si>
  <si>
    <t xml:space="preserve">Deduct Savings Bank's reserve share of Other Equity (Total multiplied by ECC Ratio) </t>
  </si>
  <si>
    <t xml:space="preserve">Equity Capital Certificate holder's share of Equity </t>
  </si>
  <si>
    <t xml:space="preserve">Divided by number of Equity Certificates Issued </t>
  </si>
  <si>
    <t>Net Profit per Equity Certificate</t>
  </si>
  <si>
    <t xml:space="preserve">Cost-income ratio </t>
  </si>
  <si>
    <t>Gross loans to customers incl. SB1 Boligkreditt and SB1 Næringskreditt end of period</t>
  </si>
  <si>
    <t>Growth in loans (gross) last 12 months (incl. SB1 Boligkreditt and SB1 Næringskreditt)</t>
  </si>
  <si>
    <t>Growth in loans (gross) last 12 months (incl. SB1 Boligkreditt and SB1 Næringskreditt), in percentages</t>
  </si>
  <si>
    <t>Deposits from customers</t>
  </si>
  <si>
    <t>Divided by Gross loans to customers incl. SB1 Boligkreditt and SB1 Næringskreditt end of period</t>
  </si>
  <si>
    <t>Deposit-to-loan ratio incl. SB1 Boligkreditt and SB1 Næringskreditt</t>
  </si>
  <si>
    <t>Price-Book Value Ratio</t>
  </si>
  <si>
    <t>Booked equity capital per ECC</t>
  </si>
  <si>
    <t>Stock Price</t>
  </si>
  <si>
    <t>Divided by Net Profit per Equity Certificate, annualised</t>
  </si>
  <si>
    <t>Price-Earnings Ratio</t>
  </si>
  <si>
    <t>Divided by Booked equity capital per ECC</t>
  </si>
  <si>
    <t>Total operating expenses</t>
  </si>
  <si>
    <t>Divided by total Revenues</t>
  </si>
  <si>
    <t>Impairment losses ratio</t>
  </si>
  <si>
    <t>Losses on loans and guarantees</t>
  </si>
  <si>
    <t>Losses on loans, annualised</t>
  </si>
  <si>
    <t>Divided by average Gross Loans to customers incl. SB1 Boligkreditt and SB1 Næringskreditt</t>
  </si>
  <si>
    <t>Alternative performance measures at SpareBank 1 SMN with definitions:</t>
  </si>
  <si>
    <t>Justification and definition</t>
  </si>
  <si>
    <t>Book equity per ECC (including dividend)</t>
  </si>
  <si>
    <t xml:space="preserve">This key figure provides information on the value of book per equity capital certificate (ECC). This enables the reader to assess the reasonableness of the market price of the ECC. Book equity per ECC is calculated as the ECCs’ share of equity capital at period-end divided by the number of ECCs. </t>
  </si>
  <si>
    <t>Price / earnings per ECC</t>
  </si>
  <si>
    <t>This key figure provides information on the value of book equity per ECC against the market price at a given point in time, enabling an assessment of the reasonableness of the market price of the ECC. It is calculated as market price per ECC divided by book equity per ECC (see the definition of this key figure above).</t>
  </si>
  <si>
    <t>Cost ratio is included to provide information on the correlation between incomes and costs, and is considered to be one of SpareBank 1 SMN’s most important performance measures. It is calculated as the total operating costs divided by the total incomes.</t>
  </si>
  <si>
    <t xml:space="preserve">This ratio provides relevant information on SpareBank 1 SMN’s liquidity position. It is calculated as customer deposits divided by total loans incl. loans sold to SpareBank 1 Boligkreditt and SpareBank 1 Næringskreditt at period-end. </t>
  </si>
  <si>
    <t>Lending growth (gross) in last 12 months (incl. SpareBank 1 Boligkreditt and SpareBank 1 Næringskreditt)</t>
  </si>
  <si>
    <t>Loan-loss ratio</t>
  </si>
  <si>
    <t xml:space="preserve">SpareBank 1 SMN hereby presents alternative performance measures (APMs) providing useful information as a supplement to financial statements. The measures are not defined under IFRS and may not be directly comparable with other companies’ alternate performance measures. APMs are not intended to replace or overshadow accounting data. They are included in our reports to provide an insight into, and understanding of, results achieved by SpareBank 1 SMN, and are important measures of the management’s governance of the group companies and of the Group as a whole. </t>
  </si>
  <si>
    <t xml:space="preserve">Alternative Performance Measures (APM) </t>
  </si>
  <si>
    <t>Issued equity Certificates, average</t>
  </si>
  <si>
    <t>YTD 31.12.2017</t>
  </si>
  <si>
    <t>YTD 30.09.2017</t>
  </si>
  <si>
    <t>YTD 30.06.2017</t>
  </si>
  <si>
    <t>YTD 31.03.2017</t>
  </si>
  <si>
    <t>YTD 31.12.2016</t>
  </si>
  <si>
    <t>YTD 30.09.2016</t>
  </si>
  <si>
    <t>YTD 30.06.2016</t>
  </si>
  <si>
    <t>YTD 31.03.2016</t>
  </si>
  <si>
    <t>YTD 31.12.2015</t>
  </si>
  <si>
    <t>4Q 17</t>
  </si>
  <si>
    <t>3Q 17</t>
  </si>
  <si>
    <t>2Q 17</t>
  </si>
  <si>
    <t>1Q 17</t>
  </si>
  <si>
    <t>4Q 16</t>
  </si>
  <si>
    <t>3Q 16</t>
  </si>
  <si>
    <t>2Q 16</t>
  </si>
  <si>
    <t>1Q 16</t>
  </si>
  <si>
    <t>4Q 15</t>
  </si>
  <si>
    <t>Egenbeholdning SB1 Markets</t>
  </si>
  <si>
    <t>Egenbeholdning SB 1 SMN</t>
  </si>
  <si>
    <t>Own certificates SB1 SMN</t>
  </si>
  <si>
    <t>Own certificates SB1 Markets</t>
  </si>
  <si>
    <t>Resultat til egenkapitalbeviseiere</t>
  </si>
  <si>
    <t>Snitt antall utstedte bevis</t>
  </si>
  <si>
    <t>Issued equity Certificates</t>
  </si>
  <si>
    <t>Profit attributable to Equity capital certificate holders</t>
  </si>
  <si>
    <t>Divided by issued equity Certificates, average</t>
  </si>
  <si>
    <t>Delt på snitt antall utstedte bevis</t>
  </si>
  <si>
    <t>Egenkapitalavkastning</t>
  </si>
  <si>
    <t>Return on equity</t>
  </si>
  <si>
    <t>Cost ratio</t>
  </si>
  <si>
    <t>1. kvt 18</t>
  </si>
  <si>
    <t>YTD 31.03.2018</t>
  </si>
  <si>
    <t>1Q 18</t>
  </si>
  <si>
    <t>2. kvt 18</t>
  </si>
  <si>
    <t>YTD 30.06.2018</t>
  </si>
  <si>
    <t>2Q 18</t>
  </si>
  <si>
    <t>Tap på utlån annualisert</t>
  </si>
  <si>
    <t>3. kvt 18</t>
  </si>
  <si>
    <t>YTD 30.09.2018</t>
  </si>
  <si>
    <t>3Q 18</t>
  </si>
  <si>
    <t>YTD 31.12.2018</t>
  </si>
  <si>
    <t>4Q 18</t>
  </si>
  <si>
    <t>4. kvt 18</t>
  </si>
  <si>
    <t>Innskudd fra kunder ved utgangen av perioden</t>
  </si>
  <si>
    <t>Innskuddsvekst (mill)</t>
  </si>
  <si>
    <t>Innskuddsvekst siste 12 mnd</t>
  </si>
  <si>
    <t xml:space="preserve">Informasjon om aktiviteten og veksten i konsernets innskuddsvirksomhet.  Nøkkeltallet er beregnet som Innskudd fra kunder ved utløpet av perioden minus Innskudd fra kunder ved starten av perioden, dividert på Innskudd fra kunder ved starten av perioden. </t>
  </si>
  <si>
    <t>3 måneders pengemarkedsrenter (Nibor), mill kroner</t>
  </si>
  <si>
    <t>Utlånsmargin Næringsliv, prosent</t>
  </si>
  <si>
    <t>Renter på Utlån til Privatmarked, mill kroner</t>
  </si>
  <si>
    <t>Snitt utlånsvolum Privatmarked, mill kroner</t>
  </si>
  <si>
    <t>Renter på Innskudd til Næringsliv</t>
  </si>
  <si>
    <t>Snitt innskuddsvolum Næringsliv, mill kroner</t>
  </si>
  <si>
    <t>Renter på Innskudd til Privatmarked, mill kroner</t>
  </si>
  <si>
    <t>Rentemargin på innskudd i Privatmarked, mill kroner</t>
  </si>
  <si>
    <t>Snitt innskuddsvolum Privatmarked, mill kroner</t>
  </si>
  <si>
    <r>
      <t xml:space="preserve">Key figures and ratios regulated under </t>
    </r>
    <r>
      <rPr>
        <sz val="11"/>
        <color rgb="FF000000"/>
        <rFont val="Calibri"/>
        <family val="2"/>
        <scheme val="minor"/>
      </rPr>
      <t>IFRS</t>
    </r>
    <r>
      <rPr>
        <sz val="11"/>
        <color theme="1"/>
        <rFont val="Calibri"/>
        <family val="2"/>
        <scheme val="minor"/>
      </rPr>
      <t xml:space="preserve"> or other legislation are not regarded as APMs. The same is true of non-financial information. SpareBank 1 SMN’s alternative performance measures are presented in the Overview of Main Figures, and in the Report of the </t>
    </r>
    <r>
      <rPr>
        <sz val="11"/>
        <color rgb="FF000000"/>
        <rFont val="Calibri"/>
        <family val="2"/>
        <scheme val="minor"/>
      </rPr>
      <t xml:space="preserve">Board of Directors. All APMs are presented with comparatives. All APMs referred to below have been applied consistently over time. </t>
    </r>
  </si>
  <si>
    <r>
      <t xml:space="preserve">Growth in lending over the last 12 months is a performance measure that provides relevant information on the level of activity of and growth in the bank’s lending business. The bank uses </t>
    </r>
    <r>
      <rPr>
        <sz val="11"/>
        <color rgb="FF000000"/>
        <rFont val="Calibri"/>
        <family val="2"/>
        <scheme val="minor"/>
      </rPr>
      <t xml:space="preserve">mortgage companies as a source of funding, and this key figure includes loans sold to the mortgage companies since this better reflects the level of activity and growth in lending than if these loans were excluded. Lending growth is calculated as gross loans incl. loans sold to SpareBank 1 Boligkreditt and SpareBank 1 Næringskreditt at period-end minus gross loans incl. loans sold to SpareBank 1 Boligkreditt and SpareBank 1 Næringskreditt at period-start divided by gross loans incl. loans sold to SpareBank 1 Boligkreditt and SpareBank 1 Næringskreditt at the start of the period. </t>
    </r>
  </si>
  <si>
    <r>
      <t xml:space="preserve">This key figure indicates recognised impairment cost as a function of gross loans incl. loans transferred to </t>
    </r>
    <r>
      <rPr>
        <sz val="11"/>
        <color rgb="FF000000"/>
        <rFont val="Calibri"/>
        <family val="2"/>
        <scheme val="minor"/>
      </rPr>
      <t>mortgage companies. The figure is calculated as loss recognised in the period divided by gross loans incl. loans sold to SpareBank 1 Boligkreditt and SpareBank 1 Næringskreditt at period-end. Where information is disclosed on loan-loss ratios for periods shorter than one year, the ratios are annualised for recognition purposes.</t>
    </r>
  </si>
  <si>
    <r>
      <t xml:space="preserve">Return on equity (ROE) provides relevant information about SpareBank 1 SMN’ </t>
    </r>
    <r>
      <rPr>
        <sz val="11"/>
        <color rgb="FF000000"/>
        <rFont val="Calibri"/>
        <family val="2"/>
        <scheme val="minor"/>
      </rPr>
      <t>profitability by measuring its ability to generate profit from the shareholder’s investment. ROE is one of SpareBank 1 SMN’ most important APMs, and is calculated as the shareholder’s portion of the profit for the period divided by average equity capital, less hybrid capital (debt-equity hybrids classified as equity capital).</t>
    </r>
  </si>
  <si>
    <t>Price / book equity</t>
  </si>
  <si>
    <t>Renter på Utlån til Næringsliv, mill kroner</t>
  </si>
  <si>
    <t>Dager per kvartal</t>
  </si>
  <si>
    <t>3 måneders Nibor, prosent</t>
  </si>
  <si>
    <t>Rentemargin på utlån i Næringsliv, mill kroner</t>
  </si>
  <si>
    <t>Snitt utlånsvolum Næringsliv, mill kroner</t>
  </si>
  <si>
    <t>Rentemargin på innskudd i Næringsliv, mill kroner</t>
  </si>
  <si>
    <t>Rentemargin på utlån i Privatmarked, mill kroner</t>
  </si>
  <si>
    <t>Utlånsmargin Privatmarked, prosent</t>
  </si>
  <si>
    <t>Innskuddsmargin Næringsliv</t>
  </si>
  <si>
    <t>Innskuddsmargin Privatmarked, prosent</t>
  </si>
  <si>
    <t>Utlånsmargin Bedriftsmarked og Personmarked, inkludert utlån solgt til SpareBank 1 Boligkreditt (SB1 BK) og SpareBank 1 Næringskreditt (SB1 NK)</t>
  </si>
  <si>
    <t>Utlånsmarginen gir informasjon om konsernets netto renteinntekter ved å måle rentemarginen relativt til 3 måneders pengemarkedsrente.  Konsernet benytter kredittforetak som finansieringskilde, og utlånsmarginene er inkludert renteinntekter på utlån solgt til SB1 BK og SB1 NK, da dette best reflekterer konsernets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t>
  </si>
  <si>
    <t>Lending margin provide information about the group net interest income, by measuring the interest margin relative to the 3 month money market rate. The group utilises SpareBank1 Boligkreditt and SpareBank1 Næringskreditt as a funding source, og the lending margins therefore include interest income on loans sold to these companies as this better reflects the Group revenue on total loans. The lending margin has been calculated as net interest income on loans including interest income from SB1 BK and SB1 NK, deducted interest cost equivalent to 3 month money market rate, divided by average loans for the period including loans sold to SB1 BK and SB1 NK.</t>
  </si>
  <si>
    <t>Growth in deposits (NOKm)</t>
  </si>
  <si>
    <t>Deposit from customers end of period</t>
  </si>
  <si>
    <t>Interest on loans to Corporates (NOKm)</t>
  </si>
  <si>
    <t>3 month money market interest (Nibor), NOKm</t>
  </si>
  <si>
    <t>Interest margin on loans to Corporate, NOKm</t>
  </si>
  <si>
    <t>Average loans outstanding Corporate, NOKm</t>
  </si>
  <si>
    <t>3 month Nibor, percentage</t>
  </si>
  <si>
    <t>Number of days in quarter</t>
  </si>
  <si>
    <t>Lending Margin Corporate, percentage</t>
  </si>
  <si>
    <t>Interest on loans to Retail (NOKm)</t>
  </si>
  <si>
    <t>Interest margin on loans to Retail, NOKm</t>
  </si>
  <si>
    <t>Average loans outstanding Retail, NOKm</t>
  </si>
  <si>
    <t>Lending Margin Retail, percentage</t>
  </si>
  <si>
    <t>Interest on deposits from Corporates, NOKm</t>
  </si>
  <si>
    <t>Interest margin on deposits from Corporates, NOKm</t>
  </si>
  <si>
    <t>Deposit Margin Corporates, percentage</t>
  </si>
  <si>
    <t>Interest on deposits from Retail, NOKm</t>
  </si>
  <si>
    <t>Interest margin on deposits from Retail, NOKm</t>
  </si>
  <si>
    <t>Average deposit volume from Corporates, NOKm</t>
  </si>
  <si>
    <t>Average deposit volume from Retail, NOKm</t>
  </si>
  <si>
    <t>Deposit Margin Retail, percentage</t>
  </si>
  <si>
    <t>12 month deposit growth</t>
  </si>
  <si>
    <t xml:space="preserve">Provides information about the activity and growth in the deposits for the Group. The performance measure has been calculated as deposits from customers at the end of the period, deducted deposits from customers at the start of the period, divided by deposits from customers at the start of the period. </t>
  </si>
  <si>
    <t>Lending margin Corporate and Retail market, including loans sold to SpareBank 1 Boligkreditt (SB1 BK) and SpareBank 1 Næringskreditt (SB1 NK)</t>
  </si>
  <si>
    <t>1. kvt 19</t>
  </si>
  <si>
    <t>1Q 19</t>
  </si>
  <si>
    <t>YTD 31.03.2019</t>
  </si>
  <si>
    <t>2. kvt 19</t>
  </si>
  <si>
    <t>2Q 19</t>
  </si>
  <si>
    <t>YTD 30.06.2019</t>
  </si>
  <si>
    <t>3. kvt 19</t>
  </si>
  <si>
    <t>YTD 30.09.2019</t>
  </si>
  <si>
    <t>3Q 19</t>
  </si>
  <si>
    <t>4. kvt 19</t>
  </si>
  <si>
    <t>YTD 31.12.2019</t>
  </si>
  <si>
    <t>4Q 19</t>
  </si>
  <si>
    <t>Deduct Gross loans to customers incl. SB1 Boligkreditt and SB1 Næringskreditt, same period previous year</t>
  </si>
  <si>
    <t>Divided by Gross loans to customers incl. SB1 Boligkreditt and SB1 Næringskreditt, same period previous year</t>
  </si>
  <si>
    <t xml:space="preserve">This key figure provides information on the earning per equity capital certificate relative to the market price at a given point in time, which provide a possibility to assess the reasonability of the market price for the ECC. Calculated as stock price per ECC divided by annualised earning per ECC. </t>
  </si>
  <si>
    <t>1. kvt 20</t>
  </si>
  <si>
    <t>YTD 31.03.2020</t>
  </si>
  <si>
    <t>1Q 20</t>
  </si>
  <si>
    <t>2. kvt 20</t>
  </si>
  <si>
    <t>YTD 30.06.2020</t>
  </si>
  <si>
    <t>2Q 20</t>
  </si>
  <si>
    <t>3. kvt 20</t>
  </si>
  <si>
    <t>YTD 30.09.2020</t>
  </si>
  <si>
    <t>3Q 20</t>
  </si>
  <si>
    <t>4. kvt 20</t>
  </si>
  <si>
    <t>YTD 31.12.2020</t>
  </si>
  <si>
    <t>4Q 20</t>
  </si>
  <si>
    <t>Fratrukket brutto utlån til kunder inkl SB1 Boligkreditt og SB1 Næringskreditt ved utgangen samme periode forrige år (kvartal)</t>
  </si>
  <si>
    <t>Delt på Brutto utlån til kunder inkl SB1 Boligkreditt og SB1 Næringskreditt ved utgangen samme periode forrige år (kvartal)</t>
  </si>
  <si>
    <t>Growth in deposits last 12 months (quarter)</t>
  </si>
  <si>
    <t>Deposit from customers same period previous year (quarter)</t>
  </si>
  <si>
    <t>Innskudd fra kunder ved utgangen av samme periode forrige år (kvartal)</t>
  </si>
  <si>
    <t>Loans and advances to customers at Stage 2</t>
  </si>
  <si>
    <t>Divided by gross loans to customers</t>
  </si>
  <si>
    <t>Loans and advances to customers at Stage 3</t>
  </si>
  <si>
    <t>Loans and advances to customers at Stage 2 in percentage of gross loans  incl. SB1 Boligkreditt and SB1 Næringskreditt</t>
  </si>
  <si>
    <t>Loans and advances to customers at Stage 3 in percentage of gross loans  incl. SB1 Boligkreditt and SB1 Næringskreditt</t>
  </si>
  <si>
    <t>Utlån til kunder i steg 2</t>
  </si>
  <si>
    <t>Utlån til kunder i steg 3</t>
  </si>
  <si>
    <t>YTD 31.03.2021</t>
  </si>
  <si>
    <t>1Q 21</t>
  </si>
  <si>
    <t>1. kvt 21</t>
  </si>
  <si>
    <t>Trinn 3 i % av brutto utlån</t>
  </si>
  <si>
    <t>Forholdstallet presenteres fordi det gir relevant informasjon om bankens kreditteksponering. Beregnes som sum engasjement i trinn 3 dividert med sum utlån inkludert lån solgt til Bolig- og næringskreditt ved utløpet av perioden</t>
  </si>
  <si>
    <t>Trinn 2 i % av brutto utlån</t>
  </si>
  <si>
    <t>Forholdstallet presenteres fordi det gir relevant informasjon om bankens kreditteksponering. Beregnes som sum engasjement i trinn 2 dividert med sum utlån inkludert lån solgt til Bolig- og næringskreditt ved utløpet av perioden</t>
  </si>
  <si>
    <t>Tap i % av brutto utlån inkl SB1 Boligkreditt og SB1 Næringskreditt</t>
  </si>
  <si>
    <t>Losses in % of gross loans incl. SpareBank 1 Boligkreditt and SpareBank 1 Næringskreditt</t>
  </si>
  <si>
    <t>Stage 2 in % of gross loans</t>
  </si>
  <si>
    <t>Stage 3 in % of gross loans</t>
  </si>
  <si>
    <t>This ratio is presented because it provides relevant information on the bank’s credit exposure. It is calculated as Stage 2 exposures divided by total loans incl. loans sold to SpareBank 1 Boligkreditt and SpareBank 1 Næringskreditt at period-end.</t>
  </si>
  <si>
    <t>This ratio is presented because it provides relevant information on the bank’s credit exposure. It is calculated as Stage 3 exposures divided by total loans incl. loans sold to SpareBank 1 Boligkreditt and SpareBank 1 Næringskreditt at period-end.</t>
  </si>
  <si>
    <t>2. kvt 21</t>
  </si>
  <si>
    <t>YTD 30.06.2021</t>
  </si>
  <si>
    <t>2Q 21</t>
  </si>
  <si>
    <t>Innskuddsvekst siste 12 mnd (kvartal)</t>
  </si>
  <si>
    <t>Utlånsvekst inkl. SB1 Boligkreditt og SB1 Næringskreditt i prosent, 12 mnd (kvartal)</t>
  </si>
  <si>
    <t>3. kvt 21</t>
  </si>
  <si>
    <t>YTD 30.09.2021</t>
  </si>
  <si>
    <t>3Q 21</t>
  </si>
  <si>
    <t>Utlån til kunder i trinn 2 i prosent av brutto utlån inkl. SB1 Boligkreditt og SB1 Næringskreditt</t>
  </si>
  <si>
    <t>Utlån til kunder i trinn 3 i prosent av brutto utlån inkl. SB1 Boligkreditt og SB1 Næringskreditt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</si>
</sst>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 #,##0_-;_-* &quot;-&quot;??_-;_-@_-"/>
    <numFmt numFmtId="165" formatCode="0.0\ %"/>
    <numFmt numFmtId="166" formatCode="#\ ###\ ###\ ##0"/>
    <numFmt numFmtId="167" formatCode="0.0"/>
  </numFmts>
  <fonts count="20" x14ac:knownFonts="1">
    <font>
      <sz val="11"/>
      <color theme="1"/>
      <name val="Calibri"/>
      <family val="2"/>
      <scheme val="minor"/>
    </font>
    <font>
      <b/>
      <sz val="11"/>
      <color theme="1"/>
      <name val="Calibri"/>
      <family val="2"/>
      <scheme val="minor"/>
    </font>
    <font>
      <sz val="8"/>
      <color rgb="FF000000"/>
      <name val="Arial Narrow"/>
      <family val="2"/>
    </font>
    <font>
      <sz val="11"/>
      <name val="Calibri"/>
      <family val="2"/>
      <scheme val="minor"/>
    </font>
    <font>
      <sz val="14"/>
      <color theme="1"/>
      <name val="Calibri"/>
      <family val="2"/>
      <scheme val="minor"/>
    </font>
    <font>
      <b/>
      <i/>
      <sz val="11"/>
      <name val="Calibri"/>
      <family val="2"/>
      <scheme val="minor"/>
    </font>
    <font>
      <sz val="10"/>
      <color rgb="FF000000"/>
      <name val="Arial Narrow"/>
      <family val="2"/>
    </font>
    <font>
      <sz val="11"/>
      <color theme="1"/>
      <name val="Calibri"/>
      <family val="2"/>
      <scheme val="minor"/>
    </font>
    <font>
      <b/>
      <sz val="11"/>
      <name val="Calibri"/>
      <family val="2"/>
      <scheme val="minor"/>
    </font>
    <font>
      <b/>
      <sz val="8"/>
      <name val="Arial"/>
      <family val="2"/>
    </font>
    <font>
      <b/>
      <sz val="11"/>
      <color theme="0"/>
      <name val="Calibri"/>
      <family val="2"/>
      <scheme val="minor"/>
    </font>
    <font>
      <sz val="10"/>
      <name val="Arial"/>
      <family val="2"/>
    </font>
    <font>
      <vertAlign val="superscript"/>
      <sz val="12"/>
      <color theme="1"/>
      <name val="Times New Roman"/>
      <family val="1"/>
    </font>
    <font>
      <sz val="11"/>
      <color rgb="FFFF0000"/>
      <name val="Calibri"/>
      <family val="2"/>
      <scheme val="minor"/>
    </font>
    <font>
      <b/>
      <sz val="11"/>
      <color rgb="FFFF0000"/>
      <name val="Calibri"/>
      <family val="2"/>
      <scheme val="minor"/>
    </font>
    <font>
      <i/>
      <sz val="11"/>
      <color rgb="FFFF0000"/>
      <name val="Calibri"/>
      <family val="2"/>
      <scheme val="minor"/>
    </font>
    <font>
      <i/>
      <sz val="11"/>
      <name val="Calibri"/>
      <family val="2"/>
      <scheme val="minor"/>
    </font>
    <font>
      <sz val="11"/>
      <color rgb="FF000000"/>
      <name val="Calibri"/>
      <family val="2"/>
      <scheme val="minor"/>
    </font>
    <font>
      <sz val="11"/>
      <color theme="1" tint="4.9989318521683403E-2"/>
      <name val="Calibri"/>
      <family val="2"/>
      <scheme val="minor"/>
    </font>
    <font>
      <b/>
      <sz val="11"/>
      <color theme="1" tint="4.9989318521683403E-2"/>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0" tint="-0.34998626667073579"/>
        <bgColor indexed="64"/>
      </patternFill>
    </fill>
  </fills>
  <borders count="11">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
      <left style="thin">
        <color theme="1"/>
      </left>
      <right style="thin">
        <color theme="1"/>
      </right>
      <top style="thin">
        <color theme="1"/>
      </top>
      <bottom style="medium">
        <color theme="1"/>
      </bottom>
      <diagonal/>
    </border>
    <border>
      <left/>
      <right/>
      <top style="thin">
        <color indexed="64"/>
      </top>
      <bottom/>
      <diagonal/>
    </border>
  </borders>
  <cellStyleXfs count="4">
    <xf numFmtId="0" fontId="0" fillId="0" borderId="0"/>
    <xf numFmtId="43" fontId="7" fillId="0" borderId="0" applyFont="0" applyFill="0" applyBorder="0" applyAlignment="0" applyProtection="0"/>
    <xf numFmtId="9" fontId="7" fillId="0" borderId="0" applyFont="0" applyFill="0" applyBorder="0" applyAlignment="0" applyProtection="0"/>
    <xf numFmtId="0" fontId="11" fillId="0" borderId="0"/>
  </cellStyleXfs>
  <cellXfs count="202">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0" fillId="0" borderId="0" xfId="0" applyAlignment="1">
      <alignment horizontal="left" wrapText="1"/>
    </xf>
    <xf numFmtId="0" fontId="2" fillId="0" borderId="0" xfId="0" applyFont="1"/>
    <xf numFmtId="0" fontId="3" fillId="2" borderId="0" xfId="0" applyFont="1" applyFill="1" applyBorder="1" applyAlignment="1"/>
    <xf numFmtId="0" fontId="3" fillId="3" borderId="0" xfId="0" applyFont="1" applyFill="1" applyBorder="1" applyAlignment="1"/>
    <xf numFmtId="0" fontId="3" fillId="2" borderId="0" xfId="0" applyFont="1" applyFill="1" applyBorder="1" applyAlignment="1">
      <alignment wrapText="1"/>
    </xf>
    <xf numFmtId="0" fontId="4" fillId="0" borderId="0" xfId="0" applyNumberFormat="1" applyFont="1"/>
    <xf numFmtId="0" fontId="0" fillId="0" borderId="0" xfId="0" applyAlignment="1">
      <alignment horizontal="left" wrapText="1"/>
    </xf>
    <xf numFmtId="0" fontId="6" fillId="0" borderId="0" xfId="0" applyFont="1"/>
    <xf numFmtId="0" fontId="6" fillId="0" borderId="0" xfId="0" applyFont="1" applyAlignment="1">
      <alignment horizontal="left" vertical="center"/>
    </xf>
    <xf numFmtId="0" fontId="5" fillId="0" borderId="0" xfId="0" applyFont="1" applyFill="1" applyBorder="1" applyAlignment="1"/>
    <xf numFmtId="0" fontId="0" fillId="0" borderId="0" xfId="0" applyBorder="1"/>
    <xf numFmtId="0" fontId="0" fillId="0" borderId="0" xfId="0" applyAlignment="1">
      <alignment wrapText="1"/>
    </xf>
    <xf numFmtId="0" fontId="1" fillId="4" borderId="4" xfId="0" applyFont="1" applyFill="1" applyBorder="1"/>
    <xf numFmtId="164" fontId="0" fillId="0" borderId="0" xfId="1" applyNumberFormat="1" applyFont="1" applyBorder="1"/>
    <xf numFmtId="164" fontId="0" fillId="0" borderId="1" xfId="1" applyNumberFormat="1" applyFont="1" applyBorder="1"/>
    <xf numFmtId="164" fontId="0" fillId="0" borderId="0" xfId="1" applyNumberFormat="1" applyFont="1"/>
    <xf numFmtId="164" fontId="3" fillId="0" borderId="0" xfId="1" applyNumberFormat="1" applyFont="1" applyBorder="1"/>
    <xf numFmtId="164" fontId="3" fillId="0" borderId="1" xfId="1" applyNumberFormat="1" applyFont="1" applyBorder="1"/>
    <xf numFmtId="164" fontId="0" fillId="0" borderId="0" xfId="0" applyNumberFormat="1"/>
    <xf numFmtId="10" fontId="0" fillId="0" borderId="0" xfId="2" applyNumberFormat="1" applyFont="1"/>
    <xf numFmtId="43" fontId="0" fillId="0" borderId="0" xfId="1" applyFont="1"/>
    <xf numFmtId="43" fontId="0" fillId="0" borderId="0" xfId="0" applyNumberFormat="1"/>
    <xf numFmtId="10" fontId="0" fillId="0" borderId="0" xfId="0" applyNumberFormat="1"/>
    <xf numFmtId="0" fontId="0" fillId="0" borderId="1" xfId="0" applyBorder="1" applyAlignment="1">
      <alignment wrapText="1"/>
    </xf>
    <xf numFmtId="0" fontId="0" fillId="0" borderId="1" xfId="0" applyBorder="1"/>
    <xf numFmtId="0" fontId="0" fillId="0" borderId="0" xfId="0" applyAlignment="1">
      <alignment horizontal="left" wrapText="1"/>
    </xf>
    <xf numFmtId="0" fontId="0" fillId="5" borderId="6" xfId="0" applyFill="1" applyBorder="1"/>
    <xf numFmtId="0" fontId="1" fillId="5" borderId="6" xfId="0" applyFont="1" applyFill="1" applyBorder="1"/>
    <xf numFmtId="43" fontId="1" fillId="5" borderId="6" xfId="1" applyNumberFormat="1" applyFont="1" applyFill="1" applyBorder="1"/>
    <xf numFmtId="164" fontId="0" fillId="0" borderId="1" xfId="0" applyNumberFormat="1" applyBorder="1"/>
    <xf numFmtId="0" fontId="1" fillId="0" borderId="1" xfId="0" applyFont="1" applyBorder="1"/>
    <xf numFmtId="14" fontId="1" fillId="0" borderId="1" xfId="0" applyNumberFormat="1" applyFont="1" applyBorder="1" applyAlignment="1">
      <alignment wrapText="1"/>
    </xf>
    <xf numFmtId="0" fontId="1" fillId="0" borderId="1" xfId="0" applyFont="1" applyBorder="1" applyAlignment="1">
      <alignment wrapText="1"/>
    </xf>
    <xf numFmtId="2" fontId="0" fillId="0" borderId="0" xfId="0" applyNumberFormat="1"/>
    <xf numFmtId="43" fontId="0" fillId="0" borderId="1" xfId="0" applyNumberFormat="1" applyBorder="1"/>
    <xf numFmtId="0" fontId="1" fillId="5" borderId="5" xfId="0" applyFont="1" applyFill="1" applyBorder="1"/>
    <xf numFmtId="43" fontId="1" fillId="5" borderId="5" xfId="0" applyNumberFormat="1" applyFont="1" applyFill="1" applyBorder="1"/>
    <xf numFmtId="0" fontId="0" fillId="0" borderId="0" xfId="0" applyFill="1"/>
    <xf numFmtId="43" fontId="0" fillId="0" borderId="0" xfId="0" applyNumberFormat="1" applyFill="1"/>
    <xf numFmtId="9" fontId="1" fillId="5" borderId="6" xfId="2" applyFont="1" applyFill="1" applyBorder="1"/>
    <xf numFmtId="165" fontId="1" fillId="5" borderId="5" xfId="2" applyNumberFormat="1" applyFont="1" applyFill="1" applyBorder="1"/>
    <xf numFmtId="0" fontId="1" fillId="5" borderId="6" xfId="0" applyFont="1" applyFill="1" applyBorder="1" applyAlignment="1">
      <alignment wrapText="1"/>
    </xf>
    <xf numFmtId="0" fontId="1" fillId="5" borderId="5" xfId="0" applyFont="1" applyFill="1" applyBorder="1" applyAlignment="1">
      <alignment wrapText="1"/>
    </xf>
    <xf numFmtId="10" fontId="1" fillId="5" borderId="5" xfId="2" applyNumberFormat="1" applyFont="1" applyFill="1" applyBorder="1"/>
    <xf numFmtId="0" fontId="3" fillId="2" borderId="7" xfId="0" applyFont="1" applyFill="1" applyBorder="1" applyAlignment="1"/>
    <xf numFmtId="0" fontId="0" fillId="6" borderId="7" xfId="0" applyFont="1" applyFill="1" applyBorder="1" applyAlignment="1">
      <alignment horizontal="left" wrapText="1"/>
    </xf>
    <xf numFmtId="0" fontId="3" fillId="2" borderId="7" xfId="0" applyFont="1" applyFill="1" applyBorder="1" applyAlignment="1">
      <alignment wrapText="1"/>
    </xf>
    <xf numFmtId="0" fontId="5" fillId="0" borderId="7" xfId="0" applyFont="1" applyBorder="1" applyAlignment="1"/>
    <xf numFmtId="0" fontId="10" fillId="7" borderId="8" xfId="0" applyFont="1" applyFill="1" applyBorder="1"/>
    <xf numFmtId="0" fontId="12" fillId="0" borderId="0" xfId="0" applyFont="1" applyAlignment="1">
      <alignment vertical="center"/>
    </xf>
    <xf numFmtId="0" fontId="10" fillId="7" borderId="8" xfId="0" applyFont="1" applyFill="1" applyBorder="1" applyAlignment="1">
      <alignment wrapText="1"/>
    </xf>
    <xf numFmtId="165" fontId="1" fillId="4" borderId="5" xfId="2" applyNumberFormat="1" applyFont="1" applyFill="1" applyBorder="1"/>
    <xf numFmtId="165" fontId="8" fillId="4" borderId="5" xfId="2" applyNumberFormat="1" applyFont="1" applyFill="1" applyBorder="1"/>
    <xf numFmtId="165" fontId="0" fillId="0" borderId="0" xfId="0" applyNumberFormat="1"/>
    <xf numFmtId="164" fontId="0" fillId="0" borderId="0" xfId="0" applyNumberFormat="1" applyFill="1"/>
    <xf numFmtId="1" fontId="0" fillId="0" borderId="0" xfId="0" applyNumberFormat="1"/>
    <xf numFmtId="164" fontId="0" fillId="0" borderId="0" xfId="1" applyNumberFormat="1" applyFont="1" applyFill="1"/>
    <xf numFmtId="164" fontId="0" fillId="0" borderId="1" xfId="1" applyNumberFormat="1" applyFont="1" applyFill="1" applyBorder="1"/>
    <xf numFmtId="164" fontId="13" fillId="0" borderId="0" xfId="1" applyNumberFormat="1" applyFont="1" applyBorder="1"/>
    <xf numFmtId="164" fontId="13" fillId="0" borderId="1" xfId="1" applyNumberFormat="1" applyFont="1" applyBorder="1"/>
    <xf numFmtId="0" fontId="13" fillId="0" borderId="0" xfId="0" applyFont="1"/>
    <xf numFmtId="10" fontId="13" fillId="0" borderId="0" xfId="0" applyNumberFormat="1" applyFont="1"/>
    <xf numFmtId="164" fontId="13" fillId="0" borderId="0" xfId="1" applyNumberFormat="1" applyFont="1"/>
    <xf numFmtId="0" fontId="13" fillId="0" borderId="1" xfId="0" applyFont="1" applyBorder="1"/>
    <xf numFmtId="0" fontId="14" fillId="5" borderId="6" xfId="0" applyFont="1" applyFill="1" applyBorder="1"/>
    <xf numFmtId="43" fontId="13" fillId="0" borderId="0" xfId="1" applyFont="1"/>
    <xf numFmtId="0" fontId="13" fillId="0" borderId="0" xfId="0" applyFont="1" applyBorder="1"/>
    <xf numFmtId="43" fontId="13" fillId="0" borderId="0" xfId="0" applyNumberFormat="1" applyFont="1"/>
    <xf numFmtId="0" fontId="14" fillId="5" borderId="5" xfId="0" applyFont="1" applyFill="1" applyBorder="1"/>
    <xf numFmtId="9" fontId="14" fillId="5" borderId="6" xfId="2" applyFont="1" applyFill="1" applyBorder="1"/>
    <xf numFmtId="0" fontId="13" fillId="0" borderId="0" xfId="0" applyFont="1" applyFill="1"/>
    <xf numFmtId="2" fontId="3" fillId="0" borderId="0" xfId="0" applyNumberFormat="1" applyFont="1"/>
    <xf numFmtId="164" fontId="3" fillId="0" borderId="0" xfId="1" applyNumberFormat="1" applyFont="1"/>
    <xf numFmtId="43" fontId="8" fillId="5" borderId="6" xfId="1" applyNumberFormat="1" applyFont="1" applyFill="1" applyBorder="1"/>
    <xf numFmtId="164" fontId="3" fillId="0" borderId="1" xfId="0" applyNumberFormat="1" applyFont="1" applyBorder="1"/>
    <xf numFmtId="43" fontId="3" fillId="0" borderId="0" xfId="0" applyNumberFormat="1" applyFont="1" applyFill="1"/>
    <xf numFmtId="43" fontId="3" fillId="0" borderId="0" xfId="0" applyNumberFormat="1" applyFont="1"/>
    <xf numFmtId="43" fontId="8" fillId="5" borderId="5" xfId="0" applyNumberFormat="1" applyFont="1" applyFill="1" applyBorder="1"/>
    <xf numFmtId="43" fontId="3" fillId="0" borderId="1" xfId="0" applyNumberFormat="1" applyFont="1" applyBorder="1"/>
    <xf numFmtId="9" fontId="8" fillId="5" borderId="6" xfId="2" applyFont="1" applyFill="1" applyBorder="1"/>
    <xf numFmtId="164" fontId="3" fillId="0" borderId="0" xfId="0" applyNumberFormat="1" applyFont="1"/>
    <xf numFmtId="165" fontId="8" fillId="5" borderId="5" xfId="2" applyNumberFormat="1" applyFont="1" applyFill="1" applyBorder="1"/>
    <xf numFmtId="10" fontId="8" fillId="5" borderId="5" xfId="2" applyNumberFormat="1" applyFont="1" applyFill="1" applyBorder="1"/>
    <xf numFmtId="10" fontId="3" fillId="0" borderId="0" xfId="0" applyNumberFormat="1" applyFont="1"/>
    <xf numFmtId="0" fontId="3" fillId="0" borderId="0" xfId="0" applyFont="1"/>
    <xf numFmtId="43" fontId="3" fillId="0" borderId="0" xfId="1" applyFont="1"/>
    <xf numFmtId="0" fontId="3" fillId="0" borderId="0" xfId="0" applyFont="1" applyBorder="1"/>
    <xf numFmtId="0" fontId="3" fillId="0" borderId="0" xfId="0" applyFont="1" applyFill="1"/>
    <xf numFmtId="14" fontId="8" fillId="0" borderId="1" xfId="0" applyNumberFormat="1" applyFont="1" applyBorder="1" applyAlignment="1">
      <alignment wrapText="1"/>
    </xf>
    <xf numFmtId="0" fontId="8" fillId="0" borderId="1" xfId="0" applyFont="1" applyBorder="1" applyAlignment="1">
      <alignment wrapText="1"/>
    </xf>
    <xf numFmtId="2" fontId="3" fillId="0" borderId="0" xfId="0" applyNumberFormat="1" applyFont="1" applyFill="1"/>
    <xf numFmtId="164" fontId="3" fillId="0" borderId="0" xfId="1" applyNumberFormat="1" applyFont="1" applyFill="1"/>
    <xf numFmtId="164" fontId="3" fillId="0" borderId="1" xfId="1" applyNumberFormat="1" applyFont="1" applyFill="1" applyBorder="1"/>
    <xf numFmtId="0" fontId="3" fillId="0" borderId="1" xfId="0" applyFont="1" applyBorder="1"/>
    <xf numFmtId="0" fontId="8" fillId="5" borderId="6" xfId="0" applyFont="1" applyFill="1" applyBorder="1"/>
    <xf numFmtId="0" fontId="8" fillId="5" borderId="5" xfId="0" applyFont="1" applyFill="1" applyBorder="1"/>
    <xf numFmtId="0" fontId="0" fillId="0" borderId="0" xfId="0" applyAlignment="1">
      <alignment horizontal="left" wrapText="1"/>
    </xf>
    <xf numFmtId="165" fontId="8" fillId="5" borderId="6" xfId="2" applyNumberFormat="1" applyFont="1" applyFill="1" applyBorder="1"/>
    <xf numFmtId="9" fontId="8" fillId="0" borderId="6" xfId="2" applyFont="1" applyFill="1" applyBorder="1"/>
    <xf numFmtId="0" fontId="1" fillId="0" borderId="1" xfId="0" applyFont="1" applyBorder="1" applyAlignment="1"/>
    <xf numFmtId="0" fontId="0" fillId="0" borderId="0" xfId="0" applyAlignment="1"/>
    <xf numFmtId="0" fontId="0" fillId="0" borderId="2" xfId="0" applyBorder="1" applyAlignment="1"/>
    <xf numFmtId="0" fontId="0" fillId="0" borderId="3" xfId="0" applyBorder="1" applyAlignment="1"/>
    <xf numFmtId="0" fontId="1" fillId="4" borderId="4" xfId="0" applyFont="1" applyFill="1" applyBorder="1" applyAlignment="1"/>
    <xf numFmtId="0" fontId="0" fillId="0" borderId="0" xfId="0" applyFill="1" applyAlignment="1"/>
    <xf numFmtId="0" fontId="0" fillId="0" borderId="1" xfId="0" applyBorder="1" applyAlignment="1"/>
    <xf numFmtId="0" fontId="1" fillId="5" borderId="6" xfId="0" applyFont="1" applyFill="1" applyBorder="1" applyAlignment="1"/>
    <xf numFmtId="10" fontId="9" fillId="0" borderId="2" xfId="2" applyNumberFormat="1" applyFont="1" applyFill="1" applyBorder="1" applyAlignment="1"/>
    <xf numFmtId="0" fontId="0" fillId="0" borderId="1" xfId="0" applyFill="1" applyBorder="1" applyAlignment="1"/>
    <xf numFmtId="0" fontId="0" fillId="0" borderId="0" xfId="0" applyBorder="1" applyAlignment="1"/>
    <xf numFmtId="0" fontId="1" fillId="5" borderId="5" xfId="0" applyFont="1" applyFill="1" applyBorder="1" applyAlignment="1"/>
    <xf numFmtId="9" fontId="8" fillId="5" borderId="6" xfId="2" applyFont="1" applyFill="1" applyBorder="1" applyAlignment="1"/>
    <xf numFmtId="0" fontId="3" fillId="0" borderId="0" xfId="0" applyFont="1" applyAlignment="1"/>
    <xf numFmtId="0" fontId="3" fillId="0" borderId="1" xfId="0" applyFont="1" applyBorder="1" applyAlignment="1"/>
    <xf numFmtId="0" fontId="13" fillId="0" borderId="0" xfId="0" applyFont="1" applyAlignment="1"/>
    <xf numFmtId="3" fontId="3" fillId="0" borderId="0" xfId="0" applyNumberFormat="1" applyFont="1"/>
    <xf numFmtId="166" fontId="3" fillId="0" borderId="0" xfId="0" applyNumberFormat="1" applyFont="1"/>
    <xf numFmtId="0" fontId="8" fillId="8" borderId="5" xfId="0" applyFont="1" applyFill="1" applyBorder="1" applyAlignment="1"/>
    <xf numFmtId="3" fontId="3" fillId="0" borderId="1" xfId="0" applyNumberFormat="1" applyFont="1" applyBorder="1"/>
    <xf numFmtId="3" fontId="3" fillId="0" borderId="1" xfId="1" applyNumberFormat="1" applyFont="1" applyBorder="1"/>
    <xf numFmtId="10" fontId="8" fillId="8" borderId="5" xfId="2" applyNumberFormat="1" applyFont="1" applyFill="1" applyBorder="1"/>
    <xf numFmtId="0" fontId="0" fillId="0" borderId="0" xfId="0" applyAlignment="1">
      <alignment horizontal="left" wrapText="1"/>
    </xf>
    <xf numFmtId="0" fontId="3" fillId="3" borderId="7" xfId="0" applyFont="1" applyFill="1" applyBorder="1" applyAlignment="1"/>
    <xf numFmtId="0" fontId="0" fillId="0" borderId="7" xfId="0" applyFont="1" applyBorder="1" applyAlignment="1">
      <alignment horizontal="left" wrapText="1"/>
    </xf>
    <xf numFmtId="0" fontId="3" fillId="2" borderId="9" xfId="0" applyFont="1" applyFill="1" applyBorder="1" applyAlignment="1"/>
    <xf numFmtId="0" fontId="3" fillId="0" borderId="0" xfId="3" applyFont="1"/>
    <xf numFmtId="0" fontId="0" fillId="0" borderId="2" xfId="0" applyFont="1" applyBorder="1"/>
    <xf numFmtId="0" fontId="0" fillId="0" borderId="3" xfId="0" applyFont="1" applyBorder="1"/>
    <xf numFmtId="0" fontId="0" fillId="0" borderId="0" xfId="0" applyFont="1"/>
    <xf numFmtId="0" fontId="0" fillId="0" borderId="0" xfId="0" applyFont="1" applyAlignment="1">
      <alignment wrapText="1"/>
    </xf>
    <xf numFmtId="0" fontId="0" fillId="0" borderId="1" xfId="0" applyFont="1" applyBorder="1" applyAlignment="1">
      <alignment wrapText="1"/>
    </xf>
    <xf numFmtId="0" fontId="0" fillId="0" borderId="1" xfId="0" applyFont="1" applyBorder="1"/>
    <xf numFmtId="0" fontId="0" fillId="0" borderId="0" xfId="0" applyFont="1" applyFill="1"/>
    <xf numFmtId="0" fontId="0" fillId="0" borderId="0" xfId="0" applyFont="1" applyBorder="1"/>
    <xf numFmtId="10" fontId="8" fillId="0" borderId="2" xfId="2" applyNumberFormat="1" applyFont="1" applyFill="1" applyBorder="1"/>
    <xf numFmtId="0" fontId="3" fillId="0" borderId="0" xfId="3" applyFont="1" applyAlignment="1">
      <alignment wrapText="1"/>
    </xf>
    <xf numFmtId="164" fontId="3" fillId="0" borderId="0" xfId="0" applyNumberFormat="1" applyFont="1" applyAlignment="1">
      <alignment wrapText="1"/>
    </xf>
    <xf numFmtId="164" fontId="0" fillId="0" borderId="0" xfId="0" applyNumberFormat="1" applyAlignment="1">
      <alignment wrapText="1"/>
    </xf>
    <xf numFmtId="10" fontId="3" fillId="0" borderId="0" xfId="2" applyNumberFormat="1" applyFont="1"/>
    <xf numFmtId="0" fontId="8" fillId="0" borderId="0" xfId="0" applyFont="1"/>
    <xf numFmtId="4" fontId="3" fillId="0" borderId="0" xfId="0" applyNumberFormat="1" applyFont="1" applyFill="1"/>
    <xf numFmtId="3" fontId="3" fillId="0" borderId="0" xfId="0" applyNumberFormat="1" applyFont="1" applyFill="1"/>
    <xf numFmtId="3" fontId="3" fillId="0" borderId="1" xfId="1" applyNumberFormat="1" applyFont="1" applyFill="1" applyBorder="1"/>
    <xf numFmtId="166" fontId="3" fillId="0" borderId="0" xfId="0" applyNumberFormat="1" applyFont="1" applyFill="1"/>
    <xf numFmtId="3" fontId="3" fillId="0" borderId="1" xfId="0" applyNumberFormat="1" applyFont="1" applyFill="1" applyBorder="1"/>
    <xf numFmtId="0" fontId="3" fillId="0" borderId="1" xfId="0" applyFont="1" applyFill="1" applyBorder="1"/>
    <xf numFmtId="0" fontId="13" fillId="0" borderId="1" xfId="0" applyFont="1" applyFill="1" applyBorder="1"/>
    <xf numFmtId="0" fontId="0" fillId="0" borderId="0" xfId="0" applyFont="1" applyAlignment="1">
      <alignment horizontal="left" wrapText="1"/>
    </xf>
    <xf numFmtId="0" fontId="3" fillId="0" borderId="0" xfId="0" applyFont="1" applyFill="1" applyAlignment="1"/>
    <xf numFmtId="0" fontId="3" fillId="6" borderId="7" xfId="0" applyFont="1" applyFill="1" applyBorder="1" applyAlignment="1">
      <alignment horizontal="left" wrapText="1"/>
    </xf>
    <xf numFmtId="164" fontId="3" fillId="0" borderId="0" xfId="1" applyNumberFormat="1" applyFont="1" applyFill="1" applyBorder="1"/>
    <xf numFmtId="164" fontId="3" fillId="0" borderId="1" xfId="0" applyNumberFormat="1" applyFont="1" applyFill="1" applyBorder="1"/>
    <xf numFmtId="167" fontId="3" fillId="0" borderId="0" xfId="0" applyNumberFormat="1" applyFont="1"/>
    <xf numFmtId="10" fontId="13" fillId="0" borderId="0" xfId="2" applyNumberFormat="1" applyFont="1"/>
    <xf numFmtId="3" fontId="3" fillId="0" borderId="10" xfId="0" applyNumberFormat="1" applyFont="1" applyFill="1" applyBorder="1"/>
    <xf numFmtId="43" fontId="3" fillId="0" borderId="0" xfId="1" applyNumberFormat="1" applyFont="1"/>
    <xf numFmtId="3" fontId="3" fillId="0" borderId="0" xfId="0" applyNumberFormat="1" applyFont="1" applyAlignment="1"/>
    <xf numFmtId="3" fontId="3" fillId="0" borderId="1" xfId="0" applyNumberFormat="1" applyFont="1" applyBorder="1" applyAlignment="1"/>
    <xf numFmtId="4" fontId="3" fillId="0" borderId="0" xfId="0" applyNumberFormat="1" applyFont="1"/>
    <xf numFmtId="165" fontId="16" fillId="0" borderId="0" xfId="2" applyNumberFormat="1" applyFont="1"/>
    <xf numFmtId="165" fontId="15" fillId="0" borderId="0" xfId="2" applyNumberFormat="1" applyFont="1"/>
    <xf numFmtId="9" fontId="3" fillId="0" borderId="0" xfId="0" applyNumberFormat="1" applyFont="1"/>
    <xf numFmtId="165" fontId="3" fillId="0" borderId="0" xfId="2" applyNumberFormat="1" applyFont="1"/>
    <xf numFmtId="165" fontId="13" fillId="0" borderId="0" xfId="2" applyNumberFormat="1" applyFont="1"/>
    <xf numFmtId="0" fontId="3" fillId="0" borderId="1" xfId="3" applyFont="1" applyBorder="1" applyAlignment="1">
      <alignment wrapText="1"/>
    </xf>
    <xf numFmtId="0" fontId="1" fillId="0" borderId="10" xfId="0" applyFont="1" applyFill="1" applyBorder="1" applyAlignment="1"/>
    <xf numFmtId="165" fontId="8" fillId="0" borderId="10" xfId="2" applyNumberFormat="1" applyFont="1" applyFill="1" applyBorder="1"/>
    <xf numFmtId="165" fontId="1" fillId="0" borderId="10" xfId="2" applyNumberFormat="1" applyFont="1" applyFill="1" applyBorder="1"/>
    <xf numFmtId="165" fontId="0" fillId="0" borderId="0" xfId="0" applyNumberFormat="1" applyFill="1" applyBorder="1"/>
    <xf numFmtId="0" fontId="0" fillId="0" borderId="0" xfId="0" applyFill="1" applyBorder="1"/>
    <xf numFmtId="2" fontId="13" fillId="0" borderId="0" xfId="0" applyNumberFormat="1" applyFont="1"/>
    <xf numFmtId="165" fontId="14" fillId="0" borderId="10" xfId="2" applyNumberFormat="1" applyFont="1" applyFill="1" applyBorder="1"/>
    <xf numFmtId="2" fontId="3" fillId="0" borderId="1" xfId="0" applyNumberFormat="1" applyFont="1" applyBorder="1"/>
    <xf numFmtId="2" fontId="8" fillId="5" borderId="5" xfId="0" applyNumberFormat="1" applyFont="1" applyFill="1" applyBorder="1"/>
    <xf numFmtId="2" fontId="8" fillId="5" borderId="6" xfId="0" applyNumberFormat="1" applyFont="1" applyFill="1" applyBorder="1"/>
    <xf numFmtId="9" fontId="13" fillId="0" borderId="0" xfId="0" applyNumberFormat="1" applyFont="1"/>
    <xf numFmtId="3" fontId="18" fillId="0" borderId="0" xfId="0" applyNumberFormat="1" applyFont="1"/>
    <xf numFmtId="3" fontId="18" fillId="0" borderId="1" xfId="1" applyNumberFormat="1" applyFont="1" applyBorder="1"/>
    <xf numFmtId="4" fontId="18" fillId="0" borderId="0" xfId="0" applyNumberFormat="1" applyFont="1"/>
    <xf numFmtId="0" fontId="18" fillId="0" borderId="0" xfId="0" applyFont="1" applyFill="1" applyAlignment="1"/>
    <xf numFmtId="10" fontId="19" fillId="8" borderId="5" xfId="2" applyNumberFormat="1" applyFont="1" applyFill="1" applyBorder="1"/>
    <xf numFmtId="10" fontId="18" fillId="0" borderId="0" xfId="2" applyNumberFormat="1" applyFont="1"/>
    <xf numFmtId="0" fontId="18" fillId="0" borderId="0" xfId="0" applyFont="1" applyFill="1"/>
    <xf numFmtId="166" fontId="18" fillId="0" borderId="0" xfId="0" applyNumberFormat="1" applyFont="1"/>
    <xf numFmtId="3" fontId="18" fillId="0" borderId="1" xfId="0" applyNumberFormat="1" applyFont="1" applyBorder="1"/>
    <xf numFmtId="0" fontId="18" fillId="0" borderId="0" xfId="0" applyFont="1"/>
    <xf numFmtId="43" fontId="18" fillId="0" borderId="1" xfId="0" applyNumberFormat="1" applyFont="1" applyBorder="1"/>
    <xf numFmtId="43" fontId="19" fillId="5" borderId="5" xfId="0" applyNumberFormat="1" applyFont="1" applyFill="1" applyBorder="1"/>
    <xf numFmtId="2" fontId="18" fillId="0" borderId="0" xfId="0" applyNumberFormat="1" applyFont="1" applyFill="1"/>
    <xf numFmtId="43" fontId="18" fillId="0" borderId="0" xfId="0" applyNumberFormat="1" applyFont="1"/>
    <xf numFmtId="41" fontId="3" fillId="0" borderId="0" xfId="0" applyNumberFormat="1" applyFont="1"/>
    <xf numFmtId="41" fontId="13" fillId="0" borderId="0" xfId="0" applyNumberFormat="1" applyFont="1"/>
    <xf numFmtId="0" fontId="0" fillId="0" borderId="0" xfId="0" applyAlignment="1">
      <alignment horizontal="left" wrapText="1"/>
    </xf>
    <xf numFmtId="0" fontId="0" fillId="0" borderId="7" xfId="0" applyFont="1" applyFill="1" applyBorder="1" applyAlignment="1">
      <alignment horizontal="left" wrapText="1"/>
    </xf>
    <xf numFmtId="0" fontId="0" fillId="4" borderId="7" xfId="0" applyFont="1" applyFill="1" applyBorder="1" applyAlignment="1">
      <alignment horizontal="left" wrapText="1"/>
    </xf>
    <xf numFmtId="10" fontId="14" fillId="5" borderId="5" xfId="2" applyNumberFormat="1" applyFont="1" applyFill="1" applyBorder="1"/>
    <xf numFmtId="0" fontId="0" fillId="0" borderId="0" xfId="0" applyAlignment="1">
      <alignment horizontal="left" wrapText="1"/>
    </xf>
    <xf numFmtId="0" fontId="0" fillId="0" borderId="0" xfId="0" applyFont="1"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18" totalsRowShown="0" dataDxfId="2">
  <autoFilter ref="A5:B18" xr:uid="{00000000-0009-0000-0100-000001000000}"/>
  <tableColumns count="2">
    <tableColumn id="1" xr3:uid="{00000000-0010-0000-0000-000001000000}" name="Alternative resultatmål i SMN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3"/>
  <sheetViews>
    <sheetView topLeftCell="A13" zoomScaleNormal="100" workbookViewId="0">
      <selection activeCell="A16" sqref="A16"/>
    </sheetView>
  </sheetViews>
  <sheetFormatPr baseColWidth="10" defaultRowHeight="15" x14ac:dyDescent="0.25"/>
  <cols>
    <col min="1" max="1" width="54.85546875" customWidth="1"/>
    <col min="2" max="2" width="112.140625" customWidth="1"/>
  </cols>
  <sheetData>
    <row r="1" spans="1:3" ht="18.75" x14ac:dyDescent="0.3">
      <c r="A1" s="9" t="s">
        <v>9</v>
      </c>
    </row>
    <row r="2" spans="1:3" s="2" customFormat="1" ht="54.75" customHeight="1" x14ac:dyDescent="0.25">
      <c r="A2" s="200" t="s">
        <v>15</v>
      </c>
      <c r="B2" s="200"/>
    </row>
    <row r="3" spans="1:3" ht="33" customHeight="1" x14ac:dyDescent="0.25">
      <c r="A3" s="200" t="s">
        <v>10</v>
      </c>
      <c r="B3" s="200"/>
    </row>
    <row r="4" spans="1:3" ht="33" customHeight="1" x14ac:dyDescent="0.25">
      <c r="A4" s="4"/>
      <c r="B4" s="4"/>
    </row>
    <row r="5" spans="1:3" x14ac:dyDescent="0.25">
      <c r="A5" s="3" t="s">
        <v>0</v>
      </c>
      <c r="B5" s="3" t="s">
        <v>8</v>
      </c>
    </row>
    <row r="6" spans="1:3" ht="58.5" customHeight="1" x14ac:dyDescent="0.25">
      <c r="A6" s="6" t="s">
        <v>148</v>
      </c>
      <c r="B6" s="4" t="s">
        <v>18</v>
      </c>
    </row>
    <row r="7" spans="1:3" ht="44.25" customHeight="1" x14ac:dyDescent="0.25">
      <c r="A7" s="7" t="s">
        <v>4</v>
      </c>
      <c r="B7" s="4" t="s">
        <v>16</v>
      </c>
    </row>
    <row r="8" spans="1:3" ht="42.75" customHeight="1" x14ac:dyDescent="0.25">
      <c r="A8" s="7" t="s">
        <v>5</v>
      </c>
      <c r="B8" s="4" t="s">
        <v>17</v>
      </c>
    </row>
    <row r="9" spans="1:3" ht="49.5" customHeight="1" x14ac:dyDescent="0.25">
      <c r="A9" s="7" t="s">
        <v>6</v>
      </c>
      <c r="B9" s="4" t="s">
        <v>7</v>
      </c>
    </row>
    <row r="10" spans="1:3" ht="33" customHeight="1" x14ac:dyDescent="0.25">
      <c r="A10" s="6" t="s">
        <v>55</v>
      </c>
      <c r="B10" s="4" t="s">
        <v>11</v>
      </c>
      <c r="C10" s="1"/>
    </row>
    <row r="11" spans="1:3" ht="51.75" customHeight="1" x14ac:dyDescent="0.25">
      <c r="A11" s="8" t="s">
        <v>1</v>
      </c>
      <c r="B11" s="4" t="s">
        <v>12</v>
      </c>
    </row>
    <row r="12" spans="1:3" ht="51.75" customHeight="1" x14ac:dyDescent="0.25">
      <c r="A12" s="8" t="s">
        <v>166</v>
      </c>
      <c r="B12" s="100" t="s">
        <v>167</v>
      </c>
    </row>
    <row r="13" spans="1:3" ht="114.75" customHeight="1" x14ac:dyDescent="0.25">
      <c r="A13" s="8" t="s">
        <v>2</v>
      </c>
      <c r="B13" s="4" t="s">
        <v>13</v>
      </c>
    </row>
    <row r="14" spans="1:3" ht="102" customHeight="1" x14ac:dyDescent="0.25">
      <c r="A14" s="8" t="s">
        <v>192</v>
      </c>
      <c r="B14" s="151" t="s">
        <v>193</v>
      </c>
    </row>
    <row r="15" spans="1:3" x14ac:dyDescent="0.25">
      <c r="A15" s="13" t="s">
        <v>265</v>
      </c>
      <c r="B15" s="10"/>
    </row>
    <row r="16" spans="1:3" ht="58.5" customHeight="1" x14ac:dyDescent="0.25">
      <c r="A16" s="6" t="s">
        <v>3</v>
      </c>
      <c r="B16" s="4" t="s">
        <v>14</v>
      </c>
    </row>
    <row r="17" spans="1:2" ht="41.25" customHeight="1" x14ac:dyDescent="0.25">
      <c r="A17" s="6" t="s">
        <v>263</v>
      </c>
      <c r="B17" s="4" t="s">
        <v>264</v>
      </c>
    </row>
    <row r="18" spans="1:2" ht="54.75" customHeight="1" x14ac:dyDescent="0.25">
      <c r="A18" s="6" t="s">
        <v>261</v>
      </c>
      <c r="B18" s="196" t="s">
        <v>262</v>
      </c>
    </row>
    <row r="19" spans="1:2" ht="26.25" customHeight="1" x14ac:dyDescent="0.25">
      <c r="A19" s="13"/>
      <c r="B19" s="125"/>
    </row>
    <row r="20" spans="1:2" x14ac:dyDescent="0.25">
      <c r="A20" s="5"/>
    </row>
    <row r="21" spans="1:2" x14ac:dyDescent="0.25">
      <c r="A21" s="11"/>
    </row>
    <row r="22" spans="1:2" x14ac:dyDescent="0.25">
      <c r="A22" s="11"/>
    </row>
    <row r="23" spans="1:2" x14ac:dyDescent="0.25">
      <c r="A23" s="12"/>
    </row>
  </sheetData>
  <mergeCells count="2">
    <mergeCell ref="A2:B2"/>
    <mergeCell ref="A3:B3"/>
  </mergeCells>
  <pageMargins left="0.7" right="0.7" top="0.75" bottom="0.75" header="0.3" footer="0.3"/>
  <pageSetup paperSize="9" scale="52" orientation="portrait" r:id="rId1"/>
  <headerFooter>
    <oddFooter>&amp;L&amp;1#&amp;"Calibri"&amp;12&amp;KAF6400F O R T R O L I G</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120"/>
  <sheetViews>
    <sheetView tabSelected="1" zoomScale="80" zoomScaleNormal="80" workbookViewId="0">
      <pane xSplit="1" ySplit="1" topLeftCell="B2" activePane="bottomRight" state="frozen"/>
      <selection activeCell="B1" activeCellId="1" sqref="B3 B1:B1048576"/>
      <selection pane="topRight" activeCell="B1" activeCellId="1" sqref="B3 B1:B1048576"/>
      <selection pane="bottomLeft" activeCell="B1" activeCellId="1" sqref="B3 B1:B1048576"/>
      <selection pane="bottomRight" activeCell="B5" sqref="B5"/>
    </sheetView>
  </sheetViews>
  <sheetFormatPr baseColWidth="10" defaultRowHeight="15" x14ac:dyDescent="0.25"/>
  <cols>
    <col min="1" max="1" width="67.85546875" style="104" customWidth="1"/>
    <col min="2" max="15" width="18" style="64" customWidth="1"/>
    <col min="16" max="16" width="18" style="88" customWidth="1"/>
    <col min="17" max="17" width="18" style="64" customWidth="1"/>
    <col min="18" max="18" width="16.140625" style="64" customWidth="1"/>
    <col min="19" max="19" width="18" style="64" customWidth="1"/>
    <col min="20" max="20" width="16.140625" style="64" customWidth="1"/>
    <col min="21" max="25" width="18" style="64" customWidth="1"/>
    <col min="26" max="26" width="16.140625" style="64" customWidth="1"/>
    <col min="27" max="27" width="18" style="64" customWidth="1"/>
    <col min="28" max="28" width="16.140625" style="64" customWidth="1"/>
    <col min="29" max="29" width="15" style="64" customWidth="1"/>
    <col min="30" max="30" width="16.140625" customWidth="1"/>
    <col min="31" max="31" width="15" customWidth="1"/>
    <col min="32" max="32" width="16.140625" customWidth="1"/>
    <col min="33" max="33" width="15" customWidth="1"/>
    <col min="34" max="34" width="14.5703125" customWidth="1"/>
    <col min="35" max="35" width="13.7109375" customWidth="1"/>
    <col min="36" max="36" width="14" customWidth="1"/>
    <col min="37" max="37" width="14.7109375" customWidth="1"/>
    <col min="38" max="40" width="15" customWidth="1"/>
    <col min="41" max="41" width="16.140625" customWidth="1"/>
    <col min="42" max="42" width="17.85546875" bestFit="1" customWidth="1"/>
    <col min="43" max="43" width="13" customWidth="1"/>
    <col min="44" max="44" width="17.85546875" bestFit="1" customWidth="1"/>
    <col min="45" max="45" width="13.7109375" customWidth="1"/>
    <col min="46" max="46" width="14.28515625" customWidth="1"/>
    <col min="47" max="47" width="13.42578125" customWidth="1"/>
    <col min="48" max="48" width="13.7109375" customWidth="1"/>
    <col min="49" max="49" width="14" customWidth="1"/>
  </cols>
  <sheetData>
    <row r="1" spans="1:50" s="34" customFormat="1" x14ac:dyDescent="0.25">
      <c r="A1" s="103" t="s">
        <v>26</v>
      </c>
      <c r="B1" s="92">
        <v>44469</v>
      </c>
      <c r="C1" s="93" t="s">
        <v>276</v>
      </c>
      <c r="D1" s="92">
        <v>44377</v>
      </c>
      <c r="E1" s="93" t="s">
        <v>271</v>
      </c>
      <c r="F1" s="92">
        <v>44286</v>
      </c>
      <c r="G1" s="93" t="s">
        <v>260</v>
      </c>
      <c r="H1" s="92">
        <v>44196</v>
      </c>
      <c r="I1" s="93" t="s">
        <v>243</v>
      </c>
      <c r="J1" s="92">
        <v>44104</v>
      </c>
      <c r="K1" s="93" t="s">
        <v>240</v>
      </c>
      <c r="L1" s="92">
        <v>44012</v>
      </c>
      <c r="M1" s="93" t="s">
        <v>237</v>
      </c>
      <c r="N1" s="92">
        <v>43921</v>
      </c>
      <c r="O1" s="93" t="s">
        <v>234</v>
      </c>
      <c r="P1" s="92">
        <v>43830</v>
      </c>
      <c r="Q1" s="93" t="s">
        <v>228</v>
      </c>
      <c r="R1" s="92">
        <v>43738</v>
      </c>
      <c r="S1" s="93" t="s">
        <v>225</v>
      </c>
      <c r="T1" s="92">
        <v>43646</v>
      </c>
      <c r="U1" s="93" t="s">
        <v>222</v>
      </c>
      <c r="V1" s="92">
        <v>43555</v>
      </c>
      <c r="W1" s="93" t="s">
        <v>219</v>
      </c>
      <c r="X1" s="92">
        <v>43465</v>
      </c>
      <c r="Y1" s="93" t="s">
        <v>163</v>
      </c>
      <c r="Z1" s="92">
        <v>43373</v>
      </c>
      <c r="AA1" s="93" t="s">
        <v>158</v>
      </c>
      <c r="AB1" s="92">
        <v>43281</v>
      </c>
      <c r="AC1" s="93" t="s">
        <v>154</v>
      </c>
      <c r="AD1" s="35">
        <v>43190</v>
      </c>
      <c r="AE1" s="36" t="s">
        <v>151</v>
      </c>
      <c r="AF1" s="35">
        <v>43100</v>
      </c>
      <c r="AG1" s="36" t="s">
        <v>29</v>
      </c>
      <c r="AH1" s="35">
        <v>43008</v>
      </c>
      <c r="AI1" s="36" t="s">
        <v>30</v>
      </c>
      <c r="AJ1" s="35">
        <v>42916</v>
      </c>
      <c r="AK1" s="36" t="s">
        <v>31</v>
      </c>
      <c r="AL1" s="35">
        <v>42825</v>
      </c>
      <c r="AM1" s="36" t="s">
        <v>32</v>
      </c>
      <c r="AN1" s="35">
        <v>42735</v>
      </c>
      <c r="AO1" s="36" t="s">
        <v>33</v>
      </c>
      <c r="AP1" s="35">
        <v>42643</v>
      </c>
      <c r="AQ1" s="36" t="s">
        <v>34</v>
      </c>
      <c r="AR1" s="35">
        <v>42551</v>
      </c>
      <c r="AS1" s="36" t="s">
        <v>35</v>
      </c>
      <c r="AT1" s="35">
        <v>42460</v>
      </c>
      <c r="AU1" s="36" t="s">
        <v>36</v>
      </c>
      <c r="AV1" s="35">
        <v>42369</v>
      </c>
      <c r="AW1" s="34" t="s">
        <v>52</v>
      </c>
    </row>
    <row r="2" spans="1:50" x14ac:dyDescent="0.25">
      <c r="U2" s="88"/>
      <c r="Z2" s="88"/>
      <c r="AA2" s="88"/>
    </row>
    <row r="3" spans="1:50" x14ac:dyDescent="0.25">
      <c r="A3" s="105"/>
      <c r="B3" s="70"/>
      <c r="C3" s="70"/>
      <c r="D3" s="70"/>
      <c r="E3" s="70"/>
      <c r="F3" s="70"/>
      <c r="G3" s="70"/>
      <c r="H3" s="70"/>
      <c r="I3" s="70"/>
      <c r="J3" s="70"/>
      <c r="K3" s="70"/>
      <c r="L3" s="70"/>
      <c r="M3" s="70"/>
      <c r="N3" s="70"/>
      <c r="O3" s="70"/>
      <c r="P3" s="90"/>
      <c r="Q3" s="70"/>
      <c r="R3" s="70"/>
      <c r="S3" s="70"/>
      <c r="T3" s="70"/>
      <c r="U3" s="90"/>
      <c r="V3" s="70"/>
      <c r="W3" s="70"/>
      <c r="X3" s="70"/>
      <c r="Y3" s="70"/>
      <c r="Z3" s="90"/>
      <c r="AA3" s="90"/>
      <c r="AB3" s="70"/>
      <c r="AC3" s="70"/>
      <c r="AD3" s="14"/>
      <c r="AE3" s="14"/>
      <c r="AF3" s="14"/>
      <c r="AG3" s="14"/>
      <c r="AH3" s="14"/>
      <c r="AI3" s="14"/>
      <c r="AJ3" s="14"/>
      <c r="AK3" s="14"/>
      <c r="AL3" s="14"/>
      <c r="AM3" s="14"/>
      <c r="AN3" s="14"/>
      <c r="AO3" s="14"/>
      <c r="AP3" s="14"/>
      <c r="AQ3" s="14"/>
      <c r="AR3" s="14"/>
      <c r="AS3" s="14"/>
      <c r="AT3" s="14"/>
      <c r="AU3" s="14"/>
    </row>
    <row r="4" spans="1:50" x14ac:dyDescent="0.25">
      <c r="A4" s="105" t="s">
        <v>19</v>
      </c>
      <c r="B4" s="20">
        <v>2198.7897920000005</v>
      </c>
      <c r="C4" s="20">
        <v>675.43365099999994</v>
      </c>
      <c r="D4" s="20">
        <v>1523.3561410000002</v>
      </c>
      <c r="E4" s="20">
        <v>755.46920999999986</v>
      </c>
      <c r="F4" s="20">
        <v>767.88692999999989</v>
      </c>
      <c r="G4" s="20">
        <v>767.88692999999989</v>
      </c>
      <c r="H4" s="20">
        <v>1977.8815530000002</v>
      </c>
      <c r="I4" s="20">
        <v>450.22684600000002</v>
      </c>
      <c r="J4" s="20">
        <v>1527.6547059999991</v>
      </c>
      <c r="K4" s="20">
        <v>519.33535000000018</v>
      </c>
      <c r="L4" s="20">
        <v>1008.319357</v>
      </c>
      <c r="M4" s="20">
        <v>718.69838099999981</v>
      </c>
      <c r="N4" s="20">
        <v>289.62097599999993</v>
      </c>
      <c r="O4" s="20">
        <v>289.62097599999993</v>
      </c>
      <c r="P4" s="20">
        <v>2563.3269190000005</v>
      </c>
      <c r="Q4" s="20">
        <v>346.34799999999996</v>
      </c>
      <c r="R4" s="20">
        <v>2216.9789230000006</v>
      </c>
      <c r="S4" s="20">
        <v>488.11306600000012</v>
      </c>
      <c r="T4" s="20">
        <v>1728.8658539999999</v>
      </c>
      <c r="U4" s="20">
        <v>682.57706699999983</v>
      </c>
      <c r="V4" s="20">
        <v>1046.288789</v>
      </c>
      <c r="W4" s="20">
        <v>1046.288789</v>
      </c>
      <c r="X4" s="20">
        <v>2089.7060110000002</v>
      </c>
      <c r="Y4" s="20">
        <v>401.08494899999988</v>
      </c>
      <c r="Z4" s="20">
        <v>1688.6210630000007</v>
      </c>
      <c r="AA4" s="20">
        <v>479.64145300000001</v>
      </c>
      <c r="AB4" s="20">
        <v>1208.9796089999998</v>
      </c>
      <c r="AC4" s="20">
        <v>743.07443599999988</v>
      </c>
      <c r="AD4" s="20">
        <v>465.9051740000001</v>
      </c>
      <c r="AE4" s="20">
        <v>465.9051740000001</v>
      </c>
      <c r="AF4" s="17">
        <v>1828.1755349999996</v>
      </c>
      <c r="AG4" s="17">
        <v>552.96782299999995</v>
      </c>
      <c r="AH4" s="20">
        <v>1275.4393257525001</v>
      </c>
      <c r="AI4" s="20">
        <v>499.51647091749982</v>
      </c>
      <c r="AJ4" s="20">
        <v>775.88704233500005</v>
      </c>
      <c r="AK4" s="20">
        <v>409.11490300000003</v>
      </c>
      <c r="AL4" s="20">
        <v>366.72430600000001</v>
      </c>
      <c r="AM4" s="20">
        <v>366.57633725499977</v>
      </c>
      <c r="AN4" s="20">
        <v>1680.9976879899996</v>
      </c>
      <c r="AO4" s="20">
        <v>470.48943324250013</v>
      </c>
      <c r="AP4" s="20">
        <v>1210.4704714974994</v>
      </c>
      <c r="AQ4" s="20">
        <v>422.4114718350001</v>
      </c>
      <c r="AR4" s="20">
        <v>788.05900066250047</v>
      </c>
      <c r="AS4" s="20">
        <v>468.42951891500007</v>
      </c>
      <c r="AT4" s="20">
        <v>319.62948174750005</v>
      </c>
      <c r="AU4" s="20">
        <v>319.62948174750005</v>
      </c>
      <c r="AV4" s="60">
        <v>1454.0306119000004</v>
      </c>
      <c r="AW4" s="19">
        <v>296.0728165000001</v>
      </c>
    </row>
    <row r="5" spans="1:50" x14ac:dyDescent="0.25">
      <c r="A5" s="106" t="s">
        <v>20</v>
      </c>
      <c r="B5" s="21">
        <v>40.051579500000003</v>
      </c>
      <c r="C5" s="21">
        <v>9.8528055000000005</v>
      </c>
      <c r="D5" s="21">
        <v>30.198774</v>
      </c>
      <c r="E5" s="21">
        <v>10.311061439999998</v>
      </c>
      <c r="F5" s="21">
        <v>19.887712560000004</v>
      </c>
      <c r="G5" s="21">
        <v>19.887712560000004</v>
      </c>
      <c r="H5" s="21">
        <v>58.619650979999989</v>
      </c>
      <c r="I5" s="21">
        <v>9.7911584999999999</v>
      </c>
      <c r="J5" s="21">
        <v>48.828492479999994</v>
      </c>
      <c r="K5" s="21">
        <v>10.7894215</v>
      </c>
      <c r="L5" s="21">
        <v>38.039070979999991</v>
      </c>
      <c r="M5" s="21">
        <v>13.920395000000001</v>
      </c>
      <c r="N5" s="21">
        <v>24.118675979999988</v>
      </c>
      <c r="O5" s="21">
        <v>24.118675979999988</v>
      </c>
      <c r="P5" s="21">
        <v>49.401213550000008</v>
      </c>
      <c r="Q5" s="21">
        <v>10.461065730000012</v>
      </c>
      <c r="R5" s="21">
        <v>38.940146999999996</v>
      </c>
      <c r="S5" s="21">
        <v>9.837549000000001</v>
      </c>
      <c r="T5" s="21">
        <v>29.102597999999997</v>
      </c>
      <c r="U5" s="21">
        <v>9.6813139999999986</v>
      </c>
      <c r="V5" s="21">
        <v>19.421284</v>
      </c>
      <c r="W5" s="21">
        <v>19.421284</v>
      </c>
      <c r="X5" s="21">
        <v>37.446188999999997</v>
      </c>
      <c r="Y5" s="21">
        <v>9.4673631299999954</v>
      </c>
      <c r="Z5" s="21">
        <v>27.978825870000005</v>
      </c>
      <c r="AA5" s="21">
        <v>7.4206257200000136</v>
      </c>
      <c r="AB5" s="21">
        <v>19.59341053</v>
      </c>
      <c r="AC5" s="21">
        <v>8.7954252500000045</v>
      </c>
      <c r="AD5" s="21">
        <v>10.797985279999997</v>
      </c>
      <c r="AE5" s="21">
        <v>10.797985279999997</v>
      </c>
      <c r="AF5" s="18">
        <v>33.083989582500003</v>
      </c>
      <c r="AG5" s="18">
        <f>8021770.83/1000000</f>
        <v>8.0217708299999995</v>
      </c>
      <c r="AH5" s="21">
        <v>25.062218752500002</v>
      </c>
      <c r="AI5" s="21">
        <f>8226010.4175/1000000</f>
        <v>8.2260104175000013</v>
      </c>
      <c r="AJ5" s="21">
        <v>16.836208334999998</v>
      </c>
      <c r="AK5" s="21">
        <f>8291458.335/1000000</f>
        <v>8.2914583349999997</v>
      </c>
      <c r="AL5" s="21">
        <v>8.5447500000000005</v>
      </c>
      <c r="AM5" s="21">
        <f>8544750/1000000</f>
        <v>8.5447500000000005</v>
      </c>
      <c r="AN5" s="21">
        <v>33.920749995000001</v>
      </c>
      <c r="AO5" s="21">
        <f>8494281.2475/1000000</f>
        <v>8.4942812475</v>
      </c>
      <c r="AP5" s="21">
        <v>25.417937497499999</v>
      </c>
      <c r="AQ5" s="18">
        <v>8.3857708350000006</v>
      </c>
      <c r="AR5" s="18">
        <v>17.0321666625</v>
      </c>
      <c r="AS5" s="18">
        <v>8.4525729149999993</v>
      </c>
      <c r="AT5" s="18">
        <v>8.5795937475000006</v>
      </c>
      <c r="AU5" s="18">
        <v>8.5795937475000006</v>
      </c>
      <c r="AV5" s="61">
        <v>36.080729175000002</v>
      </c>
      <c r="AW5" s="18">
        <v>8.8693124999999995</v>
      </c>
    </row>
    <row r="6" spans="1:50" x14ac:dyDescent="0.25">
      <c r="A6" s="105" t="s">
        <v>21</v>
      </c>
      <c r="B6" s="20">
        <f t="shared" ref="B6:C6" si="0">B4-B5</f>
        <v>2158.7382125000004</v>
      </c>
      <c r="C6" s="20">
        <f t="shared" si="0"/>
        <v>665.5808454999999</v>
      </c>
      <c r="D6" s="20">
        <f t="shared" ref="D6:N6" si="1">D4-D5</f>
        <v>1493.1573670000002</v>
      </c>
      <c r="E6" s="20">
        <f t="shared" si="1"/>
        <v>745.15814855999986</v>
      </c>
      <c r="F6" s="20">
        <f t="shared" si="1"/>
        <v>747.99921743999994</v>
      </c>
      <c r="G6" s="20">
        <f t="shared" si="1"/>
        <v>747.99921743999994</v>
      </c>
      <c r="H6" s="20">
        <f t="shared" si="1"/>
        <v>1919.2619020200002</v>
      </c>
      <c r="I6" s="20">
        <f t="shared" si="1"/>
        <v>440.43568750000003</v>
      </c>
      <c r="J6" s="20">
        <f t="shared" si="1"/>
        <v>1478.8262135199991</v>
      </c>
      <c r="K6" s="20">
        <f t="shared" si="1"/>
        <v>508.54592850000017</v>
      </c>
      <c r="L6" s="20">
        <f t="shared" si="1"/>
        <v>970.28028601999995</v>
      </c>
      <c r="M6" s="20">
        <f t="shared" si="1"/>
        <v>704.77798599999983</v>
      </c>
      <c r="N6" s="20">
        <f t="shared" si="1"/>
        <v>265.50230001999995</v>
      </c>
      <c r="O6" s="20">
        <v>265.50230001999995</v>
      </c>
      <c r="P6" s="20">
        <v>2513.9257054500004</v>
      </c>
      <c r="Q6" s="20">
        <v>335.88693426999993</v>
      </c>
      <c r="R6" s="20">
        <f t="shared" ref="R6:AE6" si="2">R4-R5</f>
        <v>2178.0387760000008</v>
      </c>
      <c r="S6" s="20">
        <f t="shared" si="2"/>
        <v>478.27551700000009</v>
      </c>
      <c r="T6" s="20">
        <f t="shared" si="2"/>
        <v>1699.763256</v>
      </c>
      <c r="U6" s="20">
        <f t="shared" si="2"/>
        <v>672.89575299999979</v>
      </c>
      <c r="V6" s="20">
        <f t="shared" si="2"/>
        <v>1026.8675049999999</v>
      </c>
      <c r="W6" s="20">
        <f t="shared" si="2"/>
        <v>1026.8675049999999</v>
      </c>
      <c r="X6" s="20">
        <f t="shared" si="2"/>
        <v>2052.2598220000004</v>
      </c>
      <c r="Y6" s="20">
        <f t="shared" si="2"/>
        <v>391.61758586999986</v>
      </c>
      <c r="Z6" s="20">
        <f t="shared" si="2"/>
        <v>1660.6422371300007</v>
      </c>
      <c r="AA6" s="20">
        <f t="shared" si="2"/>
        <v>472.22082727999998</v>
      </c>
      <c r="AB6" s="20">
        <f t="shared" si="2"/>
        <v>1189.3861984699997</v>
      </c>
      <c r="AC6" s="20">
        <f t="shared" si="2"/>
        <v>734.27901074999988</v>
      </c>
      <c r="AD6" s="20">
        <f t="shared" si="2"/>
        <v>455.10718872000012</v>
      </c>
      <c r="AE6" s="20">
        <f t="shared" si="2"/>
        <v>455.10718872000012</v>
      </c>
      <c r="AF6" s="17">
        <f t="shared" ref="AF6:AW6" si="3">AF4-AF5</f>
        <v>1795.0915454174997</v>
      </c>
      <c r="AG6" s="17">
        <f t="shared" si="3"/>
        <v>544.94605216999992</v>
      </c>
      <c r="AH6" s="20">
        <f t="shared" si="3"/>
        <v>1250.377107</v>
      </c>
      <c r="AI6" s="20">
        <f t="shared" si="3"/>
        <v>491.29046049999982</v>
      </c>
      <c r="AJ6" s="20">
        <f t="shared" si="3"/>
        <v>759.05083400000001</v>
      </c>
      <c r="AK6" s="20">
        <f t="shared" si="3"/>
        <v>400.82344466500001</v>
      </c>
      <c r="AL6" s="20">
        <f t="shared" si="3"/>
        <v>358.17955599999999</v>
      </c>
      <c r="AM6" s="20">
        <f t="shared" si="3"/>
        <v>358.03158725499975</v>
      </c>
      <c r="AN6" s="20">
        <f t="shared" si="3"/>
        <v>1647.0769379949995</v>
      </c>
      <c r="AO6" s="20">
        <f t="shared" si="3"/>
        <v>461.99515199500013</v>
      </c>
      <c r="AP6" s="20">
        <f t="shared" si="3"/>
        <v>1185.0525339999995</v>
      </c>
      <c r="AQ6" s="20">
        <f t="shared" si="3"/>
        <v>414.02570100000008</v>
      </c>
      <c r="AR6" s="20">
        <f t="shared" si="3"/>
        <v>771.02683400000046</v>
      </c>
      <c r="AS6" s="20">
        <f t="shared" si="3"/>
        <v>459.97694600000005</v>
      </c>
      <c r="AT6" s="20">
        <f t="shared" si="3"/>
        <v>311.04988800000007</v>
      </c>
      <c r="AU6" s="20">
        <f t="shared" si="3"/>
        <v>311.04988800000007</v>
      </c>
      <c r="AV6" s="20">
        <f t="shared" si="3"/>
        <v>1417.9498827250004</v>
      </c>
      <c r="AW6" s="19">
        <f t="shared" si="3"/>
        <v>287.20350400000012</v>
      </c>
    </row>
    <row r="7" spans="1:50" x14ac:dyDescent="0.25">
      <c r="A7" s="105"/>
      <c r="B7" s="62"/>
      <c r="C7" s="62"/>
      <c r="D7" s="62"/>
      <c r="E7" s="62"/>
      <c r="F7" s="62"/>
      <c r="G7" s="62"/>
      <c r="H7" s="62"/>
      <c r="I7" s="62"/>
      <c r="J7" s="62"/>
      <c r="K7" s="62"/>
      <c r="L7" s="62"/>
      <c r="M7" s="62"/>
      <c r="N7" s="20"/>
      <c r="O7" s="20"/>
      <c r="P7" s="20"/>
      <c r="Q7" s="62"/>
      <c r="R7" s="62"/>
      <c r="S7" s="62"/>
      <c r="T7" s="62"/>
      <c r="U7" s="20"/>
      <c r="V7" s="62"/>
      <c r="W7" s="62"/>
      <c r="X7" s="62"/>
      <c r="Y7" s="62"/>
      <c r="Z7" s="20"/>
      <c r="AA7" s="20"/>
      <c r="AB7" s="20"/>
      <c r="AC7" s="20"/>
      <c r="AD7" s="62"/>
      <c r="AE7" s="62"/>
      <c r="AF7" s="17"/>
      <c r="AG7" s="17"/>
      <c r="AH7" s="20"/>
      <c r="AI7" s="20"/>
      <c r="AJ7" s="20"/>
      <c r="AK7" s="20"/>
      <c r="AL7" s="20"/>
      <c r="AM7" s="20"/>
      <c r="AN7" s="20"/>
      <c r="AO7" s="20"/>
      <c r="AP7" s="20"/>
      <c r="AQ7" s="17"/>
      <c r="AR7" s="17"/>
      <c r="AS7" s="17"/>
      <c r="AT7" s="17"/>
      <c r="AU7" s="17"/>
      <c r="AV7" s="19"/>
      <c r="AW7" s="19"/>
    </row>
    <row r="8" spans="1:50" x14ac:dyDescent="0.25">
      <c r="A8" s="105" t="s">
        <v>22</v>
      </c>
      <c r="B8" s="20">
        <v>23076.905426000001</v>
      </c>
      <c r="C8" s="20">
        <f>B8</f>
        <v>23076.905426000001</v>
      </c>
      <c r="D8" s="20">
        <v>22382.415581000001</v>
      </c>
      <c r="E8" s="20">
        <f>D8</f>
        <v>22382.415581000001</v>
      </c>
      <c r="F8" s="20">
        <v>21734.386421000007</v>
      </c>
      <c r="G8" s="20">
        <v>21734.386421000007</v>
      </c>
      <c r="H8" s="20">
        <v>21309.746222999998</v>
      </c>
      <c r="I8" s="20">
        <v>21309.746222999998</v>
      </c>
      <c r="J8" s="20">
        <v>20829.492364000002</v>
      </c>
      <c r="K8" s="20">
        <f>J8</f>
        <v>20829.492364000002</v>
      </c>
      <c r="L8" s="20">
        <v>20320.449167999999</v>
      </c>
      <c r="M8" s="20">
        <f>L8</f>
        <v>20320.449167999999</v>
      </c>
      <c r="N8" s="20">
        <v>19599.824253999999</v>
      </c>
      <c r="O8" s="20">
        <v>19599.824253999999</v>
      </c>
      <c r="P8" s="20">
        <v>20419.767711000004</v>
      </c>
      <c r="Q8" s="20">
        <v>20419.767711000004</v>
      </c>
      <c r="R8" s="20">
        <v>19904.064724</v>
      </c>
      <c r="S8" s="20">
        <f>R8</f>
        <v>19904.064724</v>
      </c>
      <c r="T8" s="20">
        <v>19449.809774000001</v>
      </c>
      <c r="U8" s="20">
        <v>19449.809774000001</v>
      </c>
      <c r="V8" s="20">
        <v>18673.417244999997</v>
      </c>
      <c r="W8" s="20">
        <v>18673.417244999997</v>
      </c>
      <c r="X8" s="20">
        <v>18685.631511</v>
      </c>
      <c r="Y8" s="20">
        <v>18685.631511</v>
      </c>
      <c r="Z8" s="20">
        <v>18650.075338999999</v>
      </c>
      <c r="AA8" s="20">
        <f>Z8</f>
        <v>18650.075338999999</v>
      </c>
      <c r="AB8" s="20">
        <v>17983.832307000004</v>
      </c>
      <c r="AC8" s="20">
        <f>AB8</f>
        <v>17983.832307000004</v>
      </c>
      <c r="AD8" s="20">
        <v>17364.806264000003</v>
      </c>
      <c r="AE8" s="20">
        <v>17364.806264000003</v>
      </c>
      <c r="AF8" s="17">
        <v>17509.798303000003</v>
      </c>
      <c r="AG8" s="17">
        <v>17509.798303000003</v>
      </c>
      <c r="AH8" s="20">
        <v>16967.908790752499</v>
      </c>
      <c r="AI8" s="20">
        <v>16951.072582417499</v>
      </c>
      <c r="AJ8" s="20">
        <v>16482.052351450398</v>
      </c>
      <c r="AK8" s="20">
        <v>16473.507601450401</v>
      </c>
      <c r="AL8" s="20">
        <v>16006.741612000002</v>
      </c>
      <c r="AM8" s="20">
        <v>16006.741612000002</v>
      </c>
      <c r="AN8" s="20">
        <v>16249.298683999999</v>
      </c>
      <c r="AO8" s="20">
        <v>16249.298683999999</v>
      </c>
      <c r="AP8" s="20">
        <v>15868.606189497499</v>
      </c>
      <c r="AQ8" s="17">
        <v>15851.574022835001</v>
      </c>
      <c r="AR8" s="17">
        <v>15426.777326662501</v>
      </c>
      <c r="AS8" s="17">
        <v>15418.197732915</v>
      </c>
      <c r="AT8" s="17">
        <v>15009.085067747499</v>
      </c>
      <c r="AU8" s="17">
        <v>15009.085067747499</v>
      </c>
      <c r="AV8" s="17">
        <v>14853.613821999999</v>
      </c>
      <c r="AW8" s="17">
        <v>14853.613821999999</v>
      </c>
    </row>
    <row r="9" spans="1:50" x14ac:dyDescent="0.25">
      <c r="A9" s="106" t="s">
        <v>23</v>
      </c>
      <c r="B9" s="96">
        <v>1252.4524200000001</v>
      </c>
      <c r="C9" s="21">
        <f>B9</f>
        <v>1252.4524200000001</v>
      </c>
      <c r="D9" s="96">
        <v>1262.3052259999999</v>
      </c>
      <c r="E9" s="21">
        <f>D9</f>
        <v>1262.3052259999999</v>
      </c>
      <c r="F9" s="21">
        <v>1272.6162859999999</v>
      </c>
      <c r="G9" s="21">
        <v>1272.6162859999999</v>
      </c>
      <c r="H9" s="21">
        <v>1292.503999</v>
      </c>
      <c r="I9" s="21">
        <v>1292.503999</v>
      </c>
      <c r="J9" s="21">
        <v>1243.67551</v>
      </c>
      <c r="K9" s="21">
        <f>J9</f>
        <v>1243.67551</v>
      </c>
      <c r="L9" s="21">
        <v>1254.464931</v>
      </c>
      <c r="M9" s="21">
        <f>L9</f>
        <v>1254.464931</v>
      </c>
      <c r="N9" s="21">
        <v>1268.3853260000001</v>
      </c>
      <c r="O9" s="21">
        <v>1268.3853260000001</v>
      </c>
      <c r="P9" s="21">
        <v>1292.5040019999999</v>
      </c>
      <c r="Q9" s="21">
        <v>1292.5040019999999</v>
      </c>
      <c r="R9" s="21">
        <v>1003.563854</v>
      </c>
      <c r="S9" s="21">
        <f>R9</f>
        <v>1003.563854</v>
      </c>
      <c r="T9" s="21">
        <v>1013.401402</v>
      </c>
      <c r="U9" s="21">
        <v>1013.401402</v>
      </c>
      <c r="V9" s="21">
        <v>1023.082715</v>
      </c>
      <c r="W9" s="21">
        <v>1023.082715</v>
      </c>
      <c r="X9" s="21">
        <v>1042.5039999999999</v>
      </c>
      <c r="Y9" s="21">
        <v>1042.5039999999999</v>
      </c>
      <c r="Z9" s="21">
        <v>1309.5251740000001</v>
      </c>
      <c r="AA9" s="21">
        <f>Z9</f>
        <v>1309.5251740000001</v>
      </c>
      <c r="AB9" s="21">
        <f>1136.429845+0.07</f>
        <v>1136.4998449999998</v>
      </c>
      <c r="AC9" s="21">
        <f>AB9</f>
        <v>1136.4998449999998</v>
      </c>
      <c r="AD9" s="21">
        <v>1305.706015</v>
      </c>
      <c r="AE9" s="21">
        <v>1305.706015</v>
      </c>
      <c r="AF9" s="18">
        <v>992.50400000000002</v>
      </c>
      <c r="AG9" s="18">
        <v>992.50400000000002</v>
      </c>
      <c r="AH9" s="21">
        <f t="shared" ref="AH9:AM9" si="4">950+AH5</f>
        <v>975.06221875250003</v>
      </c>
      <c r="AI9" s="21">
        <f t="shared" si="4"/>
        <v>958.22601041749999</v>
      </c>
      <c r="AJ9" s="21">
        <f t="shared" si="4"/>
        <v>966.83620833500004</v>
      </c>
      <c r="AK9" s="21">
        <f t="shared" si="4"/>
        <v>958.29145833500002</v>
      </c>
      <c r="AL9" s="21">
        <f t="shared" si="4"/>
        <v>958.54475000000002</v>
      </c>
      <c r="AM9" s="21">
        <f t="shared" si="4"/>
        <v>958.54475000000002</v>
      </c>
      <c r="AN9" s="21">
        <v>950</v>
      </c>
      <c r="AO9" s="21">
        <v>950</v>
      </c>
      <c r="AP9" s="21">
        <f t="shared" ref="AP9:AW9" si="5">950+AP5</f>
        <v>975.41793749750002</v>
      </c>
      <c r="AQ9" s="21">
        <f t="shared" si="5"/>
        <v>958.38577083500002</v>
      </c>
      <c r="AR9" s="21">
        <f t="shared" si="5"/>
        <v>967.0321666625</v>
      </c>
      <c r="AS9" s="21">
        <f t="shared" si="5"/>
        <v>958.45257291500002</v>
      </c>
      <c r="AT9" s="21">
        <f t="shared" si="5"/>
        <v>958.57959374749998</v>
      </c>
      <c r="AU9" s="21">
        <f t="shared" si="5"/>
        <v>958.57959374749998</v>
      </c>
      <c r="AV9" s="21">
        <f t="shared" si="5"/>
        <v>986.08072917499999</v>
      </c>
      <c r="AW9" s="21">
        <f t="shared" si="5"/>
        <v>958.86931249999998</v>
      </c>
    </row>
    <row r="10" spans="1:50" x14ac:dyDescent="0.25">
      <c r="A10" s="105" t="s">
        <v>24</v>
      </c>
      <c r="B10" s="20">
        <f t="shared" ref="B10:C10" si="6">B8-B9</f>
        <v>21824.453006</v>
      </c>
      <c r="C10" s="20">
        <f t="shared" si="6"/>
        <v>21824.453006</v>
      </c>
      <c r="D10" s="20">
        <f t="shared" ref="D10:G10" si="7">D8-D9</f>
        <v>21120.110355000001</v>
      </c>
      <c r="E10" s="20">
        <f t="shared" si="7"/>
        <v>21120.110355000001</v>
      </c>
      <c r="F10" s="20">
        <f t="shared" si="7"/>
        <v>20461.770135000006</v>
      </c>
      <c r="G10" s="20">
        <f t="shared" si="7"/>
        <v>20461.770135000006</v>
      </c>
      <c r="H10" s="20">
        <f t="shared" ref="H10:K10" si="8">H8-H9</f>
        <v>20017.242223999998</v>
      </c>
      <c r="I10" s="20">
        <f t="shared" si="8"/>
        <v>20017.242223999998</v>
      </c>
      <c r="J10" s="20">
        <f t="shared" si="8"/>
        <v>19585.816854000001</v>
      </c>
      <c r="K10" s="20">
        <f t="shared" si="8"/>
        <v>19585.816854000001</v>
      </c>
      <c r="L10" s="20">
        <f t="shared" ref="L10:N10" si="9">L8-L9</f>
        <v>19065.984237000001</v>
      </c>
      <c r="M10" s="20">
        <f t="shared" si="9"/>
        <v>19065.984237000001</v>
      </c>
      <c r="N10" s="20">
        <f t="shared" si="9"/>
        <v>18331.438928</v>
      </c>
      <c r="O10" s="20">
        <v>18331.438928</v>
      </c>
      <c r="P10" s="20">
        <v>19127.263709000003</v>
      </c>
      <c r="Q10" s="20">
        <v>19127.263709000003</v>
      </c>
      <c r="R10" s="20">
        <f t="shared" ref="R10:AE10" si="10">R8-R9</f>
        <v>18900.50087</v>
      </c>
      <c r="S10" s="20">
        <f t="shared" si="10"/>
        <v>18900.50087</v>
      </c>
      <c r="T10" s="20">
        <f t="shared" si="10"/>
        <v>18436.408372000002</v>
      </c>
      <c r="U10" s="20">
        <f t="shared" si="10"/>
        <v>18436.408372000002</v>
      </c>
      <c r="V10" s="20">
        <f t="shared" si="10"/>
        <v>17650.334529999996</v>
      </c>
      <c r="W10" s="20">
        <f t="shared" si="10"/>
        <v>17650.334529999996</v>
      </c>
      <c r="X10" s="20">
        <f t="shared" si="10"/>
        <v>17643.127510999999</v>
      </c>
      <c r="Y10" s="20">
        <f t="shared" si="10"/>
        <v>17643.127510999999</v>
      </c>
      <c r="Z10" s="20">
        <f t="shared" si="10"/>
        <v>17340.550165000001</v>
      </c>
      <c r="AA10" s="20">
        <f t="shared" si="10"/>
        <v>17340.550165000001</v>
      </c>
      <c r="AB10" s="20">
        <f t="shared" si="10"/>
        <v>16847.332462000006</v>
      </c>
      <c r="AC10" s="20">
        <f t="shared" si="10"/>
        <v>16847.332462000006</v>
      </c>
      <c r="AD10" s="20">
        <f t="shared" si="10"/>
        <v>16059.100249000003</v>
      </c>
      <c r="AE10" s="20">
        <f t="shared" si="10"/>
        <v>16059.100249000003</v>
      </c>
      <c r="AF10" s="17">
        <f t="shared" ref="AF10:AW10" si="11">AF8-AF9</f>
        <v>16517.294303000002</v>
      </c>
      <c r="AG10" s="17">
        <f t="shared" si="11"/>
        <v>16517.294303000002</v>
      </c>
      <c r="AH10" s="20">
        <f t="shared" si="11"/>
        <v>15992.846571999999</v>
      </c>
      <c r="AI10" s="20">
        <f t="shared" si="11"/>
        <v>15992.846571999999</v>
      </c>
      <c r="AJ10" s="20">
        <f t="shared" si="11"/>
        <v>15515.216143115398</v>
      </c>
      <c r="AK10" s="20">
        <f t="shared" si="11"/>
        <v>15515.216143115402</v>
      </c>
      <c r="AL10" s="20">
        <f t="shared" si="11"/>
        <v>15048.196862000001</v>
      </c>
      <c r="AM10" s="20">
        <f t="shared" si="11"/>
        <v>15048.196862000001</v>
      </c>
      <c r="AN10" s="20">
        <f t="shared" si="11"/>
        <v>15299.298683999999</v>
      </c>
      <c r="AO10" s="20">
        <f t="shared" si="11"/>
        <v>15299.298683999999</v>
      </c>
      <c r="AP10" s="20">
        <f t="shared" si="11"/>
        <v>14893.188252</v>
      </c>
      <c r="AQ10" s="17">
        <f t="shared" si="11"/>
        <v>14893.188252</v>
      </c>
      <c r="AR10" s="17">
        <f t="shared" si="11"/>
        <v>14459.74516</v>
      </c>
      <c r="AS10" s="17">
        <f t="shared" si="11"/>
        <v>14459.745159999999</v>
      </c>
      <c r="AT10" s="17">
        <f t="shared" si="11"/>
        <v>14050.505474</v>
      </c>
      <c r="AU10" s="17">
        <f t="shared" si="11"/>
        <v>14050.505474</v>
      </c>
      <c r="AV10" s="17">
        <f t="shared" si="11"/>
        <v>13867.533092824999</v>
      </c>
      <c r="AW10" s="17">
        <f t="shared" si="11"/>
        <v>13894.7445095</v>
      </c>
    </row>
    <row r="11" spans="1:50" x14ac:dyDescent="0.25">
      <c r="A11" s="105"/>
      <c r="B11" s="62"/>
      <c r="C11" s="62"/>
      <c r="D11" s="62"/>
      <c r="E11" s="62"/>
      <c r="F11" s="20"/>
      <c r="G11" s="20"/>
      <c r="H11" s="20"/>
      <c r="I11" s="20"/>
      <c r="J11" s="62"/>
      <c r="K11" s="62"/>
      <c r="L11" s="62"/>
      <c r="M11" s="62"/>
      <c r="N11" s="20"/>
      <c r="O11" s="20"/>
      <c r="P11" s="20"/>
      <c r="Q11" s="62"/>
      <c r="R11" s="62"/>
      <c r="S11" s="62"/>
      <c r="T11" s="62"/>
      <c r="U11" s="20"/>
      <c r="V11" s="62"/>
      <c r="W11" s="62"/>
      <c r="X11" s="62"/>
      <c r="Y11" s="62"/>
      <c r="Z11" s="20"/>
      <c r="AA11" s="20"/>
      <c r="AB11" s="62"/>
      <c r="AC11" s="62"/>
      <c r="AD11" s="62"/>
      <c r="AE11" s="62"/>
      <c r="AF11" s="17"/>
      <c r="AG11" s="17"/>
      <c r="AH11" s="20"/>
      <c r="AI11" s="20"/>
      <c r="AJ11" s="20"/>
      <c r="AK11" s="20"/>
      <c r="AL11" s="20"/>
      <c r="AM11" s="20"/>
      <c r="AN11" s="20"/>
      <c r="AO11" s="20"/>
      <c r="AP11" s="20"/>
      <c r="AQ11" s="17"/>
      <c r="AR11" s="17"/>
      <c r="AS11" s="17"/>
      <c r="AT11" s="17"/>
      <c r="AU11" s="17"/>
      <c r="AV11" s="19"/>
      <c r="AW11" s="19"/>
    </row>
    <row r="12" spans="1:50" x14ac:dyDescent="0.25">
      <c r="A12" s="105" t="s">
        <v>27</v>
      </c>
      <c r="B12" s="154">
        <f>(B10+F10+D10+H10)/4</f>
        <v>20855.893930000002</v>
      </c>
      <c r="C12" s="154">
        <f>(C10+E10)/2</f>
        <v>21472.2816805</v>
      </c>
      <c r="D12" s="154">
        <f>(D10+H10+F10)/3</f>
        <v>20533.040904666668</v>
      </c>
      <c r="E12" s="154">
        <f>(E10+G10)/2</f>
        <v>20790.940245000005</v>
      </c>
      <c r="F12" s="154">
        <f>(F10+J10)/2</f>
        <v>20023.793494500002</v>
      </c>
      <c r="G12" s="154">
        <f>(G10+K10)/2</f>
        <v>20023.793494500002</v>
      </c>
      <c r="H12" s="154">
        <f>(H10+L10+J10+N10)/4</f>
        <v>19250.120560750001</v>
      </c>
      <c r="I12" s="154">
        <f>(I10+K10)/2</f>
        <v>19801.529538999999</v>
      </c>
      <c r="J12" s="154">
        <f>(J10+N10+L10+P10)/4</f>
        <v>19027.625932000003</v>
      </c>
      <c r="K12" s="154">
        <f>(K10+M10)/2</f>
        <v>19325.900545500001</v>
      </c>
      <c r="L12" s="154">
        <f>(L10+P10+N10)/3</f>
        <v>18841.562291333335</v>
      </c>
      <c r="M12" s="154">
        <f>(M10+O10)/2</f>
        <v>18698.7115825</v>
      </c>
      <c r="N12" s="154">
        <f>(N10+P10)/2</f>
        <v>18729.351318500001</v>
      </c>
      <c r="O12" s="154">
        <v>18729.351318500001</v>
      </c>
      <c r="P12" s="154">
        <v>18351.526998399997</v>
      </c>
      <c r="Q12" s="154">
        <v>19013.882289500001</v>
      </c>
      <c r="R12" s="154">
        <f>(R10+V10+T10+X10)/4</f>
        <v>18157.59282075</v>
      </c>
      <c r="S12" s="154">
        <f>(S10+T10)/2</f>
        <v>18668.454621000001</v>
      </c>
      <c r="T12" s="20">
        <f>(T10+V10+X10)/3</f>
        <v>17909.956804333331</v>
      </c>
      <c r="U12" s="154">
        <f>(U10+V10)/2</f>
        <v>18043.371450999999</v>
      </c>
      <c r="V12" s="20">
        <f>(V10+X10)/2</f>
        <v>17646.731020499996</v>
      </c>
      <c r="W12" s="154">
        <f>(W10+X10)/2</f>
        <v>17646.731020499996</v>
      </c>
      <c r="X12" s="154">
        <f>(X10+AB10+Z10+AD10+AF10)/5</f>
        <v>16881.480938000001</v>
      </c>
      <c r="Y12" s="154">
        <f>(Y10+Z10)/2</f>
        <v>17491.838838</v>
      </c>
      <c r="Z12" s="20">
        <f>(Z10+AB10+AD10+AF10)/4</f>
        <v>16691.069294750003</v>
      </c>
      <c r="AA12" s="20">
        <f>(AA10+AB10)/2</f>
        <v>17093.941313500003</v>
      </c>
      <c r="AB12" s="20">
        <f>(AB10+AD10+AF10)/3</f>
        <v>16474.575671333336</v>
      </c>
      <c r="AC12" s="20">
        <f>(AC10+AD10)/2</f>
        <v>16453.216355500004</v>
      </c>
      <c r="AD12" s="20">
        <f>(AD10+AF10)/2</f>
        <v>16288.197276000003</v>
      </c>
      <c r="AE12" s="154">
        <f>(AE10+AF10)/2</f>
        <v>16288.197276000003</v>
      </c>
      <c r="AF12" s="17">
        <f>(AF10+AH10+AJ10+AL10+AN10)/5</f>
        <v>15674.57051282308</v>
      </c>
      <c r="AG12" s="17">
        <f>(AG10+AH10)/2</f>
        <v>16255.0704375</v>
      </c>
      <c r="AH12" s="20">
        <f>(AH10+AJ10+AL10+AN10)/4</f>
        <v>15463.889565278851</v>
      </c>
      <c r="AI12" s="20">
        <f>(AI10+AJ10)/2</f>
        <v>15754.031357557698</v>
      </c>
      <c r="AJ12" s="20">
        <f>(AJ10+AL10+AN10)/3</f>
        <v>15287.570563038467</v>
      </c>
      <c r="AK12" s="20">
        <f>(AK10+AL10)/2</f>
        <v>15281.706502557701</v>
      </c>
      <c r="AL12" s="20">
        <f>(AL10+AN10)/2</f>
        <v>15173.747772999999</v>
      </c>
      <c r="AM12" s="20">
        <f>(AM10+AN10)/2</f>
        <v>15173.747772999999</v>
      </c>
      <c r="AN12" s="20">
        <f>(AN10+AP10+AR10+AT10+AV10)/5</f>
        <v>14514.054132565001</v>
      </c>
      <c r="AO12" s="20">
        <f>(AO10+AP10)/2</f>
        <v>15096.243468000001</v>
      </c>
      <c r="AP12" s="20">
        <f>(AP10+AR10+AT10+AV10)/4</f>
        <v>14317.742994706248</v>
      </c>
      <c r="AQ12" s="20">
        <f>(AQ10+AR10)/2</f>
        <v>14676.466705999999</v>
      </c>
      <c r="AR12" s="17">
        <f>(AR10+AT10+AV10)/3</f>
        <v>14125.927908941667</v>
      </c>
      <c r="AS12" s="20">
        <f>(AS10+AT10)/2</f>
        <v>14255.125316999998</v>
      </c>
      <c r="AT12" s="17">
        <f>(AT10+AV10)/2</f>
        <v>13959.019283412499</v>
      </c>
      <c r="AU12" s="20">
        <f>(AU10+AV10)/2</f>
        <v>13959.019283412499</v>
      </c>
      <c r="AV12" s="19">
        <v>13119.126429</v>
      </c>
      <c r="AW12" s="19">
        <v>13679.268631000001</v>
      </c>
    </row>
    <row r="13" spans="1:50" x14ac:dyDescent="0.25">
      <c r="A13" s="105"/>
      <c r="B13" s="62"/>
      <c r="C13" s="62"/>
      <c r="D13" s="62"/>
      <c r="E13" s="62"/>
      <c r="F13" s="20"/>
      <c r="G13" s="20"/>
      <c r="H13" s="20"/>
      <c r="I13" s="20"/>
      <c r="J13" s="62"/>
      <c r="K13" s="62"/>
      <c r="L13" s="62"/>
      <c r="M13" s="62"/>
      <c r="N13" s="62"/>
      <c r="O13" s="62"/>
      <c r="P13" s="20"/>
      <c r="Q13" s="62"/>
      <c r="R13" s="62"/>
      <c r="S13" s="62"/>
      <c r="T13" s="62"/>
      <c r="U13" s="20"/>
      <c r="V13" s="62"/>
      <c r="W13" s="62"/>
      <c r="X13" s="62"/>
      <c r="Y13" s="62"/>
      <c r="Z13" s="20"/>
      <c r="AA13" s="20"/>
      <c r="AB13" s="62"/>
      <c r="AC13" s="62"/>
      <c r="AD13" s="62"/>
      <c r="AE13" s="62"/>
      <c r="AF13" s="17"/>
      <c r="AG13" s="17"/>
      <c r="AH13" s="20"/>
      <c r="AI13" s="20"/>
      <c r="AJ13" s="20"/>
      <c r="AK13" s="20"/>
      <c r="AL13" s="20"/>
      <c r="AM13" s="20"/>
      <c r="AN13" s="20"/>
      <c r="AO13" s="20"/>
      <c r="AP13" s="20"/>
      <c r="AQ13" s="17"/>
      <c r="AR13" s="17"/>
      <c r="AS13" s="17"/>
      <c r="AT13" s="17"/>
      <c r="AU13" s="17"/>
      <c r="AV13" s="19"/>
      <c r="AW13" s="19"/>
    </row>
    <row r="14" spans="1:50" x14ac:dyDescent="0.25">
      <c r="A14" s="105" t="s">
        <v>37</v>
      </c>
      <c r="B14" s="20">
        <f>B6/3*4</f>
        <v>2878.3176166666672</v>
      </c>
      <c r="C14" s="20">
        <f>C6*4</f>
        <v>2662.3233819999996</v>
      </c>
      <c r="D14" s="20">
        <f>D6*2</f>
        <v>2986.3147340000005</v>
      </c>
      <c r="E14" s="20">
        <f>E6*4</f>
        <v>2980.6325942399994</v>
      </c>
      <c r="F14" s="20">
        <f>F6*4</f>
        <v>2991.9968697599998</v>
      </c>
      <c r="G14" s="20">
        <f>G6*4</f>
        <v>2991.9968697599998</v>
      </c>
      <c r="H14" s="20">
        <v>1919.2619020200002</v>
      </c>
      <c r="I14" s="20">
        <v>1761.7427500000001</v>
      </c>
      <c r="J14" s="20">
        <f>J6/3*4</f>
        <v>1971.7682846933321</v>
      </c>
      <c r="K14" s="20">
        <f>K6*4</f>
        <v>2034.1837140000007</v>
      </c>
      <c r="L14" s="20">
        <f>L6*2</f>
        <v>1940.5605720399999</v>
      </c>
      <c r="M14" s="20">
        <f>M6*4</f>
        <v>2819.1119439999993</v>
      </c>
      <c r="N14" s="20">
        <v>1062.0092000799998</v>
      </c>
      <c r="O14" s="20">
        <v>1062.0092000799998</v>
      </c>
      <c r="P14" s="20">
        <v>2513.9257054500004</v>
      </c>
      <c r="Q14" s="20">
        <v>1343.5477370799997</v>
      </c>
      <c r="R14" s="20">
        <f>R6/3*4</f>
        <v>2904.0517013333342</v>
      </c>
      <c r="S14" s="20">
        <f>S6*4</f>
        <v>1913.1020680000004</v>
      </c>
      <c r="T14" s="20">
        <f>T6/2*4</f>
        <v>3399.5265119999999</v>
      </c>
      <c r="U14" s="20">
        <f>U6*4</f>
        <v>2691.5830119999991</v>
      </c>
      <c r="V14" s="20">
        <f>V6/1*4</f>
        <v>4107.4700199999997</v>
      </c>
      <c r="W14" s="20">
        <f>W6*4</f>
        <v>4107.4700199999997</v>
      </c>
      <c r="X14" s="20">
        <f>X6/4*4</f>
        <v>2052.2598220000004</v>
      </c>
      <c r="Y14" s="20">
        <f>Y6*4</f>
        <v>1566.4703434799994</v>
      </c>
      <c r="Z14" s="20">
        <f>Z6/3*4</f>
        <v>2214.1896495066676</v>
      </c>
      <c r="AA14" s="20">
        <f>AA6*4</f>
        <v>1888.8833091199999</v>
      </c>
      <c r="AB14" s="20">
        <f>AB6/2*4</f>
        <v>2378.7723969399995</v>
      </c>
      <c r="AC14" s="20">
        <f>AC6*4</f>
        <v>2937.1160429999995</v>
      </c>
      <c r="AD14" s="20">
        <f>AD6/1*4</f>
        <v>1820.4287548800005</v>
      </c>
      <c r="AE14" s="20">
        <f>AE6*4</f>
        <v>1820.4287548800005</v>
      </c>
      <c r="AF14" s="17">
        <f>AF6</f>
        <v>1795.0915454174997</v>
      </c>
      <c r="AG14" s="17">
        <f>AG6*4</f>
        <v>2179.7842086799997</v>
      </c>
      <c r="AH14" s="20">
        <f>AH6/3*4</f>
        <v>1667.169476</v>
      </c>
      <c r="AI14" s="20">
        <f>AI6*4</f>
        <v>1965.1618419999993</v>
      </c>
      <c r="AJ14" s="20">
        <f>AJ6/2*4</f>
        <v>1518.101668</v>
      </c>
      <c r="AK14" s="20">
        <f>AK6*4</f>
        <v>1603.29377866</v>
      </c>
      <c r="AL14" s="20">
        <f>AL6*4</f>
        <v>1432.718224</v>
      </c>
      <c r="AM14" s="20">
        <f>AM6*4</f>
        <v>1432.126349019999</v>
      </c>
      <c r="AN14" s="20">
        <f>AN6</f>
        <v>1647.0769379949995</v>
      </c>
      <c r="AO14" s="20">
        <f>AO6*4</f>
        <v>1847.9806079800005</v>
      </c>
      <c r="AP14" s="20">
        <f>AP6/3*4</f>
        <v>1580.0700453333327</v>
      </c>
      <c r="AQ14" s="20">
        <f>AQ6*4</f>
        <v>1656.1028040000003</v>
      </c>
      <c r="AR14" s="20">
        <f>AR6/2*4</f>
        <v>1542.0536680000009</v>
      </c>
      <c r="AS14" s="20">
        <f>AS6*4</f>
        <v>1839.9077840000002</v>
      </c>
      <c r="AT14" s="20">
        <f>AT6*4</f>
        <v>1244.1995520000003</v>
      </c>
      <c r="AU14" s="20">
        <f>AU6*4</f>
        <v>1244.1995520000003</v>
      </c>
      <c r="AV14" s="20">
        <f>AV6</f>
        <v>1417.9498827250004</v>
      </c>
      <c r="AW14" s="20">
        <f>AW6*4</f>
        <v>1148.8140160000005</v>
      </c>
    </row>
    <row r="15" spans="1:50" x14ac:dyDescent="0.25">
      <c r="A15" s="106" t="s">
        <v>28</v>
      </c>
      <c r="B15" s="21">
        <f t="shared" ref="B15:C15" si="12">B12</f>
        <v>20855.893930000002</v>
      </c>
      <c r="C15" s="21">
        <f t="shared" si="12"/>
        <v>21472.2816805</v>
      </c>
      <c r="D15" s="21">
        <f t="shared" ref="D15:G15" si="13">D12</f>
        <v>20533.040904666668</v>
      </c>
      <c r="E15" s="21">
        <f t="shared" si="13"/>
        <v>20790.940245000005</v>
      </c>
      <c r="F15" s="21">
        <f t="shared" si="13"/>
        <v>20023.793494500002</v>
      </c>
      <c r="G15" s="21">
        <f t="shared" si="13"/>
        <v>20023.793494500002</v>
      </c>
      <c r="H15" s="21">
        <v>19225.549190400001</v>
      </c>
      <c r="I15" s="21">
        <v>19801.529538999999</v>
      </c>
      <c r="J15" s="21">
        <f t="shared" ref="J15:K15" si="14">J12</f>
        <v>19027.625932000003</v>
      </c>
      <c r="K15" s="21">
        <f t="shared" si="14"/>
        <v>19325.900545500001</v>
      </c>
      <c r="L15" s="21">
        <f t="shared" ref="L15:M15" si="15">L12</f>
        <v>18841.562291333335</v>
      </c>
      <c r="M15" s="21">
        <f t="shared" si="15"/>
        <v>18698.7115825</v>
      </c>
      <c r="N15" s="21">
        <v>18729.351318500001</v>
      </c>
      <c r="O15" s="21">
        <v>18729.351318500001</v>
      </c>
      <c r="P15" s="21">
        <v>18351.526998399997</v>
      </c>
      <c r="Q15" s="21">
        <v>19013.882289500001</v>
      </c>
      <c r="R15" s="21">
        <f t="shared" ref="R15:AW15" si="16">R12</f>
        <v>18157.59282075</v>
      </c>
      <c r="S15" s="21">
        <f t="shared" si="16"/>
        <v>18668.454621000001</v>
      </c>
      <c r="T15" s="21">
        <f t="shared" si="16"/>
        <v>17909.956804333331</v>
      </c>
      <c r="U15" s="21">
        <f t="shared" si="16"/>
        <v>18043.371450999999</v>
      </c>
      <c r="V15" s="21">
        <f t="shared" si="16"/>
        <v>17646.731020499996</v>
      </c>
      <c r="W15" s="21">
        <f t="shared" si="16"/>
        <v>17646.731020499996</v>
      </c>
      <c r="X15" s="21">
        <f t="shared" si="16"/>
        <v>16881.480938000001</v>
      </c>
      <c r="Y15" s="21">
        <f t="shared" si="16"/>
        <v>17491.838838</v>
      </c>
      <c r="Z15" s="21">
        <f t="shared" si="16"/>
        <v>16691.069294750003</v>
      </c>
      <c r="AA15" s="21">
        <f t="shared" si="16"/>
        <v>17093.941313500003</v>
      </c>
      <c r="AB15" s="21">
        <f t="shared" si="16"/>
        <v>16474.575671333336</v>
      </c>
      <c r="AC15" s="21">
        <f t="shared" si="16"/>
        <v>16453.216355500004</v>
      </c>
      <c r="AD15" s="21">
        <f t="shared" si="16"/>
        <v>16288.197276000003</v>
      </c>
      <c r="AE15" s="21">
        <f t="shared" si="16"/>
        <v>16288.197276000003</v>
      </c>
      <c r="AF15" s="21">
        <f t="shared" si="16"/>
        <v>15674.57051282308</v>
      </c>
      <c r="AG15" s="21">
        <f t="shared" si="16"/>
        <v>16255.0704375</v>
      </c>
      <c r="AH15" s="21">
        <f t="shared" si="16"/>
        <v>15463.889565278851</v>
      </c>
      <c r="AI15" s="21">
        <f t="shared" si="16"/>
        <v>15754.031357557698</v>
      </c>
      <c r="AJ15" s="21">
        <f t="shared" si="16"/>
        <v>15287.570563038467</v>
      </c>
      <c r="AK15" s="21">
        <f t="shared" si="16"/>
        <v>15281.706502557701</v>
      </c>
      <c r="AL15" s="21">
        <f t="shared" si="16"/>
        <v>15173.747772999999</v>
      </c>
      <c r="AM15" s="21">
        <f t="shared" si="16"/>
        <v>15173.747772999999</v>
      </c>
      <c r="AN15" s="21">
        <f t="shared" si="16"/>
        <v>14514.054132565001</v>
      </c>
      <c r="AO15" s="21">
        <f t="shared" si="16"/>
        <v>15096.243468000001</v>
      </c>
      <c r="AP15" s="21">
        <f t="shared" si="16"/>
        <v>14317.742994706248</v>
      </c>
      <c r="AQ15" s="21">
        <f t="shared" si="16"/>
        <v>14676.466705999999</v>
      </c>
      <c r="AR15" s="21">
        <f t="shared" si="16"/>
        <v>14125.927908941667</v>
      </c>
      <c r="AS15" s="21">
        <f t="shared" si="16"/>
        <v>14255.125316999998</v>
      </c>
      <c r="AT15" s="21">
        <f t="shared" si="16"/>
        <v>13959.019283412499</v>
      </c>
      <c r="AU15" s="21">
        <f t="shared" si="16"/>
        <v>13959.019283412499</v>
      </c>
      <c r="AV15" s="21">
        <f t="shared" si="16"/>
        <v>13119.126429</v>
      </c>
      <c r="AW15" s="21">
        <f t="shared" si="16"/>
        <v>13679.268631000001</v>
      </c>
    </row>
    <row r="16" spans="1:50" ht="15.75" thickBot="1" x14ac:dyDescent="0.3">
      <c r="A16" s="107" t="s">
        <v>25</v>
      </c>
      <c r="B16" s="56">
        <f>B14/B15</f>
        <v>0.13800979360210366</v>
      </c>
      <c r="C16" s="56">
        <f t="shared" ref="C16" si="17">C14/C15</f>
        <v>0.12398884392513265</v>
      </c>
      <c r="D16" s="56">
        <f>D14/D15</f>
        <v>0.14543947717560349</v>
      </c>
      <c r="E16" s="56">
        <f t="shared" ref="E16:K16" si="18">E14/E15</f>
        <v>0.14336208748215748</v>
      </c>
      <c r="F16" s="56">
        <f>F14/F15</f>
        <v>0.14942207981628561</v>
      </c>
      <c r="G16" s="56">
        <f t="shared" si="18"/>
        <v>0.14942207981628561</v>
      </c>
      <c r="H16" s="56">
        <f>H14/H15</f>
        <v>9.9828716621440175E-2</v>
      </c>
      <c r="I16" s="56">
        <f t="shared" si="18"/>
        <v>8.8970033679982588E-2</v>
      </c>
      <c r="J16" s="56">
        <f>J14/J15</f>
        <v>0.10362660542833567</v>
      </c>
      <c r="K16" s="56">
        <f t="shared" si="18"/>
        <v>0.10525686548012669</v>
      </c>
      <c r="L16" s="56">
        <f>L14/L15</f>
        <v>0.1029936128456084</v>
      </c>
      <c r="M16" s="56">
        <f t="shared" ref="M16:AE16" si="19">M14/M15</f>
        <v>0.15076503702203672</v>
      </c>
      <c r="N16" s="56">
        <f t="shared" si="19"/>
        <v>5.6702935516565141E-2</v>
      </c>
      <c r="O16" s="56">
        <v>5.6702935516565141E-2</v>
      </c>
      <c r="P16" s="56">
        <v>0.13698727662658156</v>
      </c>
      <c r="Q16" s="56">
        <v>7.0661410259279051E-2</v>
      </c>
      <c r="R16" s="56">
        <f t="shared" si="19"/>
        <v>0.15993594139938327</v>
      </c>
      <c r="S16" s="56">
        <f t="shared" si="19"/>
        <v>0.10247779512761418</v>
      </c>
      <c r="T16" s="56">
        <f t="shared" si="19"/>
        <v>0.18981210000336132</v>
      </c>
      <c r="U16" s="56">
        <f t="shared" si="19"/>
        <v>0.14917295358627816</v>
      </c>
      <c r="V16" s="56">
        <f t="shared" si="19"/>
        <v>0.23276095811900804</v>
      </c>
      <c r="W16" s="56">
        <f t="shared" si="19"/>
        <v>0.23276095811900804</v>
      </c>
      <c r="X16" s="56">
        <f t="shared" si="19"/>
        <v>0.1215687077180764</v>
      </c>
      <c r="Y16" s="56">
        <f t="shared" si="19"/>
        <v>8.9554354918759821E-2</v>
      </c>
      <c r="Z16" s="56">
        <f t="shared" si="19"/>
        <v>0.13265714798770364</v>
      </c>
      <c r="AA16" s="56">
        <f t="shared" si="19"/>
        <v>0.11050016344845219</v>
      </c>
      <c r="AB16" s="56">
        <f t="shared" si="19"/>
        <v>0.1443905108329554</v>
      </c>
      <c r="AC16" s="56">
        <f t="shared" si="19"/>
        <v>0.17851318426370635</v>
      </c>
      <c r="AD16" s="56">
        <f t="shared" si="19"/>
        <v>0.11176367304700616</v>
      </c>
      <c r="AE16" s="56">
        <f t="shared" si="19"/>
        <v>0.11176367304700616</v>
      </c>
      <c r="AF16" s="56">
        <f t="shared" ref="AF16:AW16" si="20">AF14/AF15</f>
        <v>0.11452253469713687</v>
      </c>
      <c r="AG16" s="56">
        <f t="shared" si="20"/>
        <v>0.13409872427567571</v>
      </c>
      <c r="AH16" s="56">
        <f t="shared" si="20"/>
        <v>0.10781048771476641</v>
      </c>
      <c r="AI16" s="56">
        <f t="shared" si="20"/>
        <v>0.12474025202807852</v>
      </c>
      <c r="AJ16" s="56">
        <f t="shared" si="20"/>
        <v>9.9303003164570261E-2</v>
      </c>
      <c r="AK16" s="56">
        <f t="shared" si="20"/>
        <v>0.10491588608848472</v>
      </c>
      <c r="AL16" s="56">
        <f t="shared" si="20"/>
        <v>9.442085405883463E-2</v>
      </c>
      <c r="AM16" s="56">
        <f t="shared" si="20"/>
        <v>9.4381847546478201E-2</v>
      </c>
      <c r="AN16" s="56">
        <f t="shared" si="20"/>
        <v>0.11348152094179349</v>
      </c>
      <c r="AO16" s="56">
        <f t="shared" si="20"/>
        <v>0.12241327532224988</v>
      </c>
      <c r="AP16" s="56">
        <f t="shared" si="20"/>
        <v>0.11035748063906006</v>
      </c>
      <c r="AQ16" s="56">
        <f t="shared" si="20"/>
        <v>0.11284070186477214</v>
      </c>
      <c r="AR16" s="56">
        <f t="shared" si="20"/>
        <v>0.10916476977231959</v>
      </c>
      <c r="AS16" s="56">
        <f t="shared" si="20"/>
        <v>0.12906991296707943</v>
      </c>
      <c r="AT16" s="56">
        <f t="shared" si="20"/>
        <v>8.9132304120998124E-2</v>
      </c>
      <c r="AU16" s="56">
        <f t="shared" si="20"/>
        <v>8.9132304120998124E-2</v>
      </c>
      <c r="AV16" s="56">
        <f t="shared" si="20"/>
        <v>0.10808264486197829</v>
      </c>
      <c r="AW16" s="56">
        <f t="shared" si="20"/>
        <v>8.3982122655048577E-2</v>
      </c>
      <c r="AX16" s="57"/>
    </row>
    <row r="17" spans="1:50" s="173" customFormat="1" x14ac:dyDescent="0.25">
      <c r="A17" s="169"/>
      <c r="B17" s="175"/>
      <c r="C17" s="175"/>
      <c r="D17" s="175"/>
      <c r="E17" s="175"/>
      <c r="F17" s="175"/>
      <c r="G17" s="175"/>
      <c r="H17" s="175"/>
      <c r="I17" s="175"/>
      <c r="J17" s="175"/>
      <c r="K17" s="175"/>
      <c r="L17" s="175"/>
      <c r="M17" s="175"/>
      <c r="N17" s="175"/>
      <c r="O17" s="175"/>
      <c r="P17" s="170"/>
      <c r="Q17" s="170"/>
      <c r="R17" s="170"/>
      <c r="S17" s="170"/>
      <c r="T17" s="170"/>
      <c r="U17" s="170"/>
      <c r="V17" s="170"/>
      <c r="W17" s="170"/>
      <c r="X17" s="170"/>
      <c r="Y17" s="170"/>
      <c r="Z17" s="170"/>
      <c r="AA17" s="170"/>
      <c r="AB17" s="170"/>
      <c r="AC17" s="170"/>
      <c r="AD17" s="170"/>
      <c r="AE17" s="170"/>
      <c r="AF17" s="171"/>
      <c r="AG17" s="171"/>
      <c r="AH17" s="170"/>
      <c r="AI17" s="170"/>
      <c r="AJ17" s="170"/>
      <c r="AK17" s="170"/>
      <c r="AL17" s="170"/>
      <c r="AM17" s="170"/>
      <c r="AN17" s="170"/>
      <c r="AO17" s="170"/>
      <c r="AP17" s="170"/>
      <c r="AQ17" s="170"/>
      <c r="AR17" s="170"/>
      <c r="AS17" s="170"/>
      <c r="AT17" s="170"/>
      <c r="AU17" s="170"/>
      <c r="AV17" s="170"/>
      <c r="AW17" s="170"/>
      <c r="AX17" s="172"/>
    </row>
    <row r="18" spans="1:50" x14ac:dyDescent="0.25">
      <c r="U18" s="88"/>
      <c r="Z18" s="88"/>
      <c r="AA18" s="88"/>
      <c r="AD18" s="64"/>
      <c r="AE18" s="64"/>
    </row>
    <row r="19" spans="1:50" x14ac:dyDescent="0.25">
      <c r="A19" s="104" t="s">
        <v>41</v>
      </c>
      <c r="B19" s="87">
        <v>0.63953153964985376</v>
      </c>
      <c r="C19" s="65"/>
      <c r="D19" s="87">
        <v>0.63953176795849465</v>
      </c>
      <c r="E19" s="65"/>
      <c r="F19" s="87">
        <v>0.63953192617556831</v>
      </c>
      <c r="G19" s="65"/>
      <c r="H19" s="87">
        <v>0.63953210596049925</v>
      </c>
      <c r="I19" s="65"/>
      <c r="J19" s="87">
        <v>0.63953208858948796</v>
      </c>
      <c r="K19" s="65"/>
      <c r="L19" s="87">
        <v>0.63953228299405873</v>
      </c>
      <c r="M19" s="65"/>
      <c r="N19" s="87">
        <v>0.63953255936274622</v>
      </c>
      <c r="O19" s="65"/>
      <c r="P19" s="87">
        <v>0.63953309032043071</v>
      </c>
      <c r="Q19" s="65"/>
      <c r="R19" s="87">
        <v>0.63953308635252815</v>
      </c>
      <c r="S19" s="65"/>
      <c r="T19" s="87">
        <v>0.63953272901145786</v>
      </c>
      <c r="U19" s="87"/>
      <c r="V19" s="87">
        <v>0.63953308726153268</v>
      </c>
      <c r="W19" s="65"/>
      <c r="X19" s="87">
        <v>0.63953424400540748</v>
      </c>
      <c r="Y19" s="65"/>
      <c r="Z19" s="87">
        <v>0.63953460622927494</v>
      </c>
      <c r="AA19" s="87"/>
      <c r="AB19" s="87">
        <v>0.63949999999999996</v>
      </c>
      <c r="AC19" s="65"/>
      <c r="AD19" s="87">
        <v>0.63949999999999996</v>
      </c>
      <c r="AE19" s="65"/>
      <c r="AF19" s="26">
        <v>0.63949999999999996</v>
      </c>
      <c r="AG19" s="26"/>
      <c r="AH19" s="26">
        <v>0.63949999999999996</v>
      </c>
      <c r="AI19" s="26"/>
      <c r="AJ19" s="26">
        <v>0.63949999999999996</v>
      </c>
      <c r="AK19" s="26"/>
      <c r="AL19" s="26">
        <v>0.63949999999999996</v>
      </c>
      <c r="AM19" s="26"/>
      <c r="AN19" s="26">
        <v>0.63949999999999996</v>
      </c>
      <c r="AO19" s="26"/>
      <c r="AP19" s="23">
        <v>0.63956838636193558</v>
      </c>
      <c r="AR19" s="23">
        <v>0.63956838636193558</v>
      </c>
      <c r="AT19" s="23">
        <v>0.63956838636193558</v>
      </c>
      <c r="AV19" s="23">
        <v>0.63956452367169381</v>
      </c>
    </row>
    <row r="20" spans="1:50" x14ac:dyDescent="0.25">
      <c r="A20" s="104" t="s">
        <v>44</v>
      </c>
      <c r="B20" s="76">
        <v>239.13271800000001</v>
      </c>
      <c r="C20" s="66"/>
      <c r="D20" s="76">
        <v>239.13271800000001</v>
      </c>
      <c r="E20" s="66"/>
      <c r="F20" s="76">
        <v>239.13271800000001</v>
      </c>
      <c r="G20" s="66"/>
      <c r="H20" s="76">
        <v>239.13271800000001</v>
      </c>
      <c r="I20" s="66"/>
      <c r="J20" s="76">
        <v>189.30649</v>
      </c>
      <c r="K20" s="66"/>
      <c r="L20" s="76">
        <v>189.30649</v>
      </c>
      <c r="M20" s="66"/>
      <c r="N20" s="76">
        <v>189.30649</v>
      </c>
      <c r="O20" s="66"/>
      <c r="P20" s="76">
        <v>189.30649</v>
      </c>
      <c r="Q20" s="66"/>
      <c r="R20" s="76">
        <v>155.47383300000001</v>
      </c>
      <c r="S20" s="66"/>
      <c r="T20" s="76">
        <v>155.47383300000001</v>
      </c>
      <c r="U20" s="76"/>
      <c r="V20" s="76">
        <v>155.47383300000001</v>
      </c>
      <c r="W20" s="66"/>
      <c r="X20" s="76">
        <v>155.47383300000001</v>
      </c>
      <c r="Y20" s="66"/>
      <c r="Z20" s="76">
        <v>126.145752</v>
      </c>
      <c r="AA20" s="76"/>
      <c r="AB20" s="76">
        <v>126.145752</v>
      </c>
      <c r="AC20" s="66"/>
      <c r="AD20" s="76">
        <v>126.145752</v>
      </c>
      <c r="AE20" s="66"/>
      <c r="AF20" s="19">
        <v>126.145752</v>
      </c>
      <c r="AG20" s="19"/>
      <c r="AH20" s="19">
        <v>139.03655800000001</v>
      </c>
      <c r="AI20" s="19"/>
      <c r="AJ20" s="19">
        <v>139.03655800000001</v>
      </c>
      <c r="AK20" s="19"/>
      <c r="AL20" s="19">
        <v>139.03655800000001</v>
      </c>
      <c r="AM20" s="19"/>
      <c r="AN20" s="19">
        <v>139.03655800000001</v>
      </c>
      <c r="AO20" s="19"/>
      <c r="AP20" s="19">
        <v>232.549859</v>
      </c>
      <c r="AQ20" s="19"/>
      <c r="AR20" s="19">
        <v>232.549859</v>
      </c>
      <c r="AS20" s="19"/>
      <c r="AT20" s="19">
        <v>289.83471900000001</v>
      </c>
      <c r="AU20" s="19"/>
      <c r="AV20" s="19">
        <v>289.83471900000001</v>
      </c>
    </row>
    <row r="21" spans="1:50" x14ac:dyDescent="0.25">
      <c r="A21" s="104" t="s">
        <v>43</v>
      </c>
      <c r="B21" s="76">
        <v>4439.8006727476004</v>
      </c>
      <c r="C21" s="66"/>
      <c r="D21" s="76">
        <v>3758.27693</v>
      </c>
      <c r="E21" s="66"/>
      <c r="F21" s="76">
        <v>3050.0547569999999</v>
      </c>
      <c r="G21" s="66"/>
      <c r="H21" s="76">
        <v>2366.159991</v>
      </c>
      <c r="I21" s="66"/>
      <c r="J21" s="76">
        <v>3256.7551515899831</v>
      </c>
      <c r="K21" s="66"/>
      <c r="L21" s="76">
        <v>2764.8662269999995</v>
      </c>
      <c r="M21" s="66"/>
      <c r="N21" s="76">
        <v>2050.018247</v>
      </c>
      <c r="O21" s="66"/>
      <c r="P21" s="76">
        <v>1826.727844</v>
      </c>
      <c r="Q21" s="66"/>
      <c r="R21" s="76">
        <v>3760.7976989999997</v>
      </c>
      <c r="S21" s="66"/>
      <c r="T21" s="76">
        <v>3294.5596700000001</v>
      </c>
      <c r="U21" s="76"/>
      <c r="V21" s="76">
        <v>2641.3693649999996</v>
      </c>
      <c r="W21" s="66"/>
      <c r="X21" s="76">
        <v>1608.2590980000002</v>
      </c>
      <c r="Y21" s="66"/>
      <c r="Z21" s="76">
        <v>3197.8652599999996</v>
      </c>
      <c r="AA21" s="76"/>
      <c r="AB21" s="76">
        <v>2711.966719</v>
      </c>
      <c r="AC21" s="66"/>
      <c r="AD21" s="76">
        <v>1981.3340816217726</v>
      </c>
      <c r="AE21" s="66"/>
      <c r="AF21" s="19">
        <v>1546.6467709999997</v>
      </c>
      <c r="AG21" s="19"/>
      <c r="AH21" s="19">
        <f>1891.111873+3.651389</f>
        <v>1894.7632620000002</v>
      </c>
      <c r="AI21" s="19"/>
      <c r="AJ21" s="19">
        <f>3.699139+1901.636422</f>
        <v>1905.3355610000001</v>
      </c>
      <c r="AK21" s="19"/>
      <c r="AL21" s="19">
        <f>3.762917+1921.46862452958</f>
        <v>1925.23154152958</v>
      </c>
      <c r="AM21" s="19"/>
      <c r="AN21" s="19">
        <v>1656.3721639999999</v>
      </c>
      <c r="AO21" s="19"/>
      <c r="AP21" s="19">
        <f>3.842917+1678.69830042076</f>
        <v>1682.5412174207599</v>
      </c>
      <c r="AQ21" s="19"/>
      <c r="AR21" s="19">
        <f>3.685028+1680.74499610025</f>
        <v>1684.4300241002502</v>
      </c>
      <c r="AS21" s="19"/>
      <c r="AT21" s="19">
        <f>3.793069+1705.13252024665</f>
        <v>1708.9255892466501</v>
      </c>
      <c r="AU21" s="19"/>
      <c r="AV21" s="19">
        <v>1597.0129869999998</v>
      </c>
    </row>
    <row r="22" spans="1:50" x14ac:dyDescent="0.25">
      <c r="A22" s="108" t="s">
        <v>61</v>
      </c>
      <c r="B22" s="76">
        <f>129836443-B23-B24</f>
        <v>129387296</v>
      </c>
      <c r="C22" s="76">
        <f>B22</f>
        <v>129387296</v>
      </c>
      <c r="D22" s="76">
        <f>129836443-D23-D24</f>
        <v>129363668</v>
      </c>
      <c r="E22" s="76">
        <f>D22</f>
        <v>129363668</v>
      </c>
      <c r="F22" s="76">
        <v>129219894</v>
      </c>
      <c r="G22" s="76">
        <v>129219894</v>
      </c>
      <c r="H22" s="76">
        <v>129390824</v>
      </c>
      <c r="I22" s="76">
        <v>129390824</v>
      </c>
      <c r="J22" s="76">
        <f>129836443-J23-J24</f>
        <v>129437898</v>
      </c>
      <c r="K22" s="76">
        <f>J22</f>
        <v>129437898</v>
      </c>
      <c r="L22" s="76">
        <f>129836443-L23-L24</f>
        <v>129386673</v>
      </c>
      <c r="M22" s="76">
        <f>L22</f>
        <v>129386673</v>
      </c>
      <c r="N22" s="76">
        <v>129218754</v>
      </c>
      <c r="O22" s="76">
        <v>129218754</v>
      </c>
      <c r="P22" s="76">
        <v>129303983</v>
      </c>
      <c r="Q22" s="76">
        <v>129303983</v>
      </c>
      <c r="R22" s="76">
        <f>129836443-R23-R24</f>
        <v>129481331</v>
      </c>
      <c r="S22" s="76">
        <f>R22</f>
        <v>129481331</v>
      </c>
      <c r="T22" s="76">
        <v>129663705</v>
      </c>
      <c r="U22" s="76">
        <v>129663705</v>
      </c>
      <c r="V22" s="76">
        <v>129409079</v>
      </c>
      <c r="W22" s="76">
        <v>129409079</v>
      </c>
      <c r="X22" s="76">
        <v>129623739</v>
      </c>
      <c r="Y22" s="76">
        <v>129623739</v>
      </c>
      <c r="Z22" s="76">
        <f>129836443-Z23-Z24</f>
        <v>129441739</v>
      </c>
      <c r="AA22" s="76">
        <f>Z22</f>
        <v>129441739</v>
      </c>
      <c r="AB22" s="76">
        <f>129836443-AB23-AB24</f>
        <v>129305183</v>
      </c>
      <c r="AC22" s="76">
        <f>129836443-AC23-AC24</f>
        <v>129305183</v>
      </c>
      <c r="AD22" s="76">
        <v>129309239</v>
      </c>
      <c r="AE22" s="76">
        <v>129309239</v>
      </c>
      <c r="AF22" s="19">
        <f t="shared" ref="AF22:AW22" si="21">129836443-AF23-AF24</f>
        <v>129379137</v>
      </c>
      <c r="AG22" s="19">
        <f t="shared" si="21"/>
        <v>129379137</v>
      </c>
      <c r="AH22" s="19">
        <f t="shared" si="21"/>
        <v>129402711</v>
      </c>
      <c r="AI22" s="19">
        <f t="shared" si="21"/>
        <v>129402711</v>
      </c>
      <c r="AJ22" s="19">
        <f t="shared" si="21"/>
        <v>129536890</v>
      </c>
      <c r="AK22" s="19">
        <f t="shared" si="21"/>
        <v>129536890</v>
      </c>
      <c r="AL22" s="19">
        <f t="shared" si="21"/>
        <v>129483846</v>
      </c>
      <c r="AM22" s="19">
        <f t="shared" si="21"/>
        <v>129483846</v>
      </c>
      <c r="AN22" s="19">
        <f t="shared" si="21"/>
        <v>129636564</v>
      </c>
      <c r="AO22" s="19">
        <f t="shared" si="21"/>
        <v>129636564</v>
      </c>
      <c r="AP22" s="19">
        <f t="shared" si="21"/>
        <v>129661718</v>
      </c>
      <c r="AQ22" s="19">
        <f t="shared" si="21"/>
        <v>129661718</v>
      </c>
      <c r="AR22" s="19">
        <f t="shared" si="21"/>
        <v>129466693</v>
      </c>
      <c r="AS22" s="19">
        <f t="shared" si="21"/>
        <v>129466693</v>
      </c>
      <c r="AT22" s="19">
        <f t="shared" si="21"/>
        <v>129470619</v>
      </c>
      <c r="AU22" s="19">
        <f t="shared" si="21"/>
        <v>129470619</v>
      </c>
      <c r="AV22" s="19">
        <f t="shared" si="21"/>
        <v>129432210</v>
      </c>
      <c r="AW22" s="19">
        <f t="shared" si="21"/>
        <v>129432210</v>
      </c>
    </row>
    <row r="23" spans="1:50" x14ac:dyDescent="0.25">
      <c r="A23" s="104" t="s">
        <v>139</v>
      </c>
      <c r="B23" s="76">
        <v>606</v>
      </c>
      <c r="C23" s="76">
        <f>+B23</f>
        <v>606</v>
      </c>
      <c r="D23" s="76">
        <v>606</v>
      </c>
      <c r="E23" s="76">
        <f>+D23</f>
        <v>606</v>
      </c>
      <c r="F23" s="76">
        <v>631</v>
      </c>
      <c r="G23" s="76">
        <v>631</v>
      </c>
      <c r="H23" s="76">
        <v>695</v>
      </c>
      <c r="I23" s="76">
        <v>695</v>
      </c>
      <c r="J23" s="76">
        <v>695</v>
      </c>
      <c r="K23" s="76">
        <f>+J23</f>
        <v>695</v>
      </c>
      <c r="L23" s="76">
        <v>695</v>
      </c>
      <c r="M23" s="76">
        <f>+L23</f>
        <v>695</v>
      </c>
      <c r="N23" s="76">
        <v>695</v>
      </c>
      <c r="O23" s="76">
        <v>695</v>
      </c>
      <c r="P23" s="76">
        <v>625</v>
      </c>
      <c r="Q23" s="76">
        <v>625</v>
      </c>
      <c r="R23" s="76">
        <v>625</v>
      </c>
      <c r="S23" s="76">
        <f>+R23</f>
        <v>625</v>
      </c>
      <c r="T23" s="76">
        <v>876</v>
      </c>
      <c r="U23" s="76">
        <v>876</v>
      </c>
      <c r="V23" s="76">
        <v>812</v>
      </c>
      <c r="W23" s="76">
        <v>812</v>
      </c>
      <c r="X23" s="76">
        <v>620</v>
      </c>
      <c r="Y23" s="76">
        <v>620</v>
      </c>
      <c r="Z23" s="76">
        <v>620</v>
      </c>
      <c r="AA23" s="76">
        <f>+Z23</f>
        <v>620</v>
      </c>
      <c r="AB23" s="76">
        <v>620</v>
      </c>
      <c r="AC23" s="76">
        <f>+AB23</f>
        <v>620</v>
      </c>
      <c r="AD23" s="76">
        <v>620</v>
      </c>
      <c r="AE23" s="76">
        <v>620</v>
      </c>
      <c r="AF23" s="19">
        <v>1995</v>
      </c>
      <c r="AG23" s="19">
        <v>1995</v>
      </c>
      <c r="AH23" s="19">
        <v>2820</v>
      </c>
      <c r="AI23" s="19">
        <v>2820</v>
      </c>
      <c r="AJ23" s="19">
        <v>2820</v>
      </c>
      <c r="AK23" s="19">
        <v>2820</v>
      </c>
      <c r="AL23" s="19">
        <v>2737</v>
      </c>
      <c r="AM23" s="19">
        <v>2737</v>
      </c>
      <c r="AN23" s="19">
        <v>4240</v>
      </c>
      <c r="AO23" s="19">
        <v>4240</v>
      </c>
      <c r="AP23" s="19">
        <v>4240</v>
      </c>
      <c r="AQ23" s="19">
        <v>4240</v>
      </c>
      <c r="AR23" s="19">
        <v>4240</v>
      </c>
      <c r="AS23" s="19">
        <v>4240</v>
      </c>
      <c r="AT23" s="19">
        <v>4061</v>
      </c>
      <c r="AU23" s="19">
        <v>4061</v>
      </c>
      <c r="AV23" s="19">
        <v>6431</v>
      </c>
      <c r="AW23" s="19">
        <v>6431</v>
      </c>
    </row>
    <row r="24" spans="1:50" x14ac:dyDescent="0.25">
      <c r="A24" s="104" t="s">
        <v>138</v>
      </c>
      <c r="B24" s="76">
        <v>448541</v>
      </c>
      <c r="C24" s="76">
        <f>+B24</f>
        <v>448541</v>
      </c>
      <c r="D24" s="76">
        <v>472169</v>
      </c>
      <c r="E24" s="76">
        <f>+D24</f>
        <v>472169</v>
      </c>
      <c r="F24" s="76">
        <v>615918</v>
      </c>
      <c r="G24" s="76">
        <v>615918</v>
      </c>
      <c r="H24" s="76">
        <v>444924</v>
      </c>
      <c r="I24" s="76">
        <v>444924</v>
      </c>
      <c r="J24" s="76">
        <v>397850</v>
      </c>
      <c r="K24" s="76">
        <f>+J24</f>
        <v>397850</v>
      </c>
      <c r="L24" s="76">
        <v>449075</v>
      </c>
      <c r="M24" s="76">
        <f>+L24</f>
        <v>449075</v>
      </c>
      <c r="N24" s="76">
        <v>616994</v>
      </c>
      <c r="O24" s="76">
        <v>616994</v>
      </c>
      <c r="P24" s="76">
        <v>531835</v>
      </c>
      <c r="Q24" s="76">
        <v>531835</v>
      </c>
      <c r="R24" s="76">
        <v>354487</v>
      </c>
      <c r="S24" s="76">
        <f>+R24</f>
        <v>354487</v>
      </c>
      <c r="T24" s="76">
        <v>171862</v>
      </c>
      <c r="U24" s="76">
        <v>171862</v>
      </c>
      <c r="V24" s="76">
        <v>426552</v>
      </c>
      <c r="W24" s="76">
        <v>426552</v>
      </c>
      <c r="X24" s="76">
        <v>212084</v>
      </c>
      <c r="Y24" s="76">
        <v>212084</v>
      </c>
      <c r="Z24" s="76">
        <v>394084</v>
      </c>
      <c r="AA24" s="76">
        <f>+Z24</f>
        <v>394084</v>
      </c>
      <c r="AB24" s="76">
        <v>530640</v>
      </c>
      <c r="AC24" s="76">
        <f>+AB24</f>
        <v>530640</v>
      </c>
      <c r="AD24" s="76">
        <v>526584</v>
      </c>
      <c r="AE24" s="76">
        <v>526584</v>
      </c>
      <c r="AF24" s="19">
        <v>455311</v>
      </c>
      <c r="AG24" s="19">
        <v>455311</v>
      </c>
      <c r="AH24" s="19">
        <v>430912</v>
      </c>
      <c r="AI24" s="19">
        <v>430912</v>
      </c>
      <c r="AJ24" s="19">
        <v>296733</v>
      </c>
      <c r="AK24" s="19">
        <v>296733</v>
      </c>
      <c r="AL24" s="19">
        <v>349860</v>
      </c>
      <c r="AM24" s="19">
        <v>349860</v>
      </c>
      <c r="AN24" s="19">
        <v>195639</v>
      </c>
      <c r="AO24" s="19">
        <v>195639</v>
      </c>
      <c r="AP24" s="19">
        <v>170485</v>
      </c>
      <c r="AQ24" s="19">
        <v>170485</v>
      </c>
      <c r="AR24" s="19">
        <v>365510</v>
      </c>
      <c r="AS24" s="19">
        <v>365510</v>
      </c>
      <c r="AT24" s="19">
        <v>361763</v>
      </c>
      <c r="AU24" s="19">
        <v>361763</v>
      </c>
      <c r="AV24" s="19">
        <v>397802</v>
      </c>
      <c r="AW24" s="19">
        <v>397802</v>
      </c>
    </row>
    <row r="25" spans="1:50" x14ac:dyDescent="0.25">
      <c r="A25" s="104" t="s">
        <v>143</v>
      </c>
      <c r="B25" s="76">
        <f>(B22+F22+D22+H22)/4</f>
        <v>129340420.5</v>
      </c>
      <c r="C25" s="95">
        <f>(C22+E22)/2</f>
        <v>129375482</v>
      </c>
      <c r="D25" s="76">
        <f>(D22+H22+F22)/3</f>
        <v>129324795.33333333</v>
      </c>
      <c r="E25" s="95">
        <f>(E22+G22)/2</f>
        <v>129291781</v>
      </c>
      <c r="F25" s="76">
        <f>(F22+H22)/2</f>
        <v>129305359</v>
      </c>
      <c r="G25" s="95">
        <f>(G22+I22)/2</f>
        <v>129305359</v>
      </c>
      <c r="H25" s="76">
        <f>(H22+L22+J22+N22)/4</f>
        <v>129358537.25</v>
      </c>
      <c r="I25" s="95">
        <f>(I22+J22)/2</f>
        <v>129414361</v>
      </c>
      <c r="J25" s="76">
        <f>(J22+N22+L22+P22)/4</f>
        <v>129336827</v>
      </c>
      <c r="K25" s="95">
        <f>(K22+L22)/2</f>
        <v>129412285.5</v>
      </c>
      <c r="L25" s="76">
        <f>(L22+P22+N22)/3</f>
        <v>129303136.66666667</v>
      </c>
      <c r="M25" s="95">
        <f>(M22+N22)/2</f>
        <v>129302713.5</v>
      </c>
      <c r="N25" s="76">
        <f>(N22+P22)/2</f>
        <v>129261368.5</v>
      </c>
      <c r="O25" s="95">
        <v>129261368.5</v>
      </c>
      <c r="P25" s="95">
        <v>129496367.40000001</v>
      </c>
      <c r="Q25" s="95">
        <v>129392657</v>
      </c>
      <c r="R25" s="76">
        <f>(R22+V22+X22+T22)/4</f>
        <v>129544463.5</v>
      </c>
      <c r="S25" s="95">
        <f>(S22+U22)/2</f>
        <v>129572518</v>
      </c>
      <c r="T25" s="76">
        <f>(T22+V22+X22)/3</f>
        <v>129565507.66666667</v>
      </c>
      <c r="U25" s="95">
        <f>(U22+W22)/2</f>
        <v>129536392</v>
      </c>
      <c r="V25" s="76">
        <f>(V22+X22)/2</f>
        <v>129516409</v>
      </c>
      <c r="W25" s="95">
        <f>(W22+Y22)/2</f>
        <v>129516409</v>
      </c>
      <c r="X25" s="76">
        <f>(X22+AB22+AD22+Z22+AF22)/5</f>
        <v>129411807.40000001</v>
      </c>
      <c r="Y25" s="95">
        <f>(Y22+AA22)/2</f>
        <v>129532739</v>
      </c>
      <c r="Z25" s="76">
        <f>(Z22+AB22+AD22+AF22)/4</f>
        <v>129358824.5</v>
      </c>
      <c r="AA25" s="76">
        <f>(AA22+AC22)/2</f>
        <v>129373461</v>
      </c>
      <c r="AB25" s="76">
        <f>(AB22+AD22+AF22)/3</f>
        <v>129331186.33333333</v>
      </c>
      <c r="AC25" s="76">
        <f>(AC22+AE22)/2</f>
        <v>129307211</v>
      </c>
      <c r="AD25" s="76">
        <f>(AD22+AF22)/2</f>
        <v>129344188</v>
      </c>
      <c r="AE25" s="95">
        <f>(AE22+AG22)/2</f>
        <v>129344188</v>
      </c>
      <c r="AF25" s="19">
        <f>(AF22+AH22+AJ22+AL22+AN22)/5</f>
        <v>129487829.59999999</v>
      </c>
      <c r="AG25" s="19">
        <f>(AG22+AI22)/2</f>
        <v>129390924</v>
      </c>
      <c r="AH25" s="19">
        <f>(AH22+AJ22+AL22+AN22)/4</f>
        <v>129515002.75</v>
      </c>
      <c r="AI25" s="19">
        <f>(AI22+AK22)/2</f>
        <v>129469800.5</v>
      </c>
      <c r="AJ25" s="19">
        <f>(AJ22+AL22+AN22)/3</f>
        <v>129552433.33333333</v>
      </c>
      <c r="AK25" s="19">
        <f>(AK22+AM22)/2</f>
        <v>129510368</v>
      </c>
      <c r="AL25" s="19">
        <f>(AL22+AN22)/2</f>
        <v>129560205</v>
      </c>
      <c r="AM25" s="19">
        <f>(AM22+AO22)/2</f>
        <v>129560205</v>
      </c>
      <c r="AN25" s="19">
        <f>(AN22+AP22+AR22+AT22+AV22)/5</f>
        <v>129533560.8</v>
      </c>
      <c r="AO25" s="19">
        <f>(AO22+AQ22)/2</f>
        <v>129649141</v>
      </c>
      <c r="AP25" s="19">
        <f>(AP22+AR22+AT22+AV22)/4</f>
        <v>129507810</v>
      </c>
      <c r="AQ25" s="19">
        <f>(AQ22+AS22)/2</f>
        <v>129564205.5</v>
      </c>
      <c r="AR25" s="19">
        <f>(AR22+AT22+AV22)/3</f>
        <v>129456507.33333333</v>
      </c>
      <c r="AS25" s="19">
        <f>(AS22+AU22)/2</f>
        <v>129468656</v>
      </c>
      <c r="AT25" s="19">
        <f>(AT22+AV22)/2</f>
        <v>129451414.5</v>
      </c>
      <c r="AU25" s="19">
        <f>(AU22+AW22)/2</f>
        <v>129451414.5</v>
      </c>
      <c r="AV25" s="19">
        <v>129608423.5</v>
      </c>
      <c r="AW25" s="19">
        <v>129460084</v>
      </c>
    </row>
    <row r="26" spans="1:50" x14ac:dyDescent="0.25">
      <c r="B26" s="66"/>
      <c r="C26" s="66"/>
      <c r="D26" s="66"/>
      <c r="E26" s="66"/>
      <c r="F26" s="66"/>
      <c r="G26" s="66"/>
      <c r="H26" s="76"/>
      <c r="I26" s="66"/>
      <c r="J26" s="66"/>
      <c r="K26" s="66"/>
      <c r="L26" s="66"/>
      <c r="M26" s="66"/>
      <c r="N26" s="76"/>
      <c r="O26" s="66"/>
      <c r="P26" s="76"/>
      <c r="Q26" s="66"/>
      <c r="R26" s="66"/>
      <c r="S26" s="66"/>
      <c r="T26" s="66"/>
      <c r="U26" s="76"/>
      <c r="V26" s="76"/>
      <c r="W26" s="66"/>
      <c r="X26" s="66"/>
      <c r="Y26" s="66"/>
      <c r="Z26" s="76"/>
      <c r="AA26" s="76"/>
      <c r="AB26" s="66"/>
      <c r="AC26" s="66"/>
      <c r="AD26" s="66"/>
      <c r="AE26" s="66"/>
      <c r="AF26" s="19"/>
      <c r="AG26" s="19"/>
      <c r="AH26" s="19"/>
      <c r="AI26" s="19"/>
      <c r="AJ26" s="19"/>
      <c r="AK26" s="19"/>
      <c r="AL26" s="19"/>
      <c r="AM26" s="19"/>
      <c r="AN26" s="19"/>
      <c r="AO26" s="19"/>
      <c r="AP26" s="19"/>
      <c r="AQ26" s="19"/>
      <c r="AR26" s="19"/>
      <c r="AS26" s="19"/>
      <c r="AT26" s="19"/>
      <c r="AU26" s="19"/>
      <c r="AV26" s="19"/>
    </row>
    <row r="27" spans="1:50" x14ac:dyDescent="0.25">
      <c r="A27" s="104" t="s">
        <v>24</v>
      </c>
      <c r="B27" s="76">
        <f>B10</f>
        <v>21824.453006</v>
      </c>
      <c r="C27" s="66"/>
      <c r="D27" s="76">
        <f>D10</f>
        <v>21120.110355000001</v>
      </c>
      <c r="E27" s="66"/>
      <c r="F27" s="76">
        <f>F10</f>
        <v>20461.770135000006</v>
      </c>
      <c r="G27" s="66"/>
      <c r="H27" s="76">
        <v>20017.242223999998</v>
      </c>
      <c r="I27" s="66"/>
      <c r="J27" s="76">
        <f>J10</f>
        <v>19585.816854000001</v>
      </c>
      <c r="K27" s="66"/>
      <c r="L27" s="76">
        <f>L10</f>
        <v>19065.984237000001</v>
      </c>
      <c r="M27" s="66"/>
      <c r="N27" s="76">
        <v>18331.438928</v>
      </c>
      <c r="O27" s="66"/>
      <c r="P27" s="76">
        <v>19127.263709000003</v>
      </c>
      <c r="Q27" s="66"/>
      <c r="R27" s="76">
        <f>R10</f>
        <v>18900.50087</v>
      </c>
      <c r="S27" s="66"/>
      <c r="T27" s="76">
        <f>T10</f>
        <v>18436.408372000002</v>
      </c>
      <c r="U27" s="76"/>
      <c r="V27" s="76">
        <f>V10</f>
        <v>17650.334529999996</v>
      </c>
      <c r="W27" s="66"/>
      <c r="X27" s="76">
        <f>X10</f>
        <v>17643.127510999999</v>
      </c>
      <c r="Y27" s="66"/>
      <c r="Z27" s="76">
        <f>Z10</f>
        <v>17340.550165000001</v>
      </c>
      <c r="AA27" s="76"/>
      <c r="AB27" s="76">
        <f>AB10</f>
        <v>16847.332462000006</v>
      </c>
      <c r="AC27" s="66"/>
      <c r="AD27" s="76">
        <f>AD10</f>
        <v>16059.100249000003</v>
      </c>
      <c r="AE27" s="66"/>
      <c r="AF27" s="19">
        <f>AF10</f>
        <v>16517.294303000002</v>
      </c>
      <c r="AG27" s="19"/>
      <c r="AH27" s="19">
        <f>AH10</f>
        <v>15992.846571999999</v>
      </c>
      <c r="AI27" s="19"/>
      <c r="AJ27" s="19">
        <f>AJ10</f>
        <v>15515.216143115398</v>
      </c>
      <c r="AK27" s="19"/>
      <c r="AL27" s="19">
        <f>AL10</f>
        <v>15048.196862000001</v>
      </c>
      <c r="AM27" s="19"/>
      <c r="AN27" s="19">
        <f>AN10</f>
        <v>15299.298683999999</v>
      </c>
      <c r="AO27" s="19"/>
      <c r="AP27" s="19">
        <f>AP10</f>
        <v>14893.188252</v>
      </c>
      <c r="AQ27" s="19"/>
      <c r="AR27" s="19">
        <f>AR10</f>
        <v>14459.74516</v>
      </c>
      <c r="AS27" s="19"/>
      <c r="AT27" s="19">
        <f>AT10</f>
        <v>14050.505474</v>
      </c>
      <c r="AU27" s="19"/>
      <c r="AV27" s="19">
        <f>AV10</f>
        <v>13867.533092824999</v>
      </c>
    </row>
    <row r="28" spans="1:50" x14ac:dyDescent="0.25">
      <c r="A28" s="116" t="s">
        <v>38</v>
      </c>
      <c r="B28" s="76">
        <v>847.6834012523999</v>
      </c>
      <c r="C28" s="66"/>
      <c r="D28" s="76">
        <v>829.009637</v>
      </c>
      <c r="E28" s="66"/>
      <c r="F28" s="76">
        <v>890.737302</v>
      </c>
      <c r="G28" s="66"/>
      <c r="H28" s="76">
        <v>838.43611999999996</v>
      </c>
      <c r="I28" s="66"/>
      <c r="J28" s="76">
        <v>800.34789941001679</v>
      </c>
      <c r="K28" s="66"/>
      <c r="L28" s="76">
        <v>767.68258800000001</v>
      </c>
      <c r="M28" s="66"/>
      <c r="N28" s="76">
        <v>760.33048399999996</v>
      </c>
      <c r="O28" s="66"/>
      <c r="P28" s="76">
        <v>761.23548500000004</v>
      </c>
      <c r="Q28" s="66"/>
      <c r="R28" s="76">
        <v>792.152693</v>
      </c>
      <c r="S28" s="66"/>
      <c r="T28" s="76">
        <v>780.91752399999996</v>
      </c>
      <c r="U28" s="76"/>
      <c r="V28" s="76">
        <v>664.67071199999998</v>
      </c>
      <c r="W28" s="66"/>
      <c r="X28" s="76">
        <v>637.38453400000003</v>
      </c>
      <c r="Y28" s="66"/>
      <c r="Z28" s="76">
        <v>622.93236100000001</v>
      </c>
      <c r="AA28" s="76"/>
      <c r="AB28" s="76">
        <v>621.08580099999995</v>
      </c>
      <c r="AC28" s="66"/>
      <c r="AD28" s="76">
        <v>571.94522383803439</v>
      </c>
      <c r="AE28" s="66"/>
      <c r="AF28" s="19">
        <v>564.92959399999995</v>
      </c>
      <c r="AG28" s="19"/>
      <c r="AH28" s="19">
        <v>515.54237899999998</v>
      </c>
      <c r="AI28" s="19"/>
      <c r="AJ28" s="19">
        <v>513.735636</v>
      </c>
      <c r="AK28" s="19"/>
      <c r="AL28" s="19">
        <v>443.28066447042352</v>
      </c>
      <c r="AM28" s="19"/>
      <c r="AN28" s="19">
        <v>425.04569099999998</v>
      </c>
      <c r="AO28" s="19"/>
      <c r="AP28" s="19">
        <v>411.48454857923542</v>
      </c>
      <c r="AQ28" s="19"/>
      <c r="AR28" s="19">
        <v>402.75929389975136</v>
      </c>
      <c r="AS28" s="19"/>
      <c r="AT28" s="19">
        <v>372.4311167533462</v>
      </c>
      <c r="AU28" s="19"/>
      <c r="AV28" s="19">
        <v>318.26908900000001</v>
      </c>
    </row>
    <row r="29" spans="1:50" x14ac:dyDescent="0.25">
      <c r="A29" s="104" t="s">
        <v>39</v>
      </c>
      <c r="B29" s="76">
        <v>226.083269</v>
      </c>
      <c r="C29" s="66"/>
      <c r="D29" s="76">
        <v>226.083269</v>
      </c>
      <c r="E29" s="66"/>
      <c r="F29" s="76">
        <v>226.083269</v>
      </c>
      <c r="G29" s="66"/>
      <c r="H29" s="76">
        <v>320.89187800000002</v>
      </c>
      <c r="I29" s="66"/>
      <c r="J29" s="66">
        <v>0</v>
      </c>
      <c r="K29" s="66"/>
      <c r="L29" s="76">
        <v>0</v>
      </c>
      <c r="M29" s="66"/>
      <c r="N29" s="76">
        <v>0</v>
      </c>
      <c r="O29" s="66"/>
      <c r="P29" s="76">
        <v>473.71711299999998</v>
      </c>
      <c r="Q29" s="66"/>
      <c r="R29" s="76">
        <v>0</v>
      </c>
      <c r="S29" s="66"/>
      <c r="T29" s="76">
        <v>0</v>
      </c>
      <c r="U29" s="76"/>
      <c r="V29" s="76">
        <v>0</v>
      </c>
      <c r="W29" s="66"/>
      <c r="X29" s="76">
        <v>372.78673099999997</v>
      </c>
      <c r="Y29" s="66"/>
      <c r="Z29" s="76"/>
      <c r="AA29" s="76"/>
      <c r="AB29" s="76"/>
      <c r="AC29" s="66"/>
      <c r="AD29" s="66"/>
      <c r="AE29" s="66"/>
      <c r="AF29" s="19">
        <v>321.868717</v>
      </c>
      <c r="AG29" s="19"/>
      <c r="AH29" s="19">
        <v>0</v>
      </c>
      <c r="AI29" s="19"/>
      <c r="AJ29" s="19">
        <v>0</v>
      </c>
      <c r="AK29" s="19"/>
      <c r="AL29" s="19">
        <v>0</v>
      </c>
      <c r="AM29" s="19"/>
      <c r="AN29" s="19">
        <v>219.51398599999999</v>
      </c>
      <c r="AO29" s="19"/>
      <c r="AP29" s="19">
        <v>0</v>
      </c>
      <c r="AQ29" s="19"/>
      <c r="AR29" s="19">
        <v>0</v>
      </c>
      <c r="AS29" s="19"/>
      <c r="AT29" s="19">
        <v>0</v>
      </c>
      <c r="AU29" s="19"/>
      <c r="AV29" s="19">
        <v>40</v>
      </c>
    </row>
    <row r="30" spans="1:50" x14ac:dyDescent="0.25">
      <c r="A30" s="104" t="s">
        <v>40</v>
      </c>
      <c r="B30" s="76">
        <v>5663.8148460000002</v>
      </c>
      <c r="C30" s="66"/>
      <c r="D30" s="76">
        <v>5663.8148460000002</v>
      </c>
      <c r="E30" s="66"/>
      <c r="F30" s="76">
        <v>5663.8148460000002</v>
      </c>
      <c r="G30" s="66"/>
      <c r="H30" s="76">
        <v>5663.8148460000002</v>
      </c>
      <c r="I30" s="66"/>
      <c r="J30" s="76">
        <v>5540.8788670000004</v>
      </c>
      <c r="K30" s="66"/>
      <c r="L30" s="76">
        <v>5540.8788670000004</v>
      </c>
      <c r="M30" s="66"/>
      <c r="N30" s="76">
        <v>5540.8788670000004</v>
      </c>
      <c r="O30" s="66"/>
      <c r="P30" s="76">
        <v>5431.5607890000001</v>
      </c>
      <c r="Q30" s="66"/>
      <c r="R30" s="76">
        <v>5125.6049469999998</v>
      </c>
      <c r="S30" s="66"/>
      <c r="T30" s="76">
        <v>5125.6049469999998</v>
      </c>
      <c r="U30" s="76"/>
      <c r="V30" s="76">
        <v>5125.6049469999998</v>
      </c>
      <c r="W30" s="66"/>
      <c r="X30" s="76">
        <v>5125.6049469999998</v>
      </c>
      <c r="Y30" s="66"/>
      <c r="Z30" s="76">
        <v>4831.197032</v>
      </c>
      <c r="AA30" s="76"/>
      <c r="AB30" s="76">
        <v>4831.1970330000004</v>
      </c>
      <c r="AC30" s="66"/>
      <c r="AD30" s="76">
        <v>4831.1970330000004</v>
      </c>
      <c r="AE30" s="66"/>
      <c r="AF30" s="19">
        <v>4831.1970330000004</v>
      </c>
      <c r="AG30" s="19"/>
      <c r="AH30" s="19">
        <v>4497.6340479999999</v>
      </c>
      <c r="AI30" s="19"/>
      <c r="AJ30" s="19">
        <v>4497.6340479999999</v>
      </c>
      <c r="AK30" s="19"/>
      <c r="AL30" s="19">
        <v>4497.6340479999999</v>
      </c>
      <c r="AM30" s="19"/>
      <c r="AN30" s="19">
        <f>4497.634048+1.427523</f>
        <v>4499.0615710000002</v>
      </c>
      <c r="AO30" s="19"/>
      <c r="AP30" s="19">
        <v>4104.7686400000002</v>
      </c>
      <c r="AQ30" s="19"/>
      <c r="AR30" s="19">
        <v>4104.7686400000002</v>
      </c>
      <c r="AS30" s="19"/>
      <c r="AT30" s="19">
        <v>4104.7686400000002</v>
      </c>
      <c r="AU30" s="19"/>
      <c r="AV30" s="19">
        <f>1.366954+4104.768641</f>
        <v>4106.1355949999997</v>
      </c>
    </row>
    <row r="31" spans="1:50" x14ac:dyDescent="0.25">
      <c r="A31" s="104" t="s">
        <v>45</v>
      </c>
      <c r="B31" s="76">
        <f>B20*(1-B19)</f>
        <v>86.199802676805703</v>
      </c>
      <c r="C31" s="66"/>
      <c r="D31" s="76">
        <f>D20*(1-D19)</f>
        <v>86.199748080739866</v>
      </c>
      <c r="E31" s="66"/>
      <c r="F31" s="76">
        <f>F20*(1-F19)</f>
        <v>86.199710245861013</v>
      </c>
      <c r="G31" s="66"/>
      <c r="H31" s="76">
        <v>86.199667253401813</v>
      </c>
      <c r="I31" s="66"/>
      <c r="J31" s="76">
        <f>J20*(1-J19)</f>
        <v>68.238915066754984</v>
      </c>
      <c r="K31" s="66"/>
      <c r="L31" s="76">
        <f>L20*(1-L19)</f>
        <v>68.238878264708049</v>
      </c>
      <c r="M31" s="66"/>
      <c r="N31" s="76">
        <v>68.238825946321882</v>
      </c>
      <c r="O31" s="66"/>
      <c r="P31" s="76">
        <v>68.238725432586293</v>
      </c>
      <c r="Q31" s="66"/>
      <c r="R31" s="76">
        <f>R20*(1-R19)</f>
        <v>56.043172734452462</v>
      </c>
      <c r="S31" s="66"/>
      <c r="T31" s="76">
        <f>T20*(1-T19)</f>
        <v>56.04322829163835</v>
      </c>
      <c r="U31" s="76"/>
      <c r="V31" s="76">
        <f>V20*(1-V19)</f>
        <v>56.043172593126044</v>
      </c>
      <c r="W31" s="66"/>
      <c r="X31" s="76">
        <f>X20*(1-X19)</f>
        <v>56.042992749722032</v>
      </c>
      <c r="Y31" s="66"/>
      <c r="Z31" s="76">
        <f>Z20*(1-Z19)</f>
        <v>45.471178167184227</v>
      </c>
      <c r="AA31" s="76"/>
      <c r="AB31" s="76">
        <f>AB20*(1-AB19)</f>
        <v>45.475543596000009</v>
      </c>
      <c r="AC31" s="66"/>
      <c r="AD31" s="76">
        <f>AD20*(1-AD19)</f>
        <v>45.475543596000009</v>
      </c>
      <c r="AE31" s="66"/>
      <c r="AF31" s="19">
        <f>AF20*(1-AF19)</f>
        <v>45.475543596000009</v>
      </c>
      <c r="AG31" s="19"/>
      <c r="AH31" s="19">
        <f>AH20*(1-AH19)</f>
        <v>50.122679159000008</v>
      </c>
      <c r="AI31" s="19"/>
      <c r="AJ31" s="19">
        <f>AJ20*(1-AJ19)</f>
        <v>50.122679159000008</v>
      </c>
      <c r="AK31" s="19"/>
      <c r="AL31" s="19">
        <f>AL20*(1-AL19)</f>
        <v>50.122679159000008</v>
      </c>
      <c r="AM31" s="19"/>
      <c r="AN31" s="19">
        <f>AN20*(1-AN19)</f>
        <v>50.122679159000008</v>
      </c>
      <c r="AO31" s="19"/>
      <c r="AP31" s="19">
        <f>AP20*(1-AP19)</f>
        <v>83.818320930674361</v>
      </c>
      <c r="AQ31" s="19"/>
      <c r="AR31" s="19">
        <f>AR20*(1-AR19)</f>
        <v>83.818320930674361</v>
      </c>
      <c r="AS31" s="19"/>
      <c r="AT31" s="19">
        <f>AT20*(1-AT19)</f>
        <v>104.46559545750497</v>
      </c>
      <c r="AU31" s="19"/>
      <c r="AV31" s="19">
        <f>AV20*(1-AV19)</f>
        <v>104.46671499924578</v>
      </c>
    </row>
    <row r="32" spans="1:50" x14ac:dyDescent="0.25">
      <c r="A32" s="109" t="s">
        <v>46</v>
      </c>
      <c r="B32" s="21">
        <f>B21*(1-B19)</f>
        <v>1600.408112766871</v>
      </c>
      <c r="C32" s="63"/>
      <c r="D32" s="21">
        <f>D21*(1-D19)</f>
        <v>1354.7394404794763</v>
      </c>
      <c r="E32" s="63"/>
      <c r="F32" s="21">
        <f>F21*(1-F19)</f>
        <v>1099.447363314835</v>
      </c>
      <c r="G32" s="63"/>
      <c r="H32" s="21">
        <v>852.92470891629409</v>
      </c>
      <c r="I32" s="63"/>
      <c r="J32" s="21">
        <f>J21*(1-J19)</f>
        <v>1173.9557274690667</v>
      </c>
      <c r="K32" s="63"/>
      <c r="L32" s="21">
        <f>L21*(1-L19)</f>
        <v>996.64501667352044</v>
      </c>
      <c r="M32" s="63"/>
      <c r="N32" s="21">
        <v>738.96483075575952</v>
      </c>
      <c r="O32" s="63"/>
      <c r="P32" s="21">
        <v>658.47494075230236</v>
      </c>
      <c r="Q32" s="63"/>
      <c r="R32" s="21">
        <f>R21*(1-R19)</f>
        <v>1355.6431394110436</v>
      </c>
      <c r="S32" s="63"/>
      <c r="T32" s="21">
        <f>T21*(1-T19)</f>
        <v>1187.580933353812</v>
      </c>
      <c r="U32" s="21"/>
      <c r="V32" s="21">
        <f>V21*(1-V19)</f>
        <v>952.12626040351563</v>
      </c>
      <c r="W32" s="63"/>
      <c r="X32" s="21">
        <f>X21*(1-X19)</f>
        <v>579.72233159575148</v>
      </c>
      <c r="Y32" s="63"/>
      <c r="Z32" s="21">
        <f>Z21*(1-Z19)</f>
        <v>1152.7197601716218</v>
      </c>
      <c r="AA32" s="21"/>
      <c r="AB32" s="21">
        <f>AB21*(1-AB19)</f>
        <v>977.66400219950015</v>
      </c>
      <c r="AC32" s="63"/>
      <c r="AD32" s="21">
        <f>AD21*(1-AD19)</f>
        <v>714.27093642464911</v>
      </c>
      <c r="AE32" s="63"/>
      <c r="AF32" s="18">
        <f>AF21*(1-AF19)</f>
        <v>557.56616094549997</v>
      </c>
      <c r="AG32" s="18"/>
      <c r="AH32" s="18">
        <f>AH21*(1-AH19)</f>
        <v>683.06215595100014</v>
      </c>
      <c r="AI32" s="18"/>
      <c r="AJ32" s="18">
        <f>AJ21*(1-AJ19)</f>
        <v>686.87346974050013</v>
      </c>
      <c r="AK32" s="18"/>
      <c r="AL32" s="18">
        <f>AL21*(1-AL19)</f>
        <v>694.04597072141371</v>
      </c>
      <c r="AM32" s="18"/>
      <c r="AN32" s="18">
        <f>AN21*(1-AN19)</f>
        <v>597.12216512200007</v>
      </c>
      <c r="AO32" s="18"/>
      <c r="AP32" s="18">
        <f>AP21*(1-AP19)</f>
        <v>606.44104600751791</v>
      </c>
      <c r="AQ32" s="18"/>
      <c r="AR32" s="18">
        <f>AR21*(1-AR19)</f>
        <v>607.12183164685689</v>
      </c>
      <c r="AS32" s="18"/>
      <c r="AT32" s="18">
        <f>AT21*(1-AT19)</f>
        <v>615.9508077195502</v>
      </c>
      <c r="AU32" s="18"/>
      <c r="AV32" s="18">
        <f>AV21*(1-AV19)</f>
        <v>575.62013667183601</v>
      </c>
      <c r="AW32" s="28"/>
    </row>
    <row r="33" spans="1:50" x14ac:dyDescent="0.25">
      <c r="A33" s="104" t="s">
        <v>42</v>
      </c>
      <c r="B33" s="76">
        <f>B27-B28-B29-B30-B31-B32</f>
        <v>13400.263574303923</v>
      </c>
      <c r="C33" s="66"/>
      <c r="D33" s="76">
        <f>D27-D28-D29-D30-D31-D32</f>
        <v>12960.263414439785</v>
      </c>
      <c r="E33" s="66"/>
      <c r="F33" s="76">
        <f>F27-F28-F29-F30-F31-F32</f>
        <v>12495.487644439308</v>
      </c>
      <c r="G33" s="66"/>
      <c r="H33" s="76">
        <f>H27-H28-H29-H30-H31-H32</f>
        <v>12254.975003830303</v>
      </c>
      <c r="I33" s="66"/>
      <c r="J33" s="76">
        <f>J27-J28-J29-J30-J31-J32</f>
        <v>12002.395445054164</v>
      </c>
      <c r="K33" s="66"/>
      <c r="L33" s="76">
        <f>L27-L28-L29-L30-L31-L32</f>
        <v>11692.538887061772</v>
      </c>
      <c r="M33" s="66"/>
      <c r="N33" s="76">
        <f>N27-N28-N29-N30-N31-N32</f>
        <v>11223.02592029792</v>
      </c>
      <c r="O33" s="66"/>
      <c r="P33" s="76">
        <v>11734.036655815115</v>
      </c>
      <c r="Q33" s="66"/>
      <c r="R33" s="76">
        <f>R27-R28-R29-R30-R31-R32</f>
        <v>11571.056917854503</v>
      </c>
      <c r="S33" s="66"/>
      <c r="T33" s="76">
        <f>T27-T28-T29-T30-T31-T32</f>
        <v>11286.26173935455</v>
      </c>
      <c r="U33" s="76"/>
      <c r="V33" s="76">
        <f>V27-V28-V29-V30-V31-V32</f>
        <v>10851.889438003354</v>
      </c>
      <c r="W33" s="66"/>
      <c r="X33" s="76">
        <f>X27-X28-X29-X30-X31-X32</f>
        <v>10871.585974654525</v>
      </c>
      <c r="Y33" s="66"/>
      <c r="Z33" s="76">
        <f>Z27-Z28-Z29-Z30-Z31-Z32</f>
        <v>10688.229833661195</v>
      </c>
      <c r="AA33" s="76"/>
      <c r="AB33" s="76">
        <f>AB27-AB28-AB29-AB30-AB31-AB32</f>
        <v>10371.910082204506</v>
      </c>
      <c r="AC33" s="66"/>
      <c r="AD33" s="76">
        <f>AD27-AD28-AD29-AD30-AD31-AD32</f>
        <v>9896.211512141319</v>
      </c>
      <c r="AE33" s="66"/>
      <c r="AF33" s="19">
        <f>AF27-AF28-AF29-AF30-AF31-AF32</f>
        <v>10196.257254458504</v>
      </c>
      <c r="AG33" s="19"/>
      <c r="AH33" s="19">
        <f>AH27-AH28-AH29-AH30-AH31-AH32</f>
        <v>10246.485309889998</v>
      </c>
      <c r="AI33" s="19"/>
      <c r="AJ33" s="19">
        <f>AJ27-AJ28-AJ29-AJ30-AJ31-AJ32</f>
        <v>9766.8503102158993</v>
      </c>
      <c r="AK33" s="19"/>
      <c r="AL33" s="19">
        <f>AL27-AL28-AL29-AL30-AL31-AL32</f>
        <v>9363.1134996491637</v>
      </c>
      <c r="AM33" s="19"/>
      <c r="AN33" s="19">
        <f>AN27-AN28-AN29-AN30-AN31-AN32</f>
        <v>9508.4325917189999</v>
      </c>
      <c r="AO33" s="19"/>
      <c r="AP33" s="19">
        <f>AP27-AP28-AP29-AP30-AP31-AP32</f>
        <v>9686.6756964825727</v>
      </c>
      <c r="AQ33" s="19"/>
      <c r="AR33" s="19">
        <f>AR27-AR28-AR29-AR30-AR31-AR32</f>
        <v>9261.2770735227186</v>
      </c>
      <c r="AS33" s="19"/>
      <c r="AT33" s="19">
        <f>AT27-AT28-AT29-AT30-AT31-AT32</f>
        <v>8852.8893140695982</v>
      </c>
      <c r="AU33" s="19"/>
      <c r="AV33" s="19">
        <f>AV27-AV28-AV29-AV30-AV31-AV32</f>
        <v>8723.0415571539179</v>
      </c>
    </row>
    <row r="34" spans="1:50" x14ac:dyDescent="0.25">
      <c r="A34" s="109" t="s">
        <v>62</v>
      </c>
      <c r="B34" s="21">
        <f>B22</f>
        <v>129387296</v>
      </c>
      <c r="C34" s="67"/>
      <c r="D34" s="21">
        <f>D22</f>
        <v>129363668</v>
      </c>
      <c r="E34" s="67"/>
      <c r="F34" s="21">
        <f>F22</f>
        <v>129219894</v>
      </c>
      <c r="G34" s="67"/>
      <c r="H34" s="21">
        <f>H22</f>
        <v>129390824</v>
      </c>
      <c r="I34" s="67"/>
      <c r="J34" s="21">
        <f>J22</f>
        <v>129437898</v>
      </c>
      <c r="K34" s="67"/>
      <c r="L34" s="21">
        <f>L22</f>
        <v>129386673</v>
      </c>
      <c r="M34" s="67"/>
      <c r="N34" s="21">
        <f>N22</f>
        <v>129218754</v>
      </c>
      <c r="O34" s="67"/>
      <c r="P34" s="21">
        <v>129303983</v>
      </c>
      <c r="Q34" s="67"/>
      <c r="R34" s="21">
        <f>R22</f>
        <v>129481331</v>
      </c>
      <c r="S34" s="67"/>
      <c r="T34" s="21">
        <f>T22</f>
        <v>129663705</v>
      </c>
      <c r="U34" s="97"/>
      <c r="V34" s="21">
        <f>V22</f>
        <v>129409079</v>
      </c>
      <c r="W34" s="67"/>
      <c r="X34" s="21">
        <f>X22</f>
        <v>129623739</v>
      </c>
      <c r="Y34" s="67"/>
      <c r="Z34" s="21">
        <f>Z22</f>
        <v>129441739</v>
      </c>
      <c r="AA34" s="97"/>
      <c r="AB34" s="21">
        <f>AB22</f>
        <v>129305183</v>
      </c>
      <c r="AC34" s="67"/>
      <c r="AD34" s="21">
        <f>AD22</f>
        <v>129309239</v>
      </c>
      <c r="AE34" s="67"/>
      <c r="AF34" s="18">
        <f>AF22</f>
        <v>129379137</v>
      </c>
      <c r="AG34" s="28"/>
      <c r="AH34" s="18">
        <f>AH22</f>
        <v>129402711</v>
      </c>
      <c r="AI34" s="28"/>
      <c r="AJ34" s="18">
        <f>AJ22</f>
        <v>129536890</v>
      </c>
      <c r="AK34" s="28"/>
      <c r="AL34" s="18">
        <f>AL22</f>
        <v>129483846</v>
      </c>
      <c r="AM34" s="28"/>
      <c r="AN34" s="18">
        <f>AN22</f>
        <v>129636564</v>
      </c>
      <c r="AO34" s="28"/>
      <c r="AP34" s="18">
        <f>AP22</f>
        <v>129661718</v>
      </c>
      <c r="AQ34" s="28"/>
      <c r="AR34" s="18">
        <f>AR22</f>
        <v>129466693</v>
      </c>
      <c r="AS34" s="28"/>
      <c r="AT34" s="18">
        <f>AT22</f>
        <v>129470619</v>
      </c>
      <c r="AU34" s="28"/>
      <c r="AV34" s="18">
        <f>AV22</f>
        <v>129432210</v>
      </c>
      <c r="AW34" s="28"/>
    </row>
    <row r="35" spans="1:50" ht="15.75" thickBot="1" x14ac:dyDescent="0.3">
      <c r="A35" s="110" t="s">
        <v>47</v>
      </c>
      <c r="B35" s="77">
        <f>B33*1000000/B34</f>
        <v>103.56707334160475</v>
      </c>
      <c r="C35" s="68"/>
      <c r="D35" s="77">
        <f>D33*1000000/D34</f>
        <v>100.18472431100041</v>
      </c>
      <c r="E35" s="68"/>
      <c r="F35" s="77">
        <f>F33*1000000/F34</f>
        <v>96.699411039907744</v>
      </c>
      <c r="G35" s="68"/>
      <c r="H35" s="77">
        <f>H33*1000000/H34</f>
        <v>94.712860038902789</v>
      </c>
      <c r="I35" s="68"/>
      <c r="J35" s="77">
        <f>J33*1000000/J34</f>
        <v>92.727057766761362</v>
      </c>
      <c r="K35" s="68"/>
      <c r="L35" s="77">
        <f>L33*1000000/L34</f>
        <v>90.368958533015004</v>
      </c>
      <c r="M35" s="68"/>
      <c r="N35" s="77">
        <f>N33*1000000/N34</f>
        <v>86.852918580981836</v>
      </c>
      <c r="O35" s="68"/>
      <c r="P35" s="178">
        <v>90.747681421500488</v>
      </c>
      <c r="Q35" s="68"/>
      <c r="R35" s="77">
        <f>R33*1000000/R34</f>
        <v>89.364673876070242</v>
      </c>
      <c r="S35" s="68"/>
      <c r="T35" s="77">
        <f>T33*1000000/T34</f>
        <v>87.042567072678892</v>
      </c>
      <c r="U35" s="98"/>
      <c r="V35" s="77">
        <f>V33*1000000/V34</f>
        <v>83.857249598409979</v>
      </c>
      <c r="W35" s="68"/>
      <c r="X35" s="77">
        <f>X33*1000000/X34</f>
        <v>83.870331611515411</v>
      </c>
      <c r="Y35" s="68"/>
      <c r="Z35" s="77">
        <f>Z33*1000000/Z34</f>
        <v>82.571741667200513</v>
      </c>
      <c r="AA35" s="98"/>
      <c r="AB35" s="77">
        <f>AB33*1000000/AB34</f>
        <v>80.212639907903039</v>
      </c>
      <c r="AC35" s="68"/>
      <c r="AD35" s="77">
        <f>AD33*1000000/AD34</f>
        <v>76.531356836314842</v>
      </c>
      <c r="AE35" s="68"/>
      <c r="AF35" s="32">
        <f>AF33*1000000/AF34</f>
        <v>78.809130211299092</v>
      </c>
      <c r="AG35" s="31"/>
      <c r="AH35" s="32">
        <f>AH33*1000000/AH34</f>
        <v>79.182926159019956</v>
      </c>
      <c r="AI35" s="31"/>
      <c r="AJ35" s="32">
        <f>AJ33*1000000/AJ34</f>
        <v>75.398215212793033</v>
      </c>
      <c r="AK35" s="31"/>
      <c r="AL35" s="32">
        <f>AL33*1000000/AL34</f>
        <v>72.311054922242306</v>
      </c>
      <c r="AM35" s="31"/>
      <c r="AN35" s="32">
        <f>AN33*1000000/AN34</f>
        <v>73.346842112530837</v>
      </c>
      <c r="AO35" s="31"/>
      <c r="AP35" s="32">
        <f>AP33*1000000/AP34</f>
        <v>74.707290986863001</v>
      </c>
      <c r="AQ35" s="31"/>
      <c r="AR35" s="32">
        <f>AR33*1000000/AR34</f>
        <v>71.534051414464713</v>
      </c>
      <c r="AS35" s="31"/>
      <c r="AT35" s="32">
        <f>AT33*1000000/AT34</f>
        <v>68.377593174785062</v>
      </c>
      <c r="AU35" s="31"/>
      <c r="AV35" s="32">
        <f>AV33*1000000/AV34</f>
        <v>67.394673684038281</v>
      </c>
      <c r="AW35" s="30"/>
    </row>
    <row r="36" spans="1:50" x14ac:dyDescent="0.25">
      <c r="B36" s="69"/>
      <c r="D36" s="69"/>
      <c r="J36" s="69"/>
      <c r="L36" s="69"/>
      <c r="R36" s="69"/>
      <c r="T36" s="69"/>
      <c r="U36" s="88"/>
      <c r="V36" s="174"/>
      <c r="Z36" s="89"/>
      <c r="AA36" s="88"/>
      <c r="AB36" s="69"/>
      <c r="AD36" s="69"/>
      <c r="AE36" s="64"/>
      <c r="AF36" s="24"/>
    </row>
    <row r="37" spans="1:50" x14ac:dyDescent="0.25">
      <c r="A37" s="111"/>
      <c r="B37" s="70"/>
      <c r="D37" s="70"/>
      <c r="J37" s="70"/>
      <c r="L37" s="70"/>
      <c r="R37" s="70"/>
      <c r="T37" s="70"/>
      <c r="U37" s="88"/>
      <c r="Z37" s="90"/>
      <c r="AA37" s="88"/>
      <c r="AB37" s="70"/>
      <c r="AD37" s="70"/>
      <c r="AE37" s="64"/>
      <c r="AF37" s="14"/>
    </row>
    <row r="38" spans="1:50" x14ac:dyDescent="0.25">
      <c r="A38" s="108" t="s">
        <v>142</v>
      </c>
      <c r="B38" s="76">
        <v>1308.2760599655035</v>
      </c>
      <c r="C38" s="76">
        <v>415.95455811342123</v>
      </c>
      <c r="D38" s="76">
        <v>892.32043510740209</v>
      </c>
      <c r="E38" s="76">
        <v>453.22482336881012</v>
      </c>
      <c r="F38" s="76">
        <v>439.0940485076008</v>
      </c>
      <c r="G38" s="76">
        <v>439.09232076888657</v>
      </c>
      <c r="H38" s="76">
        <v>1146.9111447099383</v>
      </c>
      <c r="I38" s="76">
        <v>257.24302416237487</v>
      </c>
      <c r="J38" s="76">
        <v>889.66701122768302</v>
      </c>
      <c r="K38" s="76">
        <v>304.31915974738365</v>
      </c>
      <c r="L38" s="76">
        <v>585.34675533487462</v>
      </c>
      <c r="M38" s="76">
        <v>423.0310298804838</v>
      </c>
      <c r="N38" s="76">
        <v>162.31389503061243</v>
      </c>
      <c r="O38" s="76">
        <v>162.31389503061243</v>
      </c>
      <c r="P38" s="76">
        <v>1571.7073726198244</v>
      </c>
      <c r="Q38" s="76">
        <v>206.89561061564788</v>
      </c>
      <c r="R38" s="76">
        <v>1364.8105659117602</v>
      </c>
      <c r="S38" s="76">
        <v>298.54655800430584</v>
      </c>
      <c r="T38" s="76">
        <v>1066.2616938953097</v>
      </c>
      <c r="U38" s="76">
        <v>415.97339308004308</v>
      </c>
      <c r="V38" s="95">
        <v>650.28650740382852</v>
      </c>
      <c r="W38" s="95">
        <v>650.28650740382852</v>
      </c>
      <c r="X38" s="76">
        <v>1290.5823132118744</v>
      </c>
      <c r="Y38" s="76">
        <v>246.74759338141706</v>
      </c>
      <c r="Z38" s="76">
        <v>1043.7519966862378</v>
      </c>
      <c r="AA38" s="76">
        <v>300.77242862879785</v>
      </c>
      <c r="AB38" s="76">
        <v>743.50368840332544</v>
      </c>
      <c r="AC38" s="76">
        <v>457.73886828321406</v>
      </c>
      <c r="AD38" s="76">
        <v>285.51289331699206</v>
      </c>
      <c r="AE38" s="76">
        <v>285.51289331699206</v>
      </c>
      <c r="AF38" s="19">
        <v>1127.798624544118</v>
      </c>
      <c r="AG38" s="19">
        <v>340.55942061903244</v>
      </c>
      <c r="AH38" s="19">
        <v>787.34958428150003</v>
      </c>
      <c r="AI38" s="19">
        <v>313.0856250137499</v>
      </c>
      <c r="AJ38" s="19">
        <v>474.24105717399993</v>
      </c>
      <c r="AK38" s="19">
        <v>249.20846373734918</v>
      </c>
      <c r="AL38" s="19">
        <v>224.91835957209179</v>
      </c>
      <c r="AM38" s="19">
        <v>224.91835957209179</v>
      </c>
      <c r="AN38" s="19">
        <v>1026.970835408302</v>
      </c>
      <c r="AO38" s="19">
        <v>286.57281439623256</v>
      </c>
      <c r="AP38" s="19">
        <v>740.45848847497552</v>
      </c>
      <c r="AQ38" s="19">
        <v>259.19796399937474</v>
      </c>
      <c r="AR38" s="19">
        <v>481.26052511516997</v>
      </c>
      <c r="AS38" s="19">
        <v>287.38064719324177</v>
      </c>
      <c r="AT38" s="19">
        <v>193.87987792192789</v>
      </c>
      <c r="AU38" s="19">
        <v>193.87987792192789</v>
      </c>
      <c r="AV38" s="19">
        <v>901.7337411579532</v>
      </c>
      <c r="AW38" s="59">
        <v>185.71536351095801</v>
      </c>
    </row>
    <row r="39" spans="1:50" x14ac:dyDescent="0.25">
      <c r="A39" s="112" t="s">
        <v>147</v>
      </c>
      <c r="B39" s="78">
        <f t="shared" ref="B39" si="22">B25</f>
        <v>129340420.5</v>
      </c>
      <c r="C39" s="155">
        <f>+C25</f>
        <v>129375482</v>
      </c>
      <c r="D39" s="78">
        <f t="shared" ref="D39:J39" si="23">D25</f>
        <v>129324795.33333333</v>
      </c>
      <c r="E39" s="155">
        <f>+E25</f>
        <v>129291781</v>
      </c>
      <c r="F39" s="78">
        <f t="shared" si="23"/>
        <v>129305359</v>
      </c>
      <c r="G39" s="78">
        <f t="shared" si="23"/>
        <v>129305359</v>
      </c>
      <c r="H39" s="155">
        <v>129347626.40000001</v>
      </c>
      <c r="I39" s="155">
        <v>129414361</v>
      </c>
      <c r="J39" s="78">
        <f t="shared" si="23"/>
        <v>129336827</v>
      </c>
      <c r="K39" s="155">
        <f>+K25</f>
        <v>129412285.5</v>
      </c>
      <c r="L39" s="78">
        <f t="shared" ref="L39:N39" si="24">L25</f>
        <v>129303136.66666667</v>
      </c>
      <c r="M39" s="155">
        <f>+M25</f>
        <v>129302713.5</v>
      </c>
      <c r="N39" s="78">
        <f t="shared" si="24"/>
        <v>129261368.5</v>
      </c>
      <c r="O39" s="155">
        <v>129261368.5</v>
      </c>
      <c r="P39" s="155">
        <v>129496367.40000001</v>
      </c>
      <c r="Q39" s="155">
        <v>129392657</v>
      </c>
      <c r="R39" s="78">
        <f t="shared" ref="R39:AC39" si="25">R25</f>
        <v>129544463.5</v>
      </c>
      <c r="S39" s="155">
        <f t="shared" ref="S39:Y39" si="26">+S25</f>
        <v>129572518</v>
      </c>
      <c r="T39" s="155">
        <f t="shared" si="26"/>
        <v>129565507.66666667</v>
      </c>
      <c r="U39" s="155">
        <f t="shared" si="26"/>
        <v>129536392</v>
      </c>
      <c r="V39" s="155">
        <f t="shared" si="26"/>
        <v>129516409</v>
      </c>
      <c r="W39" s="155">
        <f t="shared" si="26"/>
        <v>129516409</v>
      </c>
      <c r="X39" s="155">
        <f t="shared" si="26"/>
        <v>129411807.40000001</v>
      </c>
      <c r="Y39" s="155">
        <f t="shared" si="26"/>
        <v>129532739</v>
      </c>
      <c r="Z39" s="78">
        <f t="shared" si="25"/>
        <v>129358824.5</v>
      </c>
      <c r="AA39" s="78">
        <f t="shared" si="25"/>
        <v>129373461</v>
      </c>
      <c r="AB39" s="78">
        <f t="shared" si="25"/>
        <v>129331186.33333333</v>
      </c>
      <c r="AC39" s="78">
        <f t="shared" si="25"/>
        <v>129307211</v>
      </c>
      <c r="AD39" s="155">
        <f>+AD25</f>
        <v>129344188</v>
      </c>
      <c r="AE39" s="155">
        <f>+AE25</f>
        <v>129344188</v>
      </c>
      <c r="AF39" s="33">
        <f t="shared" ref="AF39:AW39" si="27">AF25</f>
        <v>129487829.59999999</v>
      </c>
      <c r="AG39" s="33">
        <f t="shared" si="27"/>
        <v>129390924</v>
      </c>
      <c r="AH39" s="33">
        <f t="shared" si="27"/>
        <v>129515002.75</v>
      </c>
      <c r="AI39" s="33">
        <f t="shared" si="27"/>
        <v>129469800.5</v>
      </c>
      <c r="AJ39" s="33">
        <f t="shared" si="27"/>
        <v>129552433.33333333</v>
      </c>
      <c r="AK39" s="33">
        <f t="shared" si="27"/>
        <v>129510368</v>
      </c>
      <c r="AL39" s="33">
        <f t="shared" si="27"/>
        <v>129560205</v>
      </c>
      <c r="AM39" s="33">
        <f t="shared" si="27"/>
        <v>129560205</v>
      </c>
      <c r="AN39" s="33">
        <f t="shared" si="27"/>
        <v>129533560.8</v>
      </c>
      <c r="AO39" s="33">
        <f t="shared" si="27"/>
        <v>129649141</v>
      </c>
      <c r="AP39" s="33">
        <f t="shared" si="27"/>
        <v>129507810</v>
      </c>
      <c r="AQ39" s="33">
        <f t="shared" si="27"/>
        <v>129564205.5</v>
      </c>
      <c r="AR39" s="33">
        <f t="shared" si="27"/>
        <v>129456507.33333333</v>
      </c>
      <c r="AS39" s="33">
        <f t="shared" si="27"/>
        <v>129468656</v>
      </c>
      <c r="AT39" s="33">
        <f t="shared" si="27"/>
        <v>129451414.5</v>
      </c>
      <c r="AU39" s="33">
        <f t="shared" si="27"/>
        <v>129451414.5</v>
      </c>
      <c r="AV39" s="33">
        <f t="shared" si="27"/>
        <v>129608423.5</v>
      </c>
      <c r="AW39" s="33">
        <f t="shared" si="27"/>
        <v>129460084</v>
      </c>
    </row>
    <row r="40" spans="1:50" s="41" customFormat="1" x14ac:dyDescent="0.25">
      <c r="A40" s="108" t="s">
        <v>49</v>
      </c>
      <c r="B40" s="79">
        <f t="shared" ref="B40" si="28">B38*1000000/B39</f>
        <v>10.114982268559297</v>
      </c>
      <c r="C40" s="79">
        <f>C38*1000000/C39</f>
        <v>3.2150957173896457</v>
      </c>
      <c r="D40" s="79">
        <f t="shared" ref="D40:J40" si="29">D38*1000000/D39</f>
        <v>6.8998403036900644</v>
      </c>
      <c r="E40" s="79">
        <f>E38*1000000/E39</f>
        <v>3.5054418762226667</v>
      </c>
      <c r="F40" s="79">
        <f t="shared" si="29"/>
        <v>3.3957915735542006</v>
      </c>
      <c r="G40" s="79">
        <f>G38*1000000/G39</f>
        <v>3.3957782118596227</v>
      </c>
      <c r="H40" s="79">
        <f t="shared" si="29"/>
        <v>8.8668897654386196</v>
      </c>
      <c r="I40" s="79">
        <f>I38*1000000/I39</f>
        <v>1.9877471261661204</v>
      </c>
      <c r="J40" s="79">
        <f t="shared" si="29"/>
        <v>6.8786828304337719</v>
      </c>
      <c r="K40" s="79">
        <f>K38*1000000/K39</f>
        <v>2.3515476801264255</v>
      </c>
      <c r="L40" s="79">
        <f t="shared" ref="L40:N40" si="30">L38*1000000/L39</f>
        <v>4.5269339199701903</v>
      </c>
      <c r="M40" s="79">
        <f>M38*1000000/M39</f>
        <v>3.271633041796016</v>
      </c>
      <c r="N40" s="79">
        <f t="shared" si="30"/>
        <v>1.2557030527694935</v>
      </c>
      <c r="O40" s="79">
        <v>1.2557030527694935</v>
      </c>
      <c r="P40" s="79">
        <v>12.137076924829818</v>
      </c>
      <c r="Q40" s="79">
        <v>1.5989748986733294</v>
      </c>
      <c r="R40" s="79">
        <f t="shared" ref="R40:AE40" si="31">R38*1000000/R39</f>
        <v>10.535460405158576</v>
      </c>
      <c r="S40" s="79">
        <f>S38*1000000/S39</f>
        <v>2.3040885722719833</v>
      </c>
      <c r="T40" s="79">
        <f t="shared" ref="T40:Y40" si="32">T38*1000000/T39</f>
        <v>8.2295181263711203</v>
      </c>
      <c r="U40" s="79">
        <f t="shared" si="32"/>
        <v>3.2112473310206378</v>
      </c>
      <c r="V40" s="79">
        <f t="shared" si="32"/>
        <v>5.0208812336962527</v>
      </c>
      <c r="W40" s="79">
        <f t="shared" si="32"/>
        <v>5.0208812336962527</v>
      </c>
      <c r="X40" s="79">
        <f t="shared" si="32"/>
        <v>9.9726782211054594</v>
      </c>
      <c r="Y40" s="79">
        <f t="shared" si="32"/>
        <v>1.9049052408396696</v>
      </c>
      <c r="Z40" s="79">
        <f t="shared" si="31"/>
        <v>8.0686570917799099</v>
      </c>
      <c r="AA40" s="79">
        <f t="shared" si="31"/>
        <v>2.3248386980139446</v>
      </c>
      <c r="AB40" s="79">
        <f t="shared" si="31"/>
        <v>5.7488352924177706</v>
      </c>
      <c r="AC40" s="79">
        <f t="shared" si="31"/>
        <v>3.5399330380980381</v>
      </c>
      <c r="AD40" s="79">
        <f t="shared" si="31"/>
        <v>2.2073886560484035</v>
      </c>
      <c r="AE40" s="79">
        <f t="shared" si="31"/>
        <v>2.2073886560484035</v>
      </c>
      <c r="AF40" s="42">
        <f t="shared" ref="AF40:AW40" si="33">AF38*1000000/AF39</f>
        <v>8.709688223426042</v>
      </c>
      <c r="AG40" s="42">
        <f t="shared" si="33"/>
        <v>2.6320193881530085</v>
      </c>
      <c r="AH40" s="42">
        <f t="shared" si="33"/>
        <v>6.0792152844354552</v>
      </c>
      <c r="AI40" s="42">
        <f t="shared" si="33"/>
        <v>2.418213543271428</v>
      </c>
      <c r="AJ40" s="42">
        <f t="shared" si="33"/>
        <v>3.6606109586054343</v>
      </c>
      <c r="AK40" s="42">
        <f t="shared" si="33"/>
        <v>1.9242356236479012</v>
      </c>
      <c r="AL40" s="42">
        <f t="shared" si="33"/>
        <v>1.7360142303888126</v>
      </c>
      <c r="AM40" s="42">
        <f t="shared" si="33"/>
        <v>1.7360142303888126</v>
      </c>
      <c r="AN40" s="42">
        <f t="shared" si="33"/>
        <v>7.9282220689813858</v>
      </c>
      <c r="AO40" s="42">
        <f t="shared" si="33"/>
        <v>2.2103718712354024</v>
      </c>
      <c r="AP40" s="42">
        <f t="shared" si="33"/>
        <v>5.7174813509314646</v>
      </c>
      <c r="AQ40" s="42">
        <f t="shared" si="33"/>
        <v>2.0005368226440807</v>
      </c>
      <c r="AR40" s="42">
        <f t="shared" si="33"/>
        <v>3.7175460317030486</v>
      </c>
      <c r="AS40" s="42">
        <f t="shared" si="33"/>
        <v>2.2196928281486277</v>
      </c>
      <c r="AT40" s="42">
        <f t="shared" si="33"/>
        <v>1.4977038193887631</v>
      </c>
      <c r="AU40" s="42">
        <f t="shared" si="33"/>
        <v>1.4977038193887631</v>
      </c>
      <c r="AV40" s="42">
        <f t="shared" si="33"/>
        <v>6.9573698746359129</v>
      </c>
      <c r="AW40" s="42">
        <f t="shared" si="33"/>
        <v>1.4345376410458532</v>
      </c>
      <c r="AX40" s="58"/>
    </row>
    <row r="41" spans="1:50" s="14" customFormat="1" x14ac:dyDescent="0.25">
      <c r="A41" s="113"/>
      <c r="B41" s="70"/>
      <c r="C41" s="70"/>
      <c r="D41" s="70"/>
      <c r="E41" s="70"/>
      <c r="F41" s="70"/>
      <c r="G41" s="70"/>
      <c r="H41" s="70"/>
      <c r="I41" s="70"/>
      <c r="J41" s="70"/>
      <c r="K41" s="70"/>
      <c r="L41" s="70"/>
      <c r="M41" s="70"/>
      <c r="N41" s="70"/>
      <c r="O41" s="70"/>
      <c r="P41" s="90"/>
      <c r="Q41" s="70"/>
      <c r="R41" s="70"/>
      <c r="S41" s="70"/>
      <c r="T41" s="70"/>
      <c r="U41" s="90"/>
      <c r="V41" s="70"/>
      <c r="W41" s="70"/>
      <c r="X41" s="70"/>
      <c r="Y41" s="70"/>
      <c r="Z41" s="90"/>
      <c r="AA41" s="90"/>
      <c r="AB41" s="70"/>
      <c r="AC41" s="70"/>
      <c r="AD41" s="70"/>
      <c r="AE41" s="70"/>
    </row>
    <row r="42" spans="1:50" x14ac:dyDescent="0.25">
      <c r="A42" s="104" t="s">
        <v>48</v>
      </c>
      <c r="B42" s="75">
        <v>129.80000000000001</v>
      </c>
      <c r="C42" s="94">
        <f>+B42</f>
        <v>129.80000000000001</v>
      </c>
      <c r="D42" s="75">
        <v>119.2</v>
      </c>
      <c r="E42" s="94">
        <f>+D42</f>
        <v>119.2</v>
      </c>
      <c r="F42" s="192">
        <v>107.4</v>
      </c>
      <c r="G42" s="192">
        <v>107.4</v>
      </c>
      <c r="H42" s="94">
        <v>97.6</v>
      </c>
      <c r="I42" s="94">
        <v>97.6</v>
      </c>
      <c r="J42" s="75">
        <v>84.3</v>
      </c>
      <c r="K42" s="94">
        <f>+J42</f>
        <v>84.3</v>
      </c>
      <c r="L42" s="75">
        <v>78.3</v>
      </c>
      <c r="M42" s="94">
        <f>+L42</f>
        <v>78.3</v>
      </c>
      <c r="N42" s="94">
        <v>67.599999999999994</v>
      </c>
      <c r="O42" s="94">
        <v>67.599999999999994</v>
      </c>
      <c r="P42" s="94">
        <v>100.2</v>
      </c>
      <c r="Q42" s="94">
        <v>100.2</v>
      </c>
      <c r="R42" s="94">
        <v>98.5</v>
      </c>
      <c r="S42" s="94">
        <f>+R42</f>
        <v>98.5</v>
      </c>
      <c r="T42" s="94">
        <v>97.7</v>
      </c>
      <c r="U42" s="94">
        <v>97.7</v>
      </c>
      <c r="V42" s="94">
        <v>87.4</v>
      </c>
      <c r="W42" s="94">
        <v>87.4</v>
      </c>
      <c r="X42" s="94">
        <v>84.2</v>
      </c>
      <c r="Y42" s="94">
        <v>84.2</v>
      </c>
      <c r="Z42" s="94">
        <v>90.9</v>
      </c>
      <c r="AA42" s="94">
        <f>+Z42</f>
        <v>90.9</v>
      </c>
      <c r="AB42" s="94">
        <v>84.5</v>
      </c>
      <c r="AC42" s="94">
        <f>+AB42</f>
        <v>84.5</v>
      </c>
      <c r="AD42" s="75">
        <v>80.900000000000006</v>
      </c>
      <c r="AE42" s="75">
        <v>80.900000000000006</v>
      </c>
      <c r="AF42">
        <v>82.25</v>
      </c>
      <c r="AG42">
        <v>82.25</v>
      </c>
      <c r="AH42">
        <v>81.25</v>
      </c>
      <c r="AI42">
        <v>81.25</v>
      </c>
      <c r="AJ42">
        <v>71.75</v>
      </c>
      <c r="AK42">
        <v>71.75</v>
      </c>
      <c r="AL42">
        <v>66.5</v>
      </c>
      <c r="AM42">
        <v>66.5</v>
      </c>
      <c r="AN42">
        <v>64.75</v>
      </c>
      <c r="AO42">
        <v>64.75</v>
      </c>
      <c r="AP42">
        <v>55.75</v>
      </c>
      <c r="AQ42">
        <v>55.75</v>
      </c>
      <c r="AR42">
        <v>46.7</v>
      </c>
      <c r="AS42">
        <v>46.7</v>
      </c>
      <c r="AT42">
        <v>52.75</v>
      </c>
      <c r="AU42">
        <v>52.75</v>
      </c>
      <c r="AV42">
        <v>50.5</v>
      </c>
      <c r="AW42">
        <v>50.5</v>
      </c>
    </row>
    <row r="43" spans="1:50" x14ac:dyDescent="0.25">
      <c r="A43" s="104" t="s">
        <v>56</v>
      </c>
      <c r="B43" s="80">
        <f>B40/3*4</f>
        <v>13.48664302474573</v>
      </c>
      <c r="C43" s="80">
        <f>C40*4</f>
        <v>12.860382869558583</v>
      </c>
      <c r="D43" s="80">
        <f>D40*2</f>
        <v>13.799680607380129</v>
      </c>
      <c r="E43" s="80">
        <f>E40*4</f>
        <v>14.021767504890667</v>
      </c>
      <c r="F43" s="193">
        <v>13.583166294216802</v>
      </c>
      <c r="G43" s="193">
        <v>13.583112847438491</v>
      </c>
      <c r="H43" s="80">
        <f>H40</f>
        <v>8.8668897654386196</v>
      </c>
      <c r="I43" s="80">
        <f>I40*4</f>
        <v>7.9509885046644815</v>
      </c>
      <c r="J43" s="80">
        <f>J40/3*4</f>
        <v>9.1715771072450298</v>
      </c>
      <c r="K43" s="80">
        <f>K40*4</f>
        <v>9.4061907205057018</v>
      </c>
      <c r="L43" s="80">
        <f>L40/2*4</f>
        <v>9.0538678399403807</v>
      </c>
      <c r="M43" s="80">
        <f>M40*4</f>
        <v>13.086532167184064</v>
      </c>
      <c r="N43" s="80">
        <f>N40*4</f>
        <v>5.0228122110779738</v>
      </c>
      <c r="O43" s="80">
        <v>5.0228122110779738</v>
      </c>
      <c r="P43" s="80">
        <v>12.137076924829818</v>
      </c>
      <c r="Q43" s="80">
        <v>6.3958995946933177</v>
      </c>
      <c r="R43" s="80">
        <f>R40/3*4</f>
        <v>14.047280540211434</v>
      </c>
      <c r="S43" s="80">
        <f>S40*4</f>
        <v>9.2163542890879331</v>
      </c>
      <c r="T43" s="80">
        <f>T40/2*4</f>
        <v>16.459036252742241</v>
      </c>
      <c r="U43" s="80">
        <f>U40*4</f>
        <v>12.844989324082551</v>
      </c>
      <c r="V43" s="80">
        <f>V40/1*4</f>
        <v>20.083524934785011</v>
      </c>
      <c r="W43" s="80">
        <f>W40*4</f>
        <v>20.083524934785011</v>
      </c>
      <c r="X43" s="80">
        <f>X40/4*4</f>
        <v>9.9726782211054594</v>
      </c>
      <c r="Y43" s="80">
        <f>Y40*4</f>
        <v>7.6196209633586784</v>
      </c>
      <c r="Z43" s="80">
        <f>Z40/3*4</f>
        <v>10.758209455706547</v>
      </c>
      <c r="AA43" s="80">
        <f>AA40*4</f>
        <v>9.2993547920557784</v>
      </c>
      <c r="AB43" s="80">
        <f>AB40/2*4</f>
        <v>11.497670584835541</v>
      </c>
      <c r="AC43" s="80">
        <f>AC40*4</f>
        <v>14.159732152392152</v>
      </c>
      <c r="AD43" s="80">
        <f>AD40/1*4</f>
        <v>8.829554624193614</v>
      </c>
      <c r="AE43" s="80">
        <f>AE40*4</f>
        <v>8.829554624193614</v>
      </c>
      <c r="AF43" s="25">
        <f>AF40/4*4</f>
        <v>8.709688223426042</v>
      </c>
      <c r="AG43" s="25">
        <f>AG40*4</f>
        <v>10.528077552612034</v>
      </c>
      <c r="AH43" s="25">
        <f>AH40/3*4</f>
        <v>8.1056203792472736</v>
      </c>
      <c r="AI43" s="25">
        <f>AI40*4</f>
        <v>9.672854173085712</v>
      </c>
      <c r="AJ43" s="25">
        <f>AJ40/2*4</f>
        <v>7.3212219172108686</v>
      </c>
      <c r="AK43" s="25">
        <f>AK40*4</f>
        <v>7.696942494591605</v>
      </c>
      <c r="AL43" s="25">
        <f>AL40*4</f>
        <v>6.9440569215552506</v>
      </c>
      <c r="AM43" s="25">
        <f>AM40*4</f>
        <v>6.9440569215552506</v>
      </c>
      <c r="AN43" s="25">
        <f>AN40/4*4</f>
        <v>7.9282220689813858</v>
      </c>
      <c r="AO43" s="25">
        <f>AO40*4</f>
        <v>8.8414874849416094</v>
      </c>
      <c r="AP43" s="25">
        <f>AP40/3*4</f>
        <v>7.6233084679086192</v>
      </c>
      <c r="AQ43" s="25">
        <f>AQ40*4</f>
        <v>8.0021472905763229</v>
      </c>
      <c r="AR43" s="25">
        <f>AR40/2*4</f>
        <v>7.4350920634060973</v>
      </c>
      <c r="AS43" s="25">
        <f>AS40*4</f>
        <v>8.8787713125945107</v>
      </c>
      <c r="AT43" s="25">
        <f>AT40/1*4</f>
        <v>5.9908152775550523</v>
      </c>
      <c r="AU43" s="25">
        <f>AU40*4</f>
        <v>5.9908152775550523</v>
      </c>
      <c r="AV43" s="25">
        <f>AV40/4*4</f>
        <v>6.9573698746359129</v>
      </c>
      <c r="AW43" s="25">
        <f>AW40*4</f>
        <v>5.738150564183413</v>
      </c>
    </row>
    <row r="44" spans="1:50" s="3" customFormat="1" ht="15.75" thickBot="1" x14ac:dyDescent="0.3">
      <c r="A44" s="114" t="s">
        <v>5</v>
      </c>
      <c r="B44" s="81">
        <f t="shared" ref="B44:C44" si="34">B42/B43</f>
        <v>9.6243371876781172</v>
      </c>
      <c r="C44" s="81">
        <f t="shared" si="34"/>
        <v>10.09301210675816</v>
      </c>
      <c r="D44" s="81">
        <f t="shared" ref="D44:E44" si="35">D42/D43</f>
        <v>8.6378810779324358</v>
      </c>
      <c r="E44" s="81">
        <f t="shared" si="35"/>
        <v>8.5010680685173323</v>
      </c>
      <c r="F44" s="191">
        <v>7.90684569957204</v>
      </c>
      <c r="G44" s="191">
        <v>7.9068768113969945</v>
      </c>
      <c r="H44" s="81">
        <f t="shared" ref="H44:K44" si="36">H42/H43</f>
        <v>11.007241838104886</v>
      </c>
      <c r="I44" s="81">
        <f t="shared" si="36"/>
        <v>12.275203258405233</v>
      </c>
      <c r="J44" s="81">
        <f t="shared" si="36"/>
        <v>9.1914399251365104</v>
      </c>
      <c r="K44" s="81">
        <f t="shared" si="36"/>
        <v>8.9621827267678249</v>
      </c>
      <c r="L44" s="81">
        <f t="shared" ref="L44:N44" si="37">L42/L43</f>
        <v>8.648237569206179</v>
      </c>
      <c r="M44" s="81">
        <f t="shared" si="37"/>
        <v>5.9832504898697279</v>
      </c>
      <c r="N44" s="81">
        <f t="shared" si="37"/>
        <v>13.45859593374923</v>
      </c>
      <c r="O44" s="81">
        <v>13.45859593374923</v>
      </c>
      <c r="P44" s="81">
        <v>8.2556945647277402</v>
      </c>
      <c r="Q44" s="81">
        <v>15.666287207375177</v>
      </c>
      <c r="R44" s="81">
        <f t="shared" ref="R44:AE44" si="38">R42/R43</f>
        <v>7.012033376712032</v>
      </c>
      <c r="S44" s="81">
        <f t="shared" si="38"/>
        <v>10.687523169180135</v>
      </c>
      <c r="T44" s="81">
        <f t="shared" si="38"/>
        <v>5.9359490130366659</v>
      </c>
      <c r="U44" s="81">
        <f t="shared" si="38"/>
        <v>7.6060787233840843</v>
      </c>
      <c r="V44" s="81">
        <f t="shared" si="38"/>
        <v>4.3518257021018112</v>
      </c>
      <c r="W44" s="81">
        <f t="shared" si="38"/>
        <v>4.3518257021018112</v>
      </c>
      <c r="X44" s="81">
        <f t="shared" si="38"/>
        <v>8.443067963609332</v>
      </c>
      <c r="Y44" s="81">
        <f t="shared" si="38"/>
        <v>11.050418440090647</v>
      </c>
      <c r="Z44" s="81">
        <f t="shared" si="38"/>
        <v>8.4493614271270143</v>
      </c>
      <c r="AA44" s="81">
        <f t="shared" si="38"/>
        <v>9.7748717015995297</v>
      </c>
      <c r="AB44" s="81">
        <f t="shared" si="38"/>
        <v>7.3493147482802632</v>
      </c>
      <c r="AC44" s="81">
        <f t="shared" si="38"/>
        <v>5.9676270066820809</v>
      </c>
      <c r="AD44" s="81">
        <f t="shared" si="38"/>
        <v>9.1624100470852969</v>
      </c>
      <c r="AE44" s="81">
        <f t="shared" si="38"/>
        <v>9.1624100470852969</v>
      </c>
      <c r="AF44" s="40">
        <f t="shared" ref="AF44:AW44" si="39">AF42/AF43</f>
        <v>9.4435068041558612</v>
      </c>
      <c r="AG44" s="40">
        <f t="shared" si="39"/>
        <v>7.8124424510525792</v>
      </c>
      <c r="AH44" s="40">
        <f t="shared" si="39"/>
        <v>10.023908867978006</v>
      </c>
      <c r="AI44" s="40">
        <f t="shared" si="39"/>
        <v>8.3997958147735261</v>
      </c>
      <c r="AJ44" s="40">
        <f t="shared" si="39"/>
        <v>9.8002766220388331</v>
      </c>
      <c r="AK44" s="40">
        <f t="shared" si="39"/>
        <v>9.3218833387954287</v>
      </c>
      <c r="AL44" s="40">
        <f t="shared" si="39"/>
        <v>9.5765344021843202</v>
      </c>
      <c r="AM44" s="40">
        <f t="shared" si="39"/>
        <v>9.5765344021843202</v>
      </c>
      <c r="AN44" s="40">
        <f t="shared" si="39"/>
        <v>8.1670265333926313</v>
      </c>
      <c r="AO44" s="40">
        <f t="shared" si="39"/>
        <v>7.3234283383060879</v>
      </c>
      <c r="AP44" s="40">
        <f t="shared" si="39"/>
        <v>7.3130977494466354</v>
      </c>
      <c r="AQ44" s="40">
        <f t="shared" si="39"/>
        <v>6.9668800105258786</v>
      </c>
      <c r="AR44" s="40">
        <f t="shared" si="39"/>
        <v>6.2810251173414819</v>
      </c>
      <c r="AS44" s="40">
        <f t="shared" si="39"/>
        <v>5.2597367761636331</v>
      </c>
      <c r="AT44" s="40">
        <f t="shared" si="39"/>
        <v>8.805145469537516</v>
      </c>
      <c r="AU44" s="40">
        <f t="shared" si="39"/>
        <v>8.805145469537516</v>
      </c>
      <c r="AV44" s="40">
        <f t="shared" si="39"/>
        <v>7.2584900486755739</v>
      </c>
      <c r="AW44" s="40">
        <f t="shared" si="39"/>
        <v>8.8007450196954835</v>
      </c>
    </row>
    <row r="45" spans="1:50" x14ac:dyDescent="0.25">
      <c r="U45" s="88"/>
      <c r="Z45" s="88"/>
      <c r="AA45" s="88"/>
      <c r="AD45" s="64"/>
      <c r="AE45" s="64"/>
    </row>
    <row r="46" spans="1:50" x14ac:dyDescent="0.25">
      <c r="C46" s="71"/>
      <c r="E46" s="71"/>
      <c r="F46" s="71"/>
      <c r="G46" s="71"/>
      <c r="H46" s="71"/>
      <c r="I46" s="71"/>
      <c r="K46" s="71"/>
      <c r="M46" s="71"/>
      <c r="N46" s="71"/>
      <c r="O46" s="71"/>
      <c r="P46" s="80"/>
      <c r="Q46" s="71"/>
      <c r="S46" s="71"/>
      <c r="U46" s="80"/>
      <c r="V46" s="71"/>
      <c r="W46" s="71"/>
      <c r="X46" s="71"/>
      <c r="Y46" s="71"/>
      <c r="Z46" s="88"/>
      <c r="AA46" s="80"/>
      <c r="AC46" s="71"/>
      <c r="AD46" s="64"/>
      <c r="AE46" s="71"/>
      <c r="AG46" s="25"/>
      <c r="AH46" s="25"/>
    </row>
    <row r="47" spans="1:50" x14ac:dyDescent="0.25">
      <c r="A47" s="104" t="s">
        <v>48</v>
      </c>
      <c r="B47" s="75">
        <f>+B42</f>
        <v>129.80000000000001</v>
      </c>
      <c r="D47" s="75">
        <f>+D42</f>
        <v>119.2</v>
      </c>
      <c r="F47" s="88">
        <v>107.4</v>
      </c>
      <c r="H47" s="75">
        <v>97.6</v>
      </c>
      <c r="J47" s="75">
        <f>+J42</f>
        <v>84.3</v>
      </c>
      <c r="L47" s="75">
        <f>+L42</f>
        <v>78.3</v>
      </c>
      <c r="N47" s="75">
        <f>+N42</f>
        <v>67.599999999999994</v>
      </c>
      <c r="P47" s="75">
        <v>100.2</v>
      </c>
      <c r="R47" s="75">
        <f>R42</f>
        <v>98.5</v>
      </c>
      <c r="T47" s="75">
        <v>97.7</v>
      </c>
      <c r="U47" s="88"/>
      <c r="V47" s="75">
        <v>87.4</v>
      </c>
      <c r="X47" s="75">
        <v>84.2</v>
      </c>
      <c r="Z47" s="75">
        <f>Z42</f>
        <v>90.9</v>
      </c>
      <c r="AA47" s="88"/>
      <c r="AB47" s="75">
        <f>AB42</f>
        <v>84.5</v>
      </c>
      <c r="AD47" s="75">
        <v>80.900000000000006</v>
      </c>
      <c r="AE47" s="64"/>
      <c r="AF47" s="37">
        <f>AF42</f>
        <v>82.25</v>
      </c>
      <c r="AH47" s="37">
        <f>AH42</f>
        <v>81.25</v>
      </c>
      <c r="AJ47" s="37">
        <f>AJ42</f>
        <v>71.75</v>
      </c>
      <c r="AL47" s="37">
        <f>AL42</f>
        <v>66.5</v>
      </c>
      <c r="AN47" s="37">
        <f>AN42</f>
        <v>64.75</v>
      </c>
      <c r="AP47" s="37">
        <f>AP42</f>
        <v>55.75</v>
      </c>
      <c r="AR47" s="37">
        <f>AR42</f>
        <v>46.7</v>
      </c>
      <c r="AT47" s="37">
        <f>AT42</f>
        <v>52.75</v>
      </c>
      <c r="AV47" s="37">
        <f>AV42</f>
        <v>50.5</v>
      </c>
    </row>
    <row r="48" spans="1:50" x14ac:dyDescent="0.25">
      <c r="A48" s="109" t="s">
        <v>50</v>
      </c>
      <c r="B48" s="82">
        <f>B35</f>
        <v>103.56707334160475</v>
      </c>
      <c r="C48" s="67"/>
      <c r="D48" s="82">
        <f>D35</f>
        <v>100.18472431100041</v>
      </c>
      <c r="E48" s="67"/>
      <c r="F48" s="190">
        <f>F35</f>
        <v>96.699411039907744</v>
      </c>
      <c r="G48" s="67"/>
      <c r="H48" s="176">
        <v>94.712860038902789</v>
      </c>
      <c r="I48" s="67"/>
      <c r="J48" s="82">
        <f>J35</f>
        <v>92.727057766761362</v>
      </c>
      <c r="K48" s="67"/>
      <c r="L48" s="82">
        <f>L35</f>
        <v>90.368958533015004</v>
      </c>
      <c r="M48" s="67"/>
      <c r="N48" s="176">
        <f>N35</f>
        <v>86.852918580981836</v>
      </c>
      <c r="O48" s="67"/>
      <c r="P48" s="176">
        <v>90.747681421500488</v>
      </c>
      <c r="Q48" s="67"/>
      <c r="R48" s="82">
        <f>R35</f>
        <v>89.364673876070242</v>
      </c>
      <c r="S48" s="67"/>
      <c r="T48" s="82">
        <f>T35</f>
        <v>87.042567072678892</v>
      </c>
      <c r="U48" s="97"/>
      <c r="V48" s="82">
        <f>V35</f>
        <v>83.857249598409979</v>
      </c>
      <c r="W48" s="67"/>
      <c r="X48" s="82">
        <f>X35</f>
        <v>83.870331611515411</v>
      </c>
      <c r="Y48" s="67"/>
      <c r="Z48" s="82">
        <f>Z35</f>
        <v>82.571741667200513</v>
      </c>
      <c r="AA48" s="97"/>
      <c r="AB48" s="82">
        <f>AB35</f>
        <v>80.212639907903039</v>
      </c>
      <c r="AC48" s="67"/>
      <c r="AD48" s="82">
        <f>AD35</f>
        <v>76.531356836314842</v>
      </c>
      <c r="AE48" s="67"/>
      <c r="AF48" s="38">
        <f>AF35</f>
        <v>78.809130211299092</v>
      </c>
      <c r="AG48" s="28"/>
      <c r="AH48" s="38">
        <f>AH35</f>
        <v>79.182926159019956</v>
      </c>
      <c r="AI48" s="28"/>
      <c r="AJ48" s="38">
        <f>AJ35</f>
        <v>75.398215212793033</v>
      </c>
      <c r="AK48" s="28"/>
      <c r="AL48" s="38">
        <f>AL35</f>
        <v>72.311054922242306</v>
      </c>
      <c r="AM48" s="28"/>
      <c r="AN48" s="38">
        <f>AN35</f>
        <v>73.346842112530837</v>
      </c>
      <c r="AO48" s="28"/>
      <c r="AP48" s="38">
        <f>AP35</f>
        <v>74.707290986863001</v>
      </c>
      <c r="AQ48" s="28"/>
      <c r="AR48" s="38">
        <f>AR35</f>
        <v>71.534051414464713</v>
      </c>
      <c r="AS48" s="28"/>
      <c r="AT48" s="38">
        <f>AT35</f>
        <v>68.377593174785062</v>
      </c>
      <c r="AU48" s="28"/>
      <c r="AV48" s="38">
        <f>AV35</f>
        <v>67.394673684038281</v>
      </c>
      <c r="AW48" s="28"/>
    </row>
    <row r="49" spans="1:50" s="3" customFormat="1" ht="15.75" thickBot="1" x14ac:dyDescent="0.3">
      <c r="A49" s="114" t="s">
        <v>51</v>
      </c>
      <c r="B49" s="81">
        <f>B47/B48</f>
        <v>1.2532940809466422</v>
      </c>
      <c r="C49" s="72"/>
      <c r="D49" s="81">
        <f>D47/D48</f>
        <v>1.1898021461831951</v>
      </c>
      <c r="E49" s="72"/>
      <c r="F49" s="191">
        <f>F47/F48</f>
        <v>1.1106582640475042</v>
      </c>
      <c r="G49" s="72"/>
      <c r="H49" s="81">
        <f>H47/H48</f>
        <v>1.0304830828665856</v>
      </c>
      <c r="I49" s="72"/>
      <c r="J49" s="81">
        <f>J47/J48</f>
        <v>0.90911975458168692</v>
      </c>
      <c r="K49" s="72"/>
      <c r="L49" s="81">
        <f>L47/L48</f>
        <v>0.86644796256442658</v>
      </c>
      <c r="M49" s="72"/>
      <c r="N49" s="177">
        <f>N47/N48</f>
        <v>0.7783273274457625</v>
      </c>
      <c r="O49" s="72"/>
      <c r="P49" s="177">
        <v>1.1041604416822048</v>
      </c>
      <c r="Q49" s="72"/>
      <c r="R49" s="81">
        <f>R47/R48</f>
        <v>1.1022252499527778</v>
      </c>
      <c r="S49" s="72"/>
      <c r="T49" s="81">
        <f>T47/T48</f>
        <v>1.1224393223423932</v>
      </c>
      <c r="U49" s="99"/>
      <c r="V49" s="81">
        <f>V47/V48</f>
        <v>1.0422473956462459</v>
      </c>
      <c r="W49" s="72"/>
      <c r="X49" s="81">
        <f>X47/X48</f>
        <v>1.0039306913678558</v>
      </c>
      <c r="Y49" s="72"/>
      <c r="Z49" s="81">
        <f>Z47/Z48</f>
        <v>1.1008608776397855</v>
      </c>
      <c r="AA49" s="99"/>
      <c r="AB49" s="81">
        <f>AB47/AB48</f>
        <v>1.0534499312953611</v>
      </c>
      <c r="AC49" s="72"/>
      <c r="AD49" s="81">
        <f>AD47/AD48</f>
        <v>1.0570830486257916</v>
      </c>
      <c r="AE49" s="72"/>
      <c r="AF49" s="40">
        <f>AF47/AF48</f>
        <v>1.0436608014766235</v>
      </c>
      <c r="AG49" s="39"/>
      <c r="AH49" s="40">
        <f>AH47/AH48</f>
        <v>1.0261050448783469</v>
      </c>
      <c r="AI49" s="39"/>
      <c r="AJ49" s="40">
        <f>AJ47/AJ48</f>
        <v>0.95161403751406004</v>
      </c>
      <c r="AK49" s="39"/>
      <c r="AL49" s="40">
        <f>AL47/AL48</f>
        <v>0.91963808399018565</v>
      </c>
      <c r="AM49" s="39"/>
      <c r="AN49" s="40">
        <f>AN47/AN48</f>
        <v>0.88279192580177734</v>
      </c>
      <c r="AO49" s="39"/>
      <c r="AP49" s="40">
        <f>AP47/AP48</f>
        <v>0.7462457715111559</v>
      </c>
      <c r="AQ49" s="39"/>
      <c r="AR49" s="40">
        <f>AR47/AR48</f>
        <v>0.65283594423336289</v>
      </c>
      <c r="AS49" s="39"/>
      <c r="AT49" s="40">
        <f>AT47/AT48</f>
        <v>0.77145154649070191</v>
      </c>
      <c r="AU49" s="39"/>
      <c r="AV49" s="40">
        <f>AV47/AV48</f>
        <v>0.74931737538719467</v>
      </c>
      <c r="AW49" s="31"/>
    </row>
    <row r="50" spans="1:50" x14ac:dyDescent="0.25">
      <c r="U50" s="88"/>
      <c r="Z50" s="88"/>
      <c r="AA50" s="88"/>
      <c r="AD50" s="64"/>
      <c r="AE50" s="64"/>
    </row>
    <row r="51" spans="1:50" x14ac:dyDescent="0.25">
      <c r="B51" s="71"/>
      <c r="D51" s="71"/>
      <c r="J51" s="71"/>
      <c r="L51" s="71"/>
      <c r="R51" s="71"/>
      <c r="T51" s="71"/>
      <c r="U51" s="88"/>
      <c r="X51" s="71"/>
      <c r="Z51" s="80"/>
      <c r="AA51" s="88"/>
      <c r="AB51" s="71"/>
      <c r="AD51" s="71"/>
      <c r="AE51" s="64"/>
      <c r="AF51" s="25"/>
      <c r="AH51" s="25"/>
    </row>
    <row r="52" spans="1:50" x14ac:dyDescent="0.25">
      <c r="A52" s="104" t="s">
        <v>53</v>
      </c>
      <c r="B52" s="76">
        <v>2228.2802630000001</v>
      </c>
      <c r="C52" s="76">
        <v>697.7204119999999</v>
      </c>
      <c r="D52" s="76">
        <v>1530.559851</v>
      </c>
      <c r="E52" s="76">
        <v>734.80103800000006</v>
      </c>
      <c r="F52" s="76">
        <v>806.43896300000006</v>
      </c>
      <c r="G52" s="76">
        <v>806.43896300000006</v>
      </c>
      <c r="H52" s="76">
        <v>2952.3644990000003</v>
      </c>
      <c r="I52" s="76">
        <v>845.1568850000001</v>
      </c>
      <c r="J52" s="76">
        <v>2107.2076139999999</v>
      </c>
      <c r="K52" s="76">
        <v>684.73588999999993</v>
      </c>
      <c r="L52" s="76">
        <v>1422.471724</v>
      </c>
      <c r="M52" s="76">
        <v>706.370991</v>
      </c>
      <c r="N52" s="76">
        <v>716.10073299999999</v>
      </c>
      <c r="O52" s="76">
        <v>716.10073299999999</v>
      </c>
      <c r="P52" s="76">
        <v>2797.258785</v>
      </c>
      <c r="Q52" s="76">
        <v>720.15128600000003</v>
      </c>
      <c r="R52" s="76">
        <v>2077.1074979999999</v>
      </c>
      <c r="S52" s="76">
        <v>672.834293</v>
      </c>
      <c r="T52" s="76">
        <v>1404.273205</v>
      </c>
      <c r="U52" s="76">
        <v>700.58071500000005</v>
      </c>
      <c r="V52" s="76">
        <v>703.69249000000002</v>
      </c>
      <c r="W52" s="76">
        <v>703.69249000000002</v>
      </c>
      <c r="X52" s="76">
        <v>2623.6103659999999</v>
      </c>
      <c r="Y52" s="76">
        <v>701.31806899999992</v>
      </c>
      <c r="Z52" s="76">
        <v>1922.2922959999999</v>
      </c>
      <c r="AA52" s="76">
        <v>616.12509399999999</v>
      </c>
      <c r="AB52" s="76">
        <v>1306.4319580000001</v>
      </c>
      <c r="AC52" s="76">
        <v>661.49480500000004</v>
      </c>
      <c r="AD52" s="76">
        <v>644.93715199999997</v>
      </c>
      <c r="AE52" s="76">
        <v>644.93715199999997</v>
      </c>
      <c r="AF52" s="19">
        <v>2368.5877519999999</v>
      </c>
      <c r="AG52" s="19">
        <v>617.58055300000001</v>
      </c>
      <c r="AH52" s="19">
        <v>1751.0071990000001</v>
      </c>
      <c r="AI52" s="19">
        <v>582.04224199999999</v>
      </c>
      <c r="AJ52" s="19">
        <v>1168.9649570000001</v>
      </c>
      <c r="AK52" s="19">
        <v>597.78408300000001</v>
      </c>
      <c r="AL52" s="19">
        <v>571.18087400000002</v>
      </c>
      <c r="AM52" s="19">
        <v>571.18087400000002</v>
      </c>
      <c r="AN52" s="19">
        <v>2002.9072039999999</v>
      </c>
      <c r="AO52" s="19">
        <v>482.28972299999998</v>
      </c>
      <c r="AP52" s="19">
        <v>1520.617483</v>
      </c>
      <c r="AQ52" s="19">
        <v>504.19142500000004</v>
      </c>
      <c r="AR52" s="19">
        <v>1016.426059</v>
      </c>
      <c r="AS52" s="19">
        <v>527.52153899999996</v>
      </c>
      <c r="AT52" s="19">
        <v>488.90452000000005</v>
      </c>
      <c r="AU52" s="19">
        <v>488.90452000000005</v>
      </c>
      <c r="AV52" s="19">
        <v>1930.957969</v>
      </c>
      <c r="AW52" s="19">
        <v>515.04630799999995</v>
      </c>
    </row>
    <row r="53" spans="1:50" x14ac:dyDescent="0.25">
      <c r="A53" s="109" t="s">
        <v>54</v>
      </c>
      <c r="B53" s="21">
        <v>5042.0853750000006</v>
      </c>
      <c r="C53" s="21">
        <v>1578.2147789999999</v>
      </c>
      <c r="D53" s="21">
        <v>3463.8705960000002</v>
      </c>
      <c r="E53" s="21">
        <v>1715.7975269999999</v>
      </c>
      <c r="F53" s="21">
        <v>1766.1193129999999</v>
      </c>
      <c r="G53" s="21">
        <v>1766.1193129999999</v>
      </c>
      <c r="H53" s="21">
        <v>6281.3918190000004</v>
      </c>
      <c r="I53" s="21">
        <v>1641.8665150000002</v>
      </c>
      <c r="J53" s="21">
        <v>4639.5253049999992</v>
      </c>
      <c r="K53" s="21">
        <v>1537.5390560000001</v>
      </c>
      <c r="L53" s="21">
        <v>3101.9862499999999</v>
      </c>
      <c r="M53" s="21">
        <v>1721.2793439999998</v>
      </c>
      <c r="N53" s="21">
        <v>1380.7069059999999</v>
      </c>
      <c r="O53" s="21">
        <v>1380.7069059999999</v>
      </c>
      <c r="P53" s="21">
        <v>6177.6133090000003</v>
      </c>
      <c r="Q53" s="21">
        <v>1292.255619</v>
      </c>
      <c r="R53" s="21">
        <v>4886.4244600000002</v>
      </c>
      <c r="S53" s="21">
        <v>1352.9258070000001</v>
      </c>
      <c r="T53" s="21">
        <v>3533.4986519999998</v>
      </c>
      <c r="U53" s="21">
        <v>1607.1431499999999</v>
      </c>
      <c r="V53" s="21">
        <v>1926.355503</v>
      </c>
      <c r="W53" s="21">
        <v>1926.355503</v>
      </c>
      <c r="X53" s="21">
        <v>5336.5588399999997</v>
      </c>
      <c r="Y53" s="21">
        <v>1281.6760009999998</v>
      </c>
      <c r="Z53" s="21">
        <v>4054.8828380000004</v>
      </c>
      <c r="AA53" s="21">
        <v>1277.288407</v>
      </c>
      <c r="AB53" s="21">
        <v>2778</v>
      </c>
      <c r="AC53" s="21">
        <v>1488</v>
      </c>
      <c r="AD53" s="21">
        <v>1289.506331</v>
      </c>
      <c r="AE53" s="21">
        <v>1289.506331</v>
      </c>
      <c r="AF53" s="18">
        <v>4989.1087959999995</v>
      </c>
      <c r="AG53" s="18">
        <v>1373.9951959999999</v>
      </c>
      <c r="AH53" s="18">
        <v>3615.1135992300001</v>
      </c>
      <c r="AI53" s="18">
        <v>1287.1926378899998</v>
      </c>
      <c r="AJ53" s="18">
        <v>2327.9209613399998</v>
      </c>
      <c r="AK53" s="18">
        <v>1201.657406</v>
      </c>
      <c r="AL53" s="18">
        <v>1126.26355734</v>
      </c>
      <c r="AM53" s="18">
        <v>1126.26355734</v>
      </c>
      <c r="AN53" s="18">
        <v>4547.2791503199996</v>
      </c>
      <c r="AO53" s="18">
        <v>1145.80299199</v>
      </c>
      <c r="AP53" s="18">
        <v>3401.47615933</v>
      </c>
      <c r="AQ53" s="18">
        <v>1145.35657167</v>
      </c>
      <c r="AR53" s="18">
        <v>2256.1195886599999</v>
      </c>
      <c r="AS53" s="18">
        <v>1202.59558556</v>
      </c>
      <c r="AT53" s="18">
        <v>1053.5240030999998</v>
      </c>
      <c r="AU53" s="18">
        <v>1053.5240030999998</v>
      </c>
      <c r="AV53" s="18">
        <v>3923.6984788999998</v>
      </c>
      <c r="AW53" s="18">
        <v>970.61289667000005</v>
      </c>
    </row>
    <row r="54" spans="1:50" s="3" customFormat="1" ht="15.75" thickBot="1" x14ac:dyDescent="0.3">
      <c r="A54" s="110" t="s">
        <v>55</v>
      </c>
      <c r="B54" s="83">
        <f t="shared" ref="B54:C54" si="40">B52/B53</f>
        <v>0.44193624210498417</v>
      </c>
      <c r="C54" s="83">
        <f t="shared" si="40"/>
        <v>0.44209471441022408</v>
      </c>
      <c r="D54" s="83">
        <f t="shared" ref="D54:I54" si="41">D52/D53</f>
        <v>0.44186403867611451</v>
      </c>
      <c r="E54" s="83">
        <f t="shared" si="41"/>
        <v>0.42825626359583863</v>
      </c>
      <c r="F54" s="83">
        <f t="shared" si="41"/>
        <v>0.45661635488836316</v>
      </c>
      <c r="G54" s="83">
        <f t="shared" si="41"/>
        <v>0.45661635488836316</v>
      </c>
      <c r="H54" s="83">
        <f t="shared" si="41"/>
        <v>0.47001756681849816</v>
      </c>
      <c r="I54" s="83">
        <f t="shared" si="41"/>
        <v>0.514753713093418</v>
      </c>
      <c r="J54" s="83">
        <f t="shared" ref="J54:K54" si="42">J52/J53</f>
        <v>0.45418603746574465</v>
      </c>
      <c r="K54" s="83">
        <f t="shared" si="42"/>
        <v>0.44534536363673344</v>
      </c>
      <c r="L54" s="83">
        <f t="shared" ref="L54:N54" si="43">L52/L53</f>
        <v>0.4585680300807265</v>
      </c>
      <c r="M54" s="83">
        <f t="shared" si="43"/>
        <v>0.41037556946363962</v>
      </c>
      <c r="N54" s="83">
        <f t="shared" si="43"/>
        <v>0.51864789687667434</v>
      </c>
      <c r="O54" s="83">
        <v>0.51864789687667434</v>
      </c>
      <c r="P54" s="83">
        <v>0.45280574310547217</v>
      </c>
      <c r="Q54" s="83">
        <v>0.5572823792844348</v>
      </c>
      <c r="R54" s="83">
        <f t="shared" ref="R54:AE54" si="44">R52/R53</f>
        <v>0.42507717350448915</v>
      </c>
      <c r="S54" s="83">
        <f t="shared" si="44"/>
        <v>0.49731795307530857</v>
      </c>
      <c r="T54" s="83">
        <f t="shared" si="44"/>
        <v>0.39741721825906617</v>
      </c>
      <c r="U54" s="83">
        <f t="shared" si="44"/>
        <v>0.43591680989960357</v>
      </c>
      <c r="V54" s="83">
        <f t="shared" si="44"/>
        <v>0.36529731345232386</v>
      </c>
      <c r="W54" s="83">
        <f t="shared" si="44"/>
        <v>0.36529731345232386</v>
      </c>
      <c r="X54" s="83">
        <f t="shared" si="44"/>
        <v>0.49162961463758548</v>
      </c>
      <c r="Y54" s="83">
        <f t="shared" si="44"/>
        <v>0.54718826634251694</v>
      </c>
      <c r="Z54" s="83">
        <f t="shared" si="44"/>
        <v>0.47406851758709179</v>
      </c>
      <c r="AA54" s="83">
        <f t="shared" si="44"/>
        <v>0.48236959689245812</v>
      </c>
      <c r="AB54" s="83">
        <f t="shared" si="44"/>
        <v>0.47027788264938808</v>
      </c>
      <c r="AC54" s="83">
        <f t="shared" si="44"/>
        <v>0.4445529603494624</v>
      </c>
      <c r="AD54" s="83">
        <f t="shared" si="44"/>
        <v>0.50014267979580784</v>
      </c>
      <c r="AE54" s="83">
        <f t="shared" si="44"/>
        <v>0.50014267979580784</v>
      </c>
      <c r="AF54" s="43">
        <f t="shared" ref="AF54:AW54" si="45">AF52/AF53</f>
        <v>0.47475167386588296</v>
      </c>
      <c r="AG54" s="43">
        <f t="shared" si="45"/>
        <v>0.44947795654447109</v>
      </c>
      <c r="AH54" s="43">
        <f t="shared" si="45"/>
        <v>0.48435744851087259</v>
      </c>
      <c r="AI54" s="43">
        <f t="shared" si="45"/>
        <v>0.45217959213478648</v>
      </c>
      <c r="AJ54" s="43">
        <f t="shared" si="45"/>
        <v>0.50214976213243923</v>
      </c>
      <c r="AK54" s="43">
        <f t="shared" si="45"/>
        <v>0.49746631611905529</v>
      </c>
      <c r="AL54" s="43">
        <f t="shared" si="45"/>
        <v>0.50714672447451847</v>
      </c>
      <c r="AM54" s="43">
        <f t="shared" si="45"/>
        <v>0.50714672447451847</v>
      </c>
      <c r="AN54" s="43">
        <f t="shared" si="45"/>
        <v>0.44046277736414136</v>
      </c>
      <c r="AO54" s="43">
        <f t="shared" si="45"/>
        <v>0.4209185404223566</v>
      </c>
      <c r="AP54" s="43">
        <f t="shared" si="45"/>
        <v>0.44704634451988073</v>
      </c>
      <c r="AQ54" s="43">
        <f t="shared" si="45"/>
        <v>0.44020476895230809</v>
      </c>
      <c r="AR54" s="43">
        <f t="shared" si="45"/>
        <v>0.45051958420506261</v>
      </c>
      <c r="AS54" s="43">
        <f t="shared" si="45"/>
        <v>0.43865248245889293</v>
      </c>
      <c r="AT54" s="43">
        <f t="shared" si="45"/>
        <v>0.46406585759925351</v>
      </c>
      <c r="AU54" s="43">
        <f t="shared" si="45"/>
        <v>0.46406585759925351</v>
      </c>
      <c r="AV54" s="43">
        <f t="shared" si="45"/>
        <v>0.49212700195590459</v>
      </c>
      <c r="AW54" s="43">
        <f t="shared" si="45"/>
        <v>0.53064028900402216</v>
      </c>
    </row>
    <row r="55" spans="1:50" x14ac:dyDescent="0.25">
      <c r="U55" s="88"/>
      <c r="Z55" s="88"/>
      <c r="AA55" s="88"/>
      <c r="AD55" s="64"/>
      <c r="AE55" s="64"/>
    </row>
    <row r="56" spans="1:50" x14ac:dyDescent="0.25">
      <c r="U56" s="88"/>
      <c r="Z56" s="88"/>
      <c r="AA56" s="88"/>
      <c r="AD56" s="64"/>
      <c r="AE56" s="64"/>
    </row>
    <row r="57" spans="1:50" x14ac:dyDescent="0.25">
      <c r="A57" s="104" t="s">
        <v>57</v>
      </c>
      <c r="B57" s="76">
        <v>109691.31679</v>
      </c>
      <c r="C57" s="66"/>
      <c r="D57" s="76">
        <v>110133.112289</v>
      </c>
      <c r="E57" s="66"/>
      <c r="F57" s="76">
        <v>102390.106266</v>
      </c>
      <c r="G57" s="66"/>
      <c r="H57" s="76">
        <v>97528.676624999993</v>
      </c>
      <c r="I57" s="66"/>
      <c r="J57" s="76">
        <v>95390.930225999997</v>
      </c>
      <c r="K57" s="66"/>
      <c r="L57" s="76">
        <v>94288.926968999993</v>
      </c>
      <c r="M57" s="66"/>
      <c r="N57" s="76">
        <v>88152.276947999999</v>
      </c>
      <c r="O57" s="66"/>
      <c r="P57" s="76">
        <v>85917.240877999997</v>
      </c>
      <c r="Q57" s="66"/>
      <c r="R57" s="76">
        <v>83640.578953999997</v>
      </c>
      <c r="S57" s="66"/>
      <c r="T57" s="76">
        <v>86552.932446999999</v>
      </c>
      <c r="U57" s="76"/>
      <c r="V57" s="76">
        <v>81111.200612999994</v>
      </c>
      <c r="W57" s="66"/>
      <c r="X57" s="76">
        <v>80615.336571000007</v>
      </c>
      <c r="Y57" s="66"/>
      <c r="Z57" s="76">
        <v>77529.465574000002</v>
      </c>
      <c r="AA57" s="76"/>
      <c r="AB57" s="76">
        <v>80342.802729000003</v>
      </c>
      <c r="AC57" s="66"/>
      <c r="AD57" s="76">
        <v>75937.394352000003</v>
      </c>
      <c r="AE57" s="66"/>
      <c r="AF57" s="19">
        <v>76475.738796999998</v>
      </c>
      <c r="AG57" s="19"/>
      <c r="AH57" s="19">
        <v>73085.602178999994</v>
      </c>
      <c r="AI57" s="19"/>
      <c r="AJ57" s="19">
        <v>75558.622663999995</v>
      </c>
      <c r="AK57" s="19"/>
      <c r="AL57" s="19">
        <v>70175.667711000002</v>
      </c>
      <c r="AM57" s="19"/>
      <c r="AN57" s="19">
        <v>67167.748563000001</v>
      </c>
      <c r="AO57" s="19"/>
      <c r="AP57" s="19">
        <v>66289.870962000001</v>
      </c>
      <c r="AQ57" s="19"/>
      <c r="AR57" s="19">
        <v>67030.936042000001</v>
      </c>
      <c r="AS57" s="19"/>
      <c r="AT57" s="19">
        <v>63850.715055000001</v>
      </c>
      <c r="AU57" s="19"/>
      <c r="AV57" s="19">
        <v>64089.773975999997</v>
      </c>
      <c r="AW57" s="19"/>
    </row>
    <row r="58" spans="1:50" x14ac:dyDescent="0.25">
      <c r="A58" s="109" t="s">
        <v>58</v>
      </c>
      <c r="B58" s="21">
        <v>191975.66068308055</v>
      </c>
      <c r="C58" s="63"/>
      <c r="D58" s="21">
        <v>189015.33059410029</v>
      </c>
      <c r="E58" s="63"/>
      <c r="F58" s="21">
        <v>185341.97921875055</v>
      </c>
      <c r="G58" s="63"/>
      <c r="H58" s="21">
        <v>182801.32446267045</v>
      </c>
      <c r="I58" s="63"/>
      <c r="J58" s="21">
        <v>179422.8107928402</v>
      </c>
      <c r="K58" s="63"/>
      <c r="L58" s="21">
        <v>175099.6848236009</v>
      </c>
      <c r="M58" s="63"/>
      <c r="N58" s="21">
        <v>170770.78701719031</v>
      </c>
      <c r="O58" s="63"/>
      <c r="P58" s="21">
        <v>167776.74037356983</v>
      </c>
      <c r="Q58" s="63"/>
      <c r="R58" s="21">
        <v>165380.47727842</v>
      </c>
      <c r="S58" s="63"/>
      <c r="T58" s="21">
        <v>163626.93902489002</v>
      </c>
      <c r="U58" s="21"/>
      <c r="V58" s="21">
        <v>161091.32188722002</v>
      </c>
      <c r="W58" s="63"/>
      <c r="X58" s="21">
        <v>160317.11283589993</v>
      </c>
      <c r="Y58" s="63"/>
      <c r="Z58" s="21">
        <v>157825.30723024005</v>
      </c>
      <c r="AA58" s="21"/>
      <c r="AB58" s="21">
        <v>154790.05446788989</v>
      </c>
      <c r="AC58" s="63"/>
      <c r="AD58" s="21">
        <v>151064.87579384015</v>
      </c>
      <c r="AE58" s="63"/>
      <c r="AF58" s="18">
        <v>148784.29991046002</v>
      </c>
      <c r="AG58" s="18"/>
      <c r="AH58" s="18">
        <v>147145.81336949015</v>
      </c>
      <c r="AI58" s="18"/>
      <c r="AJ58" s="18">
        <v>143799.61452905973</v>
      </c>
      <c r="AK58" s="18"/>
      <c r="AL58" s="18">
        <v>140038.1473377911</v>
      </c>
      <c r="AM58" s="18"/>
      <c r="AN58" s="18">
        <v>137535.19033280999</v>
      </c>
      <c r="AO58" s="18"/>
      <c r="AP58" s="18">
        <v>134461.78900444019</v>
      </c>
      <c r="AQ58" s="18"/>
      <c r="AR58" s="18">
        <v>132582.83922558016</v>
      </c>
      <c r="AS58" s="18"/>
      <c r="AT58" s="18">
        <v>129520.43765942003</v>
      </c>
      <c r="AU58" s="18"/>
      <c r="AV58" s="18">
        <v>127378.18928701995</v>
      </c>
      <c r="AW58" s="18"/>
    </row>
    <row r="59" spans="1:50" ht="15.75" thickBot="1" x14ac:dyDescent="0.3">
      <c r="A59" s="115" t="s">
        <v>1</v>
      </c>
      <c r="B59" s="83">
        <f>B57/B58</f>
        <v>0.57138137407471601</v>
      </c>
      <c r="C59" s="73"/>
      <c r="D59" s="83">
        <f>D57/D58</f>
        <v>0.5826676171865901</v>
      </c>
      <c r="E59" s="73"/>
      <c r="F59" s="83">
        <f>F57/F58</f>
        <v>0.55243883062861709</v>
      </c>
      <c r="G59" s="73"/>
      <c r="H59" s="83">
        <f>H57/H58</f>
        <v>0.5335228117831069</v>
      </c>
      <c r="I59" s="73"/>
      <c r="J59" s="83">
        <f>J57/J58</f>
        <v>0.53165441899211696</v>
      </c>
      <c r="K59" s="73"/>
      <c r="L59" s="83">
        <f>L57/L58</f>
        <v>0.5384871312817533</v>
      </c>
      <c r="M59" s="73"/>
      <c r="N59" s="83">
        <f>N57/N58</f>
        <v>0.51620232293668777</v>
      </c>
      <c r="O59" s="73"/>
      <c r="P59" s="83">
        <v>0.51209268154034715</v>
      </c>
      <c r="Q59" s="73"/>
      <c r="R59" s="83">
        <f>R57/R58</f>
        <v>0.50574638754482537</v>
      </c>
      <c r="S59" s="73"/>
      <c r="T59" s="83">
        <f>T57/T58</f>
        <v>0.52896505283787076</v>
      </c>
      <c r="U59" s="83"/>
      <c r="V59" s="83">
        <f>V57/V58</f>
        <v>0.50351067743913558</v>
      </c>
      <c r="W59" s="83"/>
      <c r="X59" s="83">
        <f>X57/X58</f>
        <v>0.50284922891243433</v>
      </c>
      <c r="Y59" s="83"/>
      <c r="Z59" s="83">
        <f>Z57/Z58</f>
        <v>0.49123595533951858</v>
      </c>
      <c r="AA59" s="83"/>
      <c r="AB59" s="83">
        <f>AB57/AB58</f>
        <v>0.51904370087075946</v>
      </c>
      <c r="AC59" s="83"/>
      <c r="AD59" s="83">
        <f>AD57/AD58</f>
        <v>0.50268067909864489</v>
      </c>
      <c r="AE59" s="43"/>
      <c r="AF59" s="43">
        <f>AF57/AF58</f>
        <v>0.51400409077452336</v>
      </c>
      <c r="AG59" s="43"/>
      <c r="AH59" s="43">
        <f>AH57/AH58</f>
        <v>0.49668828834075329</v>
      </c>
      <c r="AI59" s="43"/>
      <c r="AJ59" s="43">
        <f>AJ57/AJ58</f>
        <v>0.52544384706073555</v>
      </c>
      <c r="AK59" s="43"/>
      <c r="AL59" s="43">
        <f>AL57/AL58</f>
        <v>0.50111822417735019</v>
      </c>
      <c r="AM59" s="43"/>
      <c r="AN59" s="43">
        <f>AN57/AN58</f>
        <v>0.48836772901877945</v>
      </c>
      <c r="AO59" s="43"/>
      <c r="AP59" s="43">
        <f>AP57/AP58</f>
        <v>0.49300155421709418</v>
      </c>
      <c r="AQ59" s="43"/>
      <c r="AR59" s="43">
        <f>AR57/AR58</f>
        <v>0.50557776883893468</v>
      </c>
      <c r="AS59" s="43"/>
      <c r="AT59" s="43">
        <f>AT57/AT58</f>
        <v>0.49297791305259797</v>
      </c>
      <c r="AU59" s="43"/>
      <c r="AV59" s="43">
        <f>AV57/AV58</f>
        <v>0.50314558822615363</v>
      </c>
      <c r="AW59" s="43"/>
    </row>
    <row r="60" spans="1:50" x14ac:dyDescent="0.25">
      <c r="U60" s="88"/>
      <c r="V60" s="88"/>
      <c r="Z60" s="88"/>
      <c r="AA60" s="88"/>
      <c r="AD60" s="64"/>
      <c r="AE60" s="64"/>
    </row>
    <row r="61" spans="1:50" x14ac:dyDescent="0.25">
      <c r="U61" s="88"/>
      <c r="V61" s="88"/>
      <c r="Z61" s="88"/>
      <c r="AA61" s="88"/>
      <c r="AD61" s="64"/>
      <c r="AE61" s="64"/>
    </row>
    <row r="62" spans="1:50" x14ac:dyDescent="0.25">
      <c r="A62" s="116" t="s">
        <v>164</v>
      </c>
      <c r="B62" s="84">
        <f>+B57</f>
        <v>109691.31679</v>
      </c>
      <c r="C62" s="84">
        <f>B62</f>
        <v>109691.31679</v>
      </c>
      <c r="D62" s="84">
        <f>+D57</f>
        <v>110133.112289</v>
      </c>
      <c r="E62" s="84">
        <f>D62</f>
        <v>110133.112289</v>
      </c>
      <c r="F62" s="84">
        <v>102390.106266</v>
      </c>
      <c r="G62" s="84">
        <v>102390.106266</v>
      </c>
      <c r="H62" s="84">
        <f>+H57</f>
        <v>97528.676624999993</v>
      </c>
      <c r="I62" s="84">
        <v>97528.676624999993</v>
      </c>
      <c r="J62" s="84">
        <f>+J57</f>
        <v>95390.930225999997</v>
      </c>
      <c r="K62" s="84">
        <f>J62</f>
        <v>95390.930225999997</v>
      </c>
      <c r="L62" s="84">
        <f>+L57</f>
        <v>94288.926968999993</v>
      </c>
      <c r="M62" s="84">
        <f>L62</f>
        <v>94288.926968999993</v>
      </c>
      <c r="N62" s="84">
        <v>88152.276947999999</v>
      </c>
      <c r="O62" s="84">
        <f>N62</f>
        <v>88152.276947999999</v>
      </c>
      <c r="P62" s="76">
        <v>85917.240877999997</v>
      </c>
      <c r="Q62" s="84">
        <f>P62</f>
        <v>85917.240877999997</v>
      </c>
      <c r="R62" s="84">
        <f>+R57</f>
        <v>83640.578953999997</v>
      </c>
      <c r="S62" s="84">
        <f>R62</f>
        <v>83640.578953999997</v>
      </c>
      <c r="T62" s="84">
        <f>+T57</f>
        <v>86552.932446999999</v>
      </c>
      <c r="U62" s="84">
        <f>T62</f>
        <v>86552.932446999999</v>
      </c>
      <c r="V62" s="84">
        <f>+V57</f>
        <v>81111.200612999994</v>
      </c>
      <c r="W62" s="84">
        <f>V62</f>
        <v>81111.200612999994</v>
      </c>
      <c r="X62" s="84">
        <f>+X57</f>
        <v>80615.336571000007</v>
      </c>
      <c r="Y62" s="84">
        <f>X62</f>
        <v>80615.336571000007</v>
      </c>
      <c r="Z62" s="95">
        <f>+Z57</f>
        <v>77529.465574000002</v>
      </c>
      <c r="AA62" s="84">
        <f>Z62</f>
        <v>77529.465574000002</v>
      </c>
      <c r="AB62" s="95">
        <f>+AB57</f>
        <v>80342.802729000003</v>
      </c>
      <c r="AC62" s="84">
        <f>AB62</f>
        <v>80342.802729000003</v>
      </c>
      <c r="AD62" s="95">
        <f>+AD57</f>
        <v>75937.394352000003</v>
      </c>
      <c r="AE62" s="84">
        <f>AD62</f>
        <v>75937.394352000003</v>
      </c>
      <c r="AF62" s="95">
        <f>+AF57</f>
        <v>76475.738796999998</v>
      </c>
      <c r="AG62" s="84">
        <f>AF62</f>
        <v>76475.738796999998</v>
      </c>
      <c r="AH62" s="95">
        <f>+AH57</f>
        <v>73085.602178999994</v>
      </c>
      <c r="AI62" s="84">
        <f>AH62</f>
        <v>73085.602178999994</v>
      </c>
      <c r="AJ62" s="95">
        <f>+AJ57</f>
        <v>75558.622663999995</v>
      </c>
      <c r="AK62" s="84">
        <f>AJ62</f>
        <v>75558.622663999995</v>
      </c>
      <c r="AL62" s="95">
        <f>+AL57</f>
        <v>70175.667711000002</v>
      </c>
      <c r="AM62" s="84">
        <f>AL62</f>
        <v>70175.667711000002</v>
      </c>
      <c r="AN62" s="95">
        <f>+AN57</f>
        <v>67167.748563000001</v>
      </c>
      <c r="AO62" s="84">
        <f>AN62</f>
        <v>67167.748563000001</v>
      </c>
      <c r="AP62" s="95">
        <f>+AP57</f>
        <v>66289.870962000001</v>
      </c>
      <c r="AQ62" s="84">
        <f>AP62</f>
        <v>66289.870962000001</v>
      </c>
      <c r="AR62" s="95">
        <f>+AR57</f>
        <v>67030.936042000001</v>
      </c>
      <c r="AS62" s="84">
        <f>AR62</f>
        <v>67030.936042000001</v>
      </c>
      <c r="AT62" s="95">
        <f>+AT57</f>
        <v>63850.715055000001</v>
      </c>
      <c r="AU62" s="84">
        <f>AT62</f>
        <v>63850.715055000001</v>
      </c>
      <c r="AV62" s="95">
        <f>+AV57</f>
        <v>64089.773975999997</v>
      </c>
      <c r="AW62" s="84">
        <f>AV62</f>
        <v>64089.773975999997</v>
      </c>
      <c r="AX62" s="91"/>
    </row>
    <row r="63" spans="1:50" x14ac:dyDescent="0.25">
      <c r="A63" s="117" t="s">
        <v>250</v>
      </c>
      <c r="B63" s="78">
        <f>J62</f>
        <v>95390.930225999997</v>
      </c>
      <c r="C63" s="78">
        <f>D62</f>
        <v>110133.112289</v>
      </c>
      <c r="D63" s="78">
        <f>L62</f>
        <v>94288.926968999993</v>
      </c>
      <c r="E63" s="78">
        <f>F62</f>
        <v>102390.106266</v>
      </c>
      <c r="F63" s="78">
        <v>88152.276947999999</v>
      </c>
      <c r="G63" s="78">
        <v>97528.676624999993</v>
      </c>
      <c r="H63" s="78">
        <f>+P62</f>
        <v>85917.240877999997</v>
      </c>
      <c r="I63" s="78">
        <v>95390.930225999997</v>
      </c>
      <c r="J63" s="78">
        <f>R62</f>
        <v>83640.578953999997</v>
      </c>
      <c r="K63" s="78">
        <f>L62</f>
        <v>94288.926968999993</v>
      </c>
      <c r="L63" s="78">
        <f>T62</f>
        <v>86552.932446999999</v>
      </c>
      <c r="M63" s="78">
        <f>N62</f>
        <v>88152.276947999999</v>
      </c>
      <c r="N63" s="78">
        <v>81111.200612999994</v>
      </c>
      <c r="O63" s="78">
        <f>P62</f>
        <v>85917.240877999997</v>
      </c>
      <c r="P63" s="21">
        <v>80615.336571000007</v>
      </c>
      <c r="Q63" s="78">
        <f>R62</f>
        <v>83640.578953999997</v>
      </c>
      <c r="R63" s="78">
        <f>Z62</f>
        <v>77529.465574000002</v>
      </c>
      <c r="S63" s="78">
        <f>T62</f>
        <v>86552.932446999999</v>
      </c>
      <c r="T63" s="78">
        <f>AB62</f>
        <v>80342.802729000003</v>
      </c>
      <c r="U63" s="78">
        <f>V62</f>
        <v>81111.200612999994</v>
      </c>
      <c r="V63" s="78">
        <f>AD62</f>
        <v>75937.394352000003</v>
      </c>
      <c r="W63" s="78">
        <f>X62</f>
        <v>80615.336571000007</v>
      </c>
      <c r="X63" s="78">
        <f>AF62</f>
        <v>76475.738796999998</v>
      </c>
      <c r="Y63" s="78">
        <f>Z62</f>
        <v>77529.465574000002</v>
      </c>
      <c r="Z63" s="96">
        <f>AH62</f>
        <v>73085.602178999994</v>
      </c>
      <c r="AA63" s="78">
        <f>AB62</f>
        <v>80342.802729000003</v>
      </c>
      <c r="AB63" s="96">
        <f>AJ62</f>
        <v>75558.622663999995</v>
      </c>
      <c r="AC63" s="78">
        <f>AD62</f>
        <v>75937.394352000003</v>
      </c>
      <c r="AD63" s="96">
        <f>AL62</f>
        <v>70175.667711000002</v>
      </c>
      <c r="AE63" s="78">
        <f>AF62</f>
        <v>76475.738796999998</v>
      </c>
      <c r="AF63" s="96">
        <f>AN62</f>
        <v>67167.748563000001</v>
      </c>
      <c r="AG63" s="78">
        <f>AH62</f>
        <v>73085.602178999994</v>
      </c>
      <c r="AH63" s="96">
        <f>AP62</f>
        <v>66289.870962000001</v>
      </c>
      <c r="AI63" s="78">
        <f>AJ62</f>
        <v>75558.622663999995</v>
      </c>
      <c r="AJ63" s="96">
        <f>AR62</f>
        <v>67030.936042000001</v>
      </c>
      <c r="AK63" s="78">
        <f>AL62</f>
        <v>70175.667711000002</v>
      </c>
      <c r="AL63" s="96">
        <f>AT62</f>
        <v>63850.715055000001</v>
      </c>
      <c r="AM63" s="78">
        <f>AN62</f>
        <v>67167.748563000001</v>
      </c>
      <c r="AN63" s="96">
        <f>AV62</f>
        <v>64089.773975999997</v>
      </c>
      <c r="AO63" s="78">
        <f>AP62</f>
        <v>66289.870962000001</v>
      </c>
      <c r="AP63" s="96">
        <v>63620</v>
      </c>
      <c r="AQ63" s="78">
        <f>AR62</f>
        <v>67030.936042000001</v>
      </c>
      <c r="AR63" s="96">
        <v>66186</v>
      </c>
      <c r="AS63" s="78">
        <f>AT62</f>
        <v>63850.715055000001</v>
      </c>
      <c r="AT63" s="96">
        <v>60589</v>
      </c>
      <c r="AU63" s="78">
        <f>AV62</f>
        <v>64089.773975999997</v>
      </c>
      <c r="AV63" s="96">
        <v>60680</v>
      </c>
      <c r="AW63" s="78">
        <v>63620.17578482996</v>
      </c>
      <c r="AX63" s="91"/>
    </row>
    <row r="64" spans="1:50" x14ac:dyDescent="0.25">
      <c r="A64" s="116" t="s">
        <v>165</v>
      </c>
      <c r="B64" s="76">
        <f>B62-B63</f>
        <v>14300.386564</v>
      </c>
      <c r="C64" s="76">
        <f t="shared" ref="C64" si="46">C62-C63</f>
        <v>-441.79549899999984</v>
      </c>
      <c r="D64" s="76">
        <f t="shared" ref="D64:O64" si="47">D62-D63</f>
        <v>15844.185320000004</v>
      </c>
      <c r="E64" s="76">
        <f t="shared" si="47"/>
        <v>7743.0060229999945</v>
      </c>
      <c r="F64" s="76">
        <f t="shared" si="47"/>
        <v>14237.829318000004</v>
      </c>
      <c r="G64" s="76">
        <f t="shared" si="47"/>
        <v>4861.4296410000097</v>
      </c>
      <c r="H64" s="76">
        <f t="shared" si="47"/>
        <v>11611.435746999996</v>
      </c>
      <c r="I64" s="76">
        <v>2137.746398999996</v>
      </c>
      <c r="J64" s="76">
        <f t="shared" si="47"/>
        <v>11750.351272</v>
      </c>
      <c r="K64" s="76">
        <f t="shared" si="47"/>
        <v>1102.0032570000039</v>
      </c>
      <c r="L64" s="76">
        <f t="shared" si="47"/>
        <v>7735.9945219999936</v>
      </c>
      <c r="M64" s="76">
        <f t="shared" si="47"/>
        <v>6136.650020999994</v>
      </c>
      <c r="N64" s="76">
        <f t="shared" si="47"/>
        <v>7041.0763350000052</v>
      </c>
      <c r="O64" s="76">
        <f t="shared" si="47"/>
        <v>2235.0360700000019</v>
      </c>
      <c r="P64" s="76">
        <v>5301.9043069999898</v>
      </c>
      <c r="Q64" s="76">
        <f t="shared" ref="Q64:AW64" si="48">Q62-Q63</f>
        <v>2276.661924</v>
      </c>
      <c r="R64" s="76">
        <f t="shared" si="48"/>
        <v>6111.1133799999952</v>
      </c>
      <c r="S64" s="76">
        <f t="shared" si="48"/>
        <v>-2912.3534930000023</v>
      </c>
      <c r="T64" s="76">
        <f t="shared" si="48"/>
        <v>6210.1297179999965</v>
      </c>
      <c r="U64" s="76">
        <f t="shared" si="48"/>
        <v>5441.7318340000056</v>
      </c>
      <c r="V64" s="76">
        <f t="shared" si="48"/>
        <v>5173.8062609999906</v>
      </c>
      <c r="W64" s="76">
        <f t="shared" si="48"/>
        <v>495.86404199998651</v>
      </c>
      <c r="X64" s="76">
        <f t="shared" si="48"/>
        <v>4139.5977740000089</v>
      </c>
      <c r="Y64" s="76">
        <f t="shared" si="48"/>
        <v>3085.8709970000054</v>
      </c>
      <c r="Z64" s="95">
        <f t="shared" si="48"/>
        <v>4443.8633950000076</v>
      </c>
      <c r="AA64" s="76">
        <f t="shared" si="48"/>
        <v>-2813.3371550000011</v>
      </c>
      <c r="AB64" s="95">
        <f t="shared" si="48"/>
        <v>4784.1800650000077</v>
      </c>
      <c r="AC64" s="76">
        <f t="shared" si="48"/>
        <v>4405.4083769999997</v>
      </c>
      <c r="AD64" s="95">
        <f t="shared" si="48"/>
        <v>5761.7266410000011</v>
      </c>
      <c r="AE64" s="76">
        <f t="shared" si="48"/>
        <v>-538.34444499999518</v>
      </c>
      <c r="AF64" s="95">
        <f t="shared" si="48"/>
        <v>9307.9902339999971</v>
      </c>
      <c r="AG64" s="76">
        <f t="shared" si="48"/>
        <v>3390.1366180000041</v>
      </c>
      <c r="AH64" s="95">
        <f t="shared" si="48"/>
        <v>6795.7312169999932</v>
      </c>
      <c r="AI64" s="76">
        <f t="shared" si="48"/>
        <v>-2473.0204850000009</v>
      </c>
      <c r="AJ64" s="95">
        <f t="shared" si="48"/>
        <v>8527.6866219999938</v>
      </c>
      <c r="AK64" s="76">
        <f t="shared" si="48"/>
        <v>5382.9549529999931</v>
      </c>
      <c r="AL64" s="95">
        <f t="shared" si="48"/>
        <v>6324.9526560000013</v>
      </c>
      <c r="AM64" s="76">
        <f t="shared" si="48"/>
        <v>3007.9191480000009</v>
      </c>
      <c r="AN64" s="95">
        <f t="shared" si="48"/>
        <v>3077.9745870000042</v>
      </c>
      <c r="AO64" s="76">
        <f t="shared" si="48"/>
        <v>877.87760100000014</v>
      </c>
      <c r="AP64" s="95">
        <f t="shared" si="48"/>
        <v>2669.8709620000009</v>
      </c>
      <c r="AQ64" s="76">
        <f t="shared" si="48"/>
        <v>-741.06508000000031</v>
      </c>
      <c r="AR64" s="95">
        <f t="shared" si="48"/>
        <v>844.93604200000118</v>
      </c>
      <c r="AS64" s="76">
        <f t="shared" si="48"/>
        <v>3180.2209870000006</v>
      </c>
      <c r="AT64" s="95">
        <f t="shared" si="48"/>
        <v>3261.7150550000006</v>
      </c>
      <c r="AU64" s="76">
        <f t="shared" si="48"/>
        <v>-239.05892099999619</v>
      </c>
      <c r="AV64" s="95">
        <f t="shared" si="48"/>
        <v>3409.7739759999968</v>
      </c>
      <c r="AW64" s="76">
        <f t="shared" si="48"/>
        <v>469.59819117003644</v>
      </c>
      <c r="AX64" s="91"/>
    </row>
    <row r="65" spans="1:50" x14ac:dyDescent="0.25">
      <c r="A65" s="116"/>
      <c r="C65" s="88"/>
      <c r="E65" s="88"/>
      <c r="T65" s="88"/>
      <c r="V65" s="88"/>
      <c r="X65" s="88"/>
      <c r="Z65" s="91"/>
      <c r="AB65" s="91"/>
      <c r="AD65" s="91"/>
      <c r="AE65" s="64"/>
      <c r="AF65" s="91"/>
      <c r="AG65" s="64"/>
      <c r="AH65" s="91"/>
      <c r="AI65" s="64"/>
      <c r="AJ65" s="91"/>
      <c r="AK65" s="64"/>
      <c r="AL65" s="91"/>
      <c r="AM65" s="64"/>
      <c r="AN65" s="91"/>
      <c r="AO65" s="64"/>
      <c r="AP65" s="91"/>
      <c r="AQ65" s="64"/>
      <c r="AR65" s="91"/>
      <c r="AS65" s="64"/>
      <c r="AT65" s="91"/>
      <c r="AU65" s="64"/>
      <c r="AV65" s="91"/>
      <c r="AW65" s="64"/>
      <c r="AX65" s="91"/>
    </row>
    <row r="66" spans="1:50" ht="15.75" thickBot="1" x14ac:dyDescent="0.3">
      <c r="A66" s="110" t="s">
        <v>274</v>
      </c>
      <c r="B66" s="101">
        <f>B64/B63</f>
        <v>0.14991348265626045</v>
      </c>
      <c r="C66" s="101">
        <f t="shared" ref="C66" si="49">C64/C63</f>
        <v>-4.0114683932720024E-3</v>
      </c>
      <c r="D66" s="101">
        <f>D64/D63</f>
        <v>0.16803866402265033</v>
      </c>
      <c r="E66" s="101">
        <f t="shared" ref="E66:O66" si="50">E64/E63</f>
        <v>7.5622599735216442E-2</v>
      </c>
      <c r="F66" s="101">
        <f t="shared" si="50"/>
        <v>0.1615140278951471</v>
      </c>
      <c r="G66" s="101">
        <f t="shared" si="50"/>
        <v>4.9846156117675199E-2</v>
      </c>
      <c r="H66" s="101">
        <f t="shared" si="50"/>
        <v>0.13514674852615322</v>
      </c>
      <c r="I66" s="101">
        <v>2.2410373752884596E-2</v>
      </c>
      <c r="J66" s="101">
        <f t="shared" si="50"/>
        <v>0.14048624984365984</v>
      </c>
      <c r="K66" s="101">
        <f t="shared" si="50"/>
        <v>1.1687515092438341E-2</v>
      </c>
      <c r="L66" s="101">
        <f t="shared" si="50"/>
        <v>8.9378768613496348E-2</v>
      </c>
      <c r="M66" s="101">
        <f t="shared" si="50"/>
        <v>6.961419753933222E-2</v>
      </c>
      <c r="N66" s="101">
        <f t="shared" si="50"/>
        <v>8.680769464373464E-2</v>
      </c>
      <c r="O66" s="101">
        <f t="shared" si="50"/>
        <v>2.6013825015327119E-2</v>
      </c>
      <c r="P66" s="101">
        <v>6.5767936133721477E-2</v>
      </c>
      <c r="Q66" s="101">
        <f t="shared" ref="Q66:AW66" si="51">Q64/Q63</f>
        <v>2.7219585905211167E-2</v>
      </c>
      <c r="R66" s="101">
        <f t="shared" si="51"/>
        <v>7.8823107250327748E-2</v>
      </c>
      <c r="S66" s="101">
        <f t="shared" si="51"/>
        <v>-3.3648235948370193E-2</v>
      </c>
      <c r="T66" s="101">
        <f t="shared" si="51"/>
        <v>7.7295408014916425E-2</v>
      </c>
      <c r="U66" s="101">
        <f t="shared" si="51"/>
        <v>6.7089770498697798E-2</v>
      </c>
      <c r="V66" s="101">
        <f t="shared" si="51"/>
        <v>6.8132522917725383E-2</v>
      </c>
      <c r="W66" s="101">
        <f t="shared" si="51"/>
        <v>6.1509889196240753E-3</v>
      </c>
      <c r="X66" s="101">
        <f t="shared" si="51"/>
        <v>5.4129555845002147E-2</v>
      </c>
      <c r="Y66" s="101">
        <f t="shared" si="51"/>
        <v>3.980255731357539E-2</v>
      </c>
      <c r="Z66" s="101">
        <f t="shared" si="51"/>
        <v>6.0803540813909887E-2</v>
      </c>
      <c r="AA66" s="101">
        <f t="shared" si="51"/>
        <v>-3.5016666825646074E-2</v>
      </c>
      <c r="AB66" s="101">
        <f t="shared" si="51"/>
        <v>6.3317459957875022E-2</v>
      </c>
      <c r="AC66" s="101">
        <f t="shared" si="51"/>
        <v>5.8013688968299088E-2</v>
      </c>
      <c r="AD66" s="101">
        <f t="shared" si="51"/>
        <v>8.2104336573299935E-2</v>
      </c>
      <c r="AE66" s="101">
        <f t="shared" si="51"/>
        <v>-7.0394147669366929E-3</v>
      </c>
      <c r="AF66" s="101">
        <f t="shared" si="51"/>
        <v>0.1385782675932567</v>
      </c>
      <c r="AG66" s="101">
        <f t="shared" si="51"/>
        <v>4.6385834103096532E-2</v>
      </c>
      <c r="AH66" s="101">
        <f t="shared" si="51"/>
        <v>0.10251537856960949</v>
      </c>
      <c r="AI66" s="101">
        <f t="shared" si="51"/>
        <v>-3.2729824840736207E-2</v>
      </c>
      <c r="AJ66" s="101">
        <f t="shared" si="51"/>
        <v>0.12722016318937793</v>
      </c>
      <c r="AK66" s="101">
        <f t="shared" si="51"/>
        <v>7.6706857641430287E-2</v>
      </c>
      <c r="AL66" s="101">
        <f t="shared" si="51"/>
        <v>9.9058446730812433E-2</v>
      </c>
      <c r="AM66" s="101">
        <f t="shared" si="51"/>
        <v>4.4782194019481275E-2</v>
      </c>
      <c r="AN66" s="101">
        <f t="shared" si="51"/>
        <v>4.8025985988851015E-2</v>
      </c>
      <c r="AO66" s="101">
        <f t="shared" si="51"/>
        <v>1.3243012669359918E-2</v>
      </c>
      <c r="AP66" s="101">
        <f t="shared" si="51"/>
        <v>4.1965906350204349E-2</v>
      </c>
      <c r="AQ66" s="101">
        <f t="shared" si="51"/>
        <v>-1.10555681265687E-2</v>
      </c>
      <c r="AR66" s="101">
        <f t="shared" si="51"/>
        <v>1.276608409633459E-2</v>
      </c>
      <c r="AS66" s="101">
        <f t="shared" si="51"/>
        <v>4.9807131905423588E-2</v>
      </c>
      <c r="AT66" s="101">
        <f t="shared" si="51"/>
        <v>5.3833452524385622E-2</v>
      </c>
      <c r="AU66" s="101">
        <f t="shared" si="51"/>
        <v>-3.7300634121368212E-3</v>
      </c>
      <c r="AV66" s="101">
        <f t="shared" si="51"/>
        <v>5.6192715491100803E-2</v>
      </c>
      <c r="AW66" s="101">
        <f t="shared" si="51"/>
        <v>7.3812778002730816E-3</v>
      </c>
      <c r="AX66" s="102"/>
    </row>
    <row r="67" spans="1:50" x14ac:dyDescent="0.25">
      <c r="U67" s="88"/>
      <c r="V67" s="88"/>
      <c r="Z67" s="88"/>
      <c r="AA67" s="88"/>
      <c r="AD67" s="64"/>
      <c r="AE67" s="64"/>
    </row>
    <row r="68" spans="1:50" x14ac:dyDescent="0.25">
      <c r="U68" s="88"/>
      <c r="V68" s="88"/>
      <c r="Z68" s="88"/>
      <c r="AA68" s="88"/>
      <c r="AD68" s="64"/>
      <c r="AE68" s="64"/>
    </row>
    <row r="69" spans="1:50" ht="30" x14ac:dyDescent="0.25">
      <c r="A69" s="15" t="s">
        <v>59</v>
      </c>
      <c r="B69" s="84">
        <v>191975.66068308055</v>
      </c>
      <c r="C69" s="84">
        <f>B69</f>
        <v>191975.66068308055</v>
      </c>
      <c r="D69" s="84">
        <v>189015.33059410029</v>
      </c>
      <c r="E69" s="84">
        <f>D69</f>
        <v>189015.33059410029</v>
      </c>
      <c r="F69" s="84">
        <v>185341.97921875055</v>
      </c>
      <c r="G69" s="84">
        <v>185341.97921875055</v>
      </c>
      <c r="H69" s="84">
        <v>182801.32446267045</v>
      </c>
      <c r="I69" s="84">
        <v>182801.32446267045</v>
      </c>
      <c r="J69" s="84">
        <f>J58</f>
        <v>179422.8107928402</v>
      </c>
      <c r="K69" s="84">
        <f>J69</f>
        <v>179422.8107928402</v>
      </c>
      <c r="L69" s="84">
        <f>L58</f>
        <v>175099.6848236009</v>
      </c>
      <c r="M69" s="84">
        <f>L69</f>
        <v>175099.6848236009</v>
      </c>
      <c r="N69" s="84">
        <v>170770.78701719031</v>
      </c>
      <c r="O69" s="84">
        <f>N69</f>
        <v>170770.78701719031</v>
      </c>
      <c r="P69" s="84">
        <v>167776.74037356983</v>
      </c>
      <c r="Q69" s="84">
        <f>P69</f>
        <v>167776.74037356983</v>
      </c>
      <c r="R69" s="84">
        <f>R58</f>
        <v>165380.47727842</v>
      </c>
      <c r="S69" s="84">
        <f>R69</f>
        <v>165380.47727842</v>
      </c>
      <c r="T69" s="84">
        <f>T58</f>
        <v>163626.93902489002</v>
      </c>
      <c r="U69" s="84">
        <f>T69</f>
        <v>163626.93902489002</v>
      </c>
      <c r="V69" s="84">
        <f>V58</f>
        <v>161091.32188722002</v>
      </c>
      <c r="W69" s="84">
        <f>V69</f>
        <v>161091.32188722002</v>
      </c>
      <c r="X69" s="84">
        <f>X58</f>
        <v>160317.11283589993</v>
      </c>
      <c r="Y69" s="84">
        <f>X69</f>
        <v>160317.11283589993</v>
      </c>
      <c r="Z69" s="84">
        <f>Z58</f>
        <v>157825.30723024005</v>
      </c>
      <c r="AA69" s="84">
        <f>Z69</f>
        <v>157825.30723024005</v>
      </c>
      <c r="AB69" s="84">
        <f>AB58</f>
        <v>154790.05446788989</v>
      </c>
      <c r="AC69" s="84">
        <f>AB69</f>
        <v>154790.05446788989</v>
      </c>
      <c r="AD69" s="84">
        <f>AD58</f>
        <v>151064.87579384015</v>
      </c>
      <c r="AE69" s="84">
        <f>AD69</f>
        <v>151064.87579384015</v>
      </c>
      <c r="AF69" s="22">
        <f>AF58</f>
        <v>148784.29991046002</v>
      </c>
      <c r="AG69" s="84">
        <f>AF69</f>
        <v>148784.29991046002</v>
      </c>
      <c r="AH69" s="22">
        <f>AH58</f>
        <v>147145.81336949015</v>
      </c>
      <c r="AI69" s="84">
        <f>AH69</f>
        <v>147145.81336949015</v>
      </c>
      <c r="AJ69" s="22">
        <f>AJ58</f>
        <v>143799.61452905973</v>
      </c>
      <c r="AK69" s="84">
        <f>AJ69</f>
        <v>143799.61452905973</v>
      </c>
      <c r="AL69" s="22">
        <f>AL58</f>
        <v>140038.1473377911</v>
      </c>
      <c r="AM69" s="84">
        <f>AL69</f>
        <v>140038.1473377911</v>
      </c>
      <c r="AN69" s="22">
        <f>AN58</f>
        <v>137535.19033280999</v>
      </c>
      <c r="AO69" s="84">
        <f>AN69</f>
        <v>137535.19033280999</v>
      </c>
      <c r="AP69" s="22">
        <f>AP58</f>
        <v>134461.78900444019</v>
      </c>
      <c r="AQ69" s="84">
        <f>AP69</f>
        <v>134461.78900444019</v>
      </c>
      <c r="AR69" s="22">
        <f>AR58</f>
        <v>132582.83922558016</v>
      </c>
      <c r="AS69" s="84">
        <f>AR69</f>
        <v>132582.83922558016</v>
      </c>
      <c r="AT69" s="22">
        <f>AT58</f>
        <v>129520.43765942003</v>
      </c>
      <c r="AU69" s="84">
        <f>AT69</f>
        <v>129520.43765942003</v>
      </c>
      <c r="AV69" s="22">
        <f>AV58</f>
        <v>127378.18928701995</v>
      </c>
      <c r="AW69" s="84">
        <f>AV69</f>
        <v>127378.18928701995</v>
      </c>
    </row>
    <row r="70" spans="1:50" ht="30" x14ac:dyDescent="0.25">
      <c r="A70" s="27" t="s">
        <v>246</v>
      </c>
      <c r="B70" s="78">
        <f>J69</f>
        <v>179422.8107928402</v>
      </c>
      <c r="C70" s="78">
        <f>D69</f>
        <v>189015.33059410029</v>
      </c>
      <c r="D70" s="78">
        <f>L69</f>
        <v>175099.6848236009</v>
      </c>
      <c r="E70" s="78">
        <f>F69</f>
        <v>185341.97921875055</v>
      </c>
      <c r="F70" s="78">
        <f>N69</f>
        <v>170770.78701719031</v>
      </c>
      <c r="G70" s="78">
        <v>182801.32446267045</v>
      </c>
      <c r="H70" s="78">
        <v>167776.74037356983</v>
      </c>
      <c r="I70" s="78">
        <v>179422.8107928402</v>
      </c>
      <c r="J70" s="78">
        <f>R69</f>
        <v>165380.47727842</v>
      </c>
      <c r="K70" s="78">
        <f>L69</f>
        <v>175099.6848236009</v>
      </c>
      <c r="L70" s="78">
        <f>T69</f>
        <v>163626.93902489002</v>
      </c>
      <c r="M70" s="78">
        <f>N69</f>
        <v>170770.78701719031</v>
      </c>
      <c r="N70" s="78">
        <v>161091.32188722002</v>
      </c>
      <c r="O70" s="78">
        <f>P69</f>
        <v>167776.74037356983</v>
      </c>
      <c r="P70" s="78">
        <v>160317.11283589993</v>
      </c>
      <c r="Q70" s="78">
        <f>R69</f>
        <v>165380.47727842</v>
      </c>
      <c r="R70" s="78">
        <f>Z69</f>
        <v>157825.30723024005</v>
      </c>
      <c r="S70" s="78">
        <f>T69</f>
        <v>163626.93902489002</v>
      </c>
      <c r="T70" s="78">
        <f>AB69</f>
        <v>154790.05446788989</v>
      </c>
      <c r="U70" s="78">
        <f>V69</f>
        <v>161091.32188722002</v>
      </c>
      <c r="V70" s="78">
        <f>AD69</f>
        <v>151064.87579384015</v>
      </c>
      <c r="W70" s="78">
        <f>X69</f>
        <v>160317.11283589993</v>
      </c>
      <c r="X70" s="78">
        <f>AF69</f>
        <v>148784.29991046002</v>
      </c>
      <c r="Y70" s="78">
        <f>Z69</f>
        <v>157825.30723024005</v>
      </c>
      <c r="Z70" s="78">
        <f>AH69</f>
        <v>147145.81336949015</v>
      </c>
      <c r="AA70" s="78">
        <f>AB69</f>
        <v>154790.05446788989</v>
      </c>
      <c r="AB70" s="78">
        <f>AJ69</f>
        <v>143799.61452905973</v>
      </c>
      <c r="AC70" s="78">
        <f>AD69</f>
        <v>151064.87579384015</v>
      </c>
      <c r="AD70" s="78">
        <f>AL69</f>
        <v>140038.1473377911</v>
      </c>
      <c r="AE70" s="78">
        <f>AF69</f>
        <v>148784.29991046002</v>
      </c>
      <c r="AF70" s="33">
        <f>AN69</f>
        <v>137535.19033280999</v>
      </c>
      <c r="AG70" s="78">
        <f>AH69</f>
        <v>147145.81336949015</v>
      </c>
      <c r="AH70" s="33">
        <f>AP69</f>
        <v>134461.78900444019</v>
      </c>
      <c r="AI70" s="78">
        <f>AJ69</f>
        <v>143799.61452905973</v>
      </c>
      <c r="AJ70" s="33">
        <f>AR69</f>
        <v>132582.83922558016</v>
      </c>
      <c r="AK70" s="78">
        <f>AL69</f>
        <v>140038.1473377911</v>
      </c>
      <c r="AL70" s="33">
        <f>AT69</f>
        <v>129520.43765942003</v>
      </c>
      <c r="AM70" s="78">
        <f>AN69</f>
        <v>137535.19033280999</v>
      </c>
      <c r="AN70" s="33">
        <f>AV69</f>
        <v>127378.18928701995</v>
      </c>
      <c r="AO70" s="78">
        <f>AP69</f>
        <v>134461.78900444019</v>
      </c>
      <c r="AP70" s="33">
        <v>126179.53837441001</v>
      </c>
      <c r="AQ70" s="78">
        <f>AR69</f>
        <v>132582.83922558016</v>
      </c>
      <c r="AR70" s="33">
        <v>124518.80857552995</v>
      </c>
      <c r="AS70" s="78">
        <f>AT69</f>
        <v>129520.43765942003</v>
      </c>
      <c r="AT70" s="33">
        <v>122932.87120760018</v>
      </c>
      <c r="AU70" s="78">
        <f>AV69</f>
        <v>127378.18928701995</v>
      </c>
      <c r="AV70" s="33">
        <v>120435.05705413</v>
      </c>
      <c r="AW70" s="78">
        <v>126179.53837441001</v>
      </c>
    </row>
    <row r="71" spans="1:50" x14ac:dyDescent="0.25">
      <c r="A71" s="104" t="s">
        <v>60</v>
      </c>
      <c r="B71" s="84">
        <f t="shared" ref="B71:C71" si="52">B69-B70</f>
        <v>12552.849890240352</v>
      </c>
      <c r="C71" s="84">
        <f t="shared" si="52"/>
        <v>2960.3300889802631</v>
      </c>
      <c r="D71" s="84">
        <f t="shared" ref="D71:O71" si="53">D69-D70</f>
        <v>13915.645770499395</v>
      </c>
      <c r="E71" s="84">
        <f t="shared" si="53"/>
        <v>3673.3513753497391</v>
      </c>
      <c r="F71" s="84">
        <f t="shared" si="53"/>
        <v>14571.192201560247</v>
      </c>
      <c r="G71" s="84">
        <v>2540.6547560800973</v>
      </c>
      <c r="H71" s="84">
        <f t="shared" si="53"/>
        <v>15024.584089100623</v>
      </c>
      <c r="I71" s="84">
        <f t="shared" si="53"/>
        <v>3378.5136698302522</v>
      </c>
      <c r="J71" s="84">
        <f t="shared" si="53"/>
        <v>14042.333514420199</v>
      </c>
      <c r="K71" s="84">
        <f t="shared" si="53"/>
        <v>4323.1259692393069</v>
      </c>
      <c r="L71" s="84">
        <f t="shared" si="53"/>
        <v>11472.745798710879</v>
      </c>
      <c r="M71" s="84">
        <f t="shared" si="53"/>
        <v>4328.8978064105904</v>
      </c>
      <c r="N71" s="84">
        <f t="shared" si="53"/>
        <v>9679.4651299702819</v>
      </c>
      <c r="O71" s="84">
        <f t="shared" si="53"/>
        <v>2994.0466436204733</v>
      </c>
      <c r="P71" s="84">
        <v>7459.627537669905</v>
      </c>
      <c r="Q71" s="84">
        <f t="shared" ref="Q71:AW71" si="54">Q69-Q70</f>
        <v>2396.2630951498286</v>
      </c>
      <c r="R71" s="84">
        <f t="shared" si="54"/>
        <v>7555.1700481799489</v>
      </c>
      <c r="S71" s="84">
        <f t="shared" si="54"/>
        <v>1753.5382535299868</v>
      </c>
      <c r="T71" s="84">
        <f t="shared" si="54"/>
        <v>8836.8845570001286</v>
      </c>
      <c r="U71" s="84">
        <f t="shared" si="54"/>
        <v>2535.6171376699931</v>
      </c>
      <c r="V71" s="84">
        <f t="shared" si="54"/>
        <v>10026.446093379869</v>
      </c>
      <c r="W71" s="84">
        <f t="shared" si="54"/>
        <v>774.20905132009648</v>
      </c>
      <c r="X71" s="84">
        <f t="shared" si="54"/>
        <v>11532.81292543991</v>
      </c>
      <c r="Y71" s="84">
        <f t="shared" si="54"/>
        <v>2491.8056056598725</v>
      </c>
      <c r="Z71" s="84">
        <f t="shared" si="54"/>
        <v>10679.493860749906</v>
      </c>
      <c r="AA71" s="84">
        <f t="shared" si="54"/>
        <v>3035.2527623501664</v>
      </c>
      <c r="AB71" s="84">
        <f t="shared" si="54"/>
        <v>10990.439938830154</v>
      </c>
      <c r="AC71" s="84">
        <f t="shared" si="54"/>
        <v>3725.1786740497337</v>
      </c>
      <c r="AD71" s="84">
        <f t="shared" si="54"/>
        <v>11026.728456049052</v>
      </c>
      <c r="AE71" s="84">
        <f t="shared" si="54"/>
        <v>2280.5758833801374</v>
      </c>
      <c r="AF71" s="22">
        <f t="shared" si="54"/>
        <v>11249.10957765003</v>
      </c>
      <c r="AG71" s="84">
        <f t="shared" si="54"/>
        <v>1638.4865409698687</v>
      </c>
      <c r="AH71" s="22">
        <f t="shared" si="54"/>
        <v>12684.024365049961</v>
      </c>
      <c r="AI71" s="84">
        <f t="shared" si="54"/>
        <v>3346.1988404304138</v>
      </c>
      <c r="AJ71" s="22">
        <f t="shared" si="54"/>
        <v>11216.775303479575</v>
      </c>
      <c r="AK71" s="84">
        <f t="shared" si="54"/>
        <v>3761.4671912686317</v>
      </c>
      <c r="AL71" s="22">
        <f t="shared" si="54"/>
        <v>10517.709678371073</v>
      </c>
      <c r="AM71" s="84">
        <f t="shared" si="54"/>
        <v>2502.9570049811155</v>
      </c>
      <c r="AN71" s="22">
        <f t="shared" si="54"/>
        <v>10157.001045790035</v>
      </c>
      <c r="AO71" s="84">
        <f t="shared" si="54"/>
        <v>3073.4013283698005</v>
      </c>
      <c r="AP71" s="22">
        <f t="shared" si="54"/>
        <v>8282.2506300301757</v>
      </c>
      <c r="AQ71" s="84">
        <f t="shared" si="54"/>
        <v>1878.9497788600274</v>
      </c>
      <c r="AR71" s="22">
        <f t="shared" si="54"/>
        <v>8064.0306500502047</v>
      </c>
      <c r="AS71" s="84">
        <f t="shared" si="54"/>
        <v>3062.4015661601297</v>
      </c>
      <c r="AT71" s="22">
        <f t="shared" si="54"/>
        <v>6587.5664518198464</v>
      </c>
      <c r="AU71" s="84">
        <f t="shared" si="54"/>
        <v>2142.2483724000776</v>
      </c>
      <c r="AV71" s="22">
        <f t="shared" si="54"/>
        <v>6943.132232889955</v>
      </c>
      <c r="AW71" s="84">
        <f t="shared" si="54"/>
        <v>1198.6509126099409</v>
      </c>
    </row>
    <row r="72" spans="1:50" ht="30" x14ac:dyDescent="0.25">
      <c r="A72" s="27" t="s">
        <v>247</v>
      </c>
      <c r="B72" s="78">
        <f>B70</f>
        <v>179422.8107928402</v>
      </c>
      <c r="C72" s="78">
        <f t="shared" ref="C72" si="55">C70</f>
        <v>189015.33059410029</v>
      </c>
      <c r="D72" s="78">
        <f>D70</f>
        <v>175099.6848236009</v>
      </c>
      <c r="E72" s="78">
        <f t="shared" ref="E72:O72" si="56">E70</f>
        <v>185341.97921875055</v>
      </c>
      <c r="F72" s="78">
        <f>F70</f>
        <v>170770.78701719031</v>
      </c>
      <c r="G72" s="78">
        <v>182801.32446267045</v>
      </c>
      <c r="H72" s="78">
        <v>167776.74037356983</v>
      </c>
      <c r="I72" s="78">
        <v>179422.8107928402</v>
      </c>
      <c r="J72" s="78">
        <f t="shared" si="56"/>
        <v>165380.47727842</v>
      </c>
      <c r="K72" s="78">
        <f t="shared" si="56"/>
        <v>175099.6848236009</v>
      </c>
      <c r="L72" s="78">
        <f t="shared" si="56"/>
        <v>163626.93902489002</v>
      </c>
      <c r="M72" s="78">
        <f t="shared" si="56"/>
        <v>170770.78701719031</v>
      </c>
      <c r="N72" s="78">
        <f t="shared" si="56"/>
        <v>161091.32188722002</v>
      </c>
      <c r="O72" s="78">
        <f t="shared" si="56"/>
        <v>167776.74037356983</v>
      </c>
      <c r="P72" s="78">
        <v>160317.11283589993</v>
      </c>
      <c r="Q72" s="78">
        <f t="shared" ref="Q72:AW72" si="57">Q70</f>
        <v>165380.47727842</v>
      </c>
      <c r="R72" s="78">
        <f t="shared" si="57"/>
        <v>157825.30723024005</v>
      </c>
      <c r="S72" s="78">
        <f t="shared" si="57"/>
        <v>163626.93902489002</v>
      </c>
      <c r="T72" s="78">
        <f t="shared" si="57"/>
        <v>154790.05446788989</v>
      </c>
      <c r="U72" s="78">
        <f t="shared" si="57"/>
        <v>161091.32188722002</v>
      </c>
      <c r="V72" s="78">
        <f t="shared" si="57"/>
        <v>151064.87579384015</v>
      </c>
      <c r="W72" s="78">
        <f t="shared" si="57"/>
        <v>160317.11283589993</v>
      </c>
      <c r="X72" s="78">
        <f t="shared" si="57"/>
        <v>148784.29991046002</v>
      </c>
      <c r="Y72" s="78">
        <f t="shared" si="57"/>
        <v>157825.30723024005</v>
      </c>
      <c r="Z72" s="78">
        <f t="shared" si="57"/>
        <v>147145.81336949015</v>
      </c>
      <c r="AA72" s="78">
        <f t="shared" si="57"/>
        <v>154790.05446788989</v>
      </c>
      <c r="AB72" s="78">
        <f t="shared" si="57"/>
        <v>143799.61452905973</v>
      </c>
      <c r="AC72" s="78">
        <f t="shared" si="57"/>
        <v>151064.87579384015</v>
      </c>
      <c r="AD72" s="78">
        <f t="shared" si="57"/>
        <v>140038.1473377911</v>
      </c>
      <c r="AE72" s="78">
        <f t="shared" si="57"/>
        <v>148784.29991046002</v>
      </c>
      <c r="AF72" s="33">
        <f t="shared" si="57"/>
        <v>137535.19033280999</v>
      </c>
      <c r="AG72" s="78">
        <f t="shared" si="57"/>
        <v>147145.81336949015</v>
      </c>
      <c r="AH72" s="33">
        <f t="shared" si="57"/>
        <v>134461.78900444019</v>
      </c>
      <c r="AI72" s="78">
        <f t="shared" si="57"/>
        <v>143799.61452905973</v>
      </c>
      <c r="AJ72" s="33">
        <f t="shared" si="57"/>
        <v>132582.83922558016</v>
      </c>
      <c r="AK72" s="78">
        <f t="shared" si="57"/>
        <v>140038.1473377911</v>
      </c>
      <c r="AL72" s="33">
        <f t="shared" si="57"/>
        <v>129520.43765942003</v>
      </c>
      <c r="AM72" s="78">
        <f t="shared" si="57"/>
        <v>137535.19033280999</v>
      </c>
      <c r="AN72" s="33">
        <f t="shared" si="57"/>
        <v>127378.18928701995</v>
      </c>
      <c r="AO72" s="78">
        <f t="shared" si="57"/>
        <v>134461.78900444019</v>
      </c>
      <c r="AP72" s="33">
        <f t="shared" si="57"/>
        <v>126179.53837441001</v>
      </c>
      <c r="AQ72" s="78">
        <f t="shared" si="57"/>
        <v>132582.83922558016</v>
      </c>
      <c r="AR72" s="33">
        <f t="shared" si="57"/>
        <v>124518.80857552995</v>
      </c>
      <c r="AS72" s="78">
        <f t="shared" si="57"/>
        <v>129520.43765942003</v>
      </c>
      <c r="AT72" s="33">
        <f t="shared" si="57"/>
        <v>122932.87120760018</v>
      </c>
      <c r="AU72" s="78">
        <f t="shared" si="57"/>
        <v>127378.18928701995</v>
      </c>
      <c r="AV72" s="33">
        <f t="shared" si="57"/>
        <v>120435.05705413</v>
      </c>
      <c r="AW72" s="78">
        <f t="shared" si="57"/>
        <v>126179.53837441001</v>
      </c>
    </row>
    <row r="73" spans="1:50" ht="30.75" thickBot="1" x14ac:dyDescent="0.3">
      <c r="A73" s="46" t="s">
        <v>275</v>
      </c>
      <c r="B73" s="85">
        <f t="shared" ref="B73" si="58">B71/B72</f>
        <v>6.9962396836675059E-2</v>
      </c>
      <c r="C73" s="85">
        <f>C71/C72</f>
        <v>1.5661851764486787E-2</v>
      </c>
      <c r="D73" s="85">
        <f t="shared" ref="D73:O73" si="59">D71/D72</f>
        <v>7.9472705987553946E-2</v>
      </c>
      <c r="E73" s="85">
        <f>E71/E72</f>
        <v>1.9819316653645166E-2</v>
      </c>
      <c r="F73" s="85">
        <f t="shared" si="59"/>
        <v>8.53260235902846E-2</v>
      </c>
      <c r="G73" s="85">
        <f>G71/G72</f>
        <v>1.3898448293786406E-2</v>
      </c>
      <c r="H73" s="85">
        <f t="shared" si="59"/>
        <v>8.9551054905745872E-2</v>
      </c>
      <c r="I73" s="85">
        <f t="shared" si="59"/>
        <v>1.8829900473084499E-2</v>
      </c>
      <c r="J73" s="85">
        <f t="shared" si="59"/>
        <v>8.4909257401523663E-2</v>
      </c>
      <c r="K73" s="85">
        <f t="shared" si="59"/>
        <v>2.4689513139869525E-2</v>
      </c>
      <c r="L73" s="85">
        <f t="shared" si="59"/>
        <v>7.0115262603340084E-2</v>
      </c>
      <c r="M73" s="85">
        <f t="shared" si="59"/>
        <v>2.5349170557929387E-2</v>
      </c>
      <c r="N73" s="85">
        <f t="shared" si="59"/>
        <v>6.0086819181649473E-2</v>
      </c>
      <c r="O73" s="85">
        <f t="shared" si="59"/>
        <v>1.7845421462796107E-2</v>
      </c>
      <c r="P73" s="85">
        <v>4.6530450840301468E-2</v>
      </c>
      <c r="Q73" s="85">
        <f t="shared" ref="Q73:AW73" si="60">Q71/Q72</f>
        <v>1.4489395209058994E-2</v>
      </c>
      <c r="R73" s="85">
        <f t="shared" si="60"/>
        <v>4.7870459945680649E-2</v>
      </c>
      <c r="S73" s="85">
        <f t="shared" si="60"/>
        <v>1.0716684330709434E-2</v>
      </c>
      <c r="T73" s="85">
        <f t="shared" si="60"/>
        <v>5.7089485415442363E-2</v>
      </c>
      <c r="U73" s="85">
        <f t="shared" si="60"/>
        <v>1.5740246637526371E-2</v>
      </c>
      <c r="V73" s="85">
        <f t="shared" si="60"/>
        <v>6.637178921103451E-2</v>
      </c>
      <c r="W73" s="85">
        <f t="shared" si="60"/>
        <v>4.8292352427315374E-3</v>
      </c>
      <c r="X73" s="85">
        <f t="shared" si="60"/>
        <v>7.7513641777932754E-2</v>
      </c>
      <c r="Y73" s="85">
        <f t="shared" si="60"/>
        <v>1.5788377981895866E-2</v>
      </c>
      <c r="Z73" s="85">
        <f t="shared" si="60"/>
        <v>7.2577626343558882E-2</v>
      </c>
      <c r="AA73" s="85">
        <f t="shared" si="60"/>
        <v>1.9608835805273318E-2</v>
      </c>
      <c r="AB73" s="85">
        <f t="shared" si="60"/>
        <v>7.6428855354192568E-2</v>
      </c>
      <c r="AC73" s="85">
        <f t="shared" si="60"/>
        <v>2.4659462727348511E-2</v>
      </c>
      <c r="AD73" s="85">
        <f t="shared" si="60"/>
        <v>7.8740890719234374E-2</v>
      </c>
      <c r="AE73" s="85">
        <f t="shared" si="60"/>
        <v>1.5328068114395218E-2</v>
      </c>
      <c r="AF73" s="44">
        <f t="shared" si="60"/>
        <v>8.1790773331750541E-2</v>
      </c>
      <c r="AG73" s="85">
        <f t="shared" si="60"/>
        <v>1.113512170988889E-2</v>
      </c>
      <c r="AH73" s="44">
        <f t="shared" si="60"/>
        <v>9.4331813215954685E-2</v>
      </c>
      <c r="AI73" s="85">
        <f t="shared" si="60"/>
        <v>2.3269873506887584E-2</v>
      </c>
      <c r="AJ73" s="44">
        <f t="shared" si="60"/>
        <v>8.4602014627210079E-2</v>
      </c>
      <c r="AK73" s="85">
        <f t="shared" si="60"/>
        <v>2.6860303872740191E-2</v>
      </c>
      <c r="AL73" s="44">
        <f t="shared" si="60"/>
        <v>8.1205019597199599E-2</v>
      </c>
      <c r="AM73" s="85">
        <f t="shared" si="60"/>
        <v>1.819866609356062E-2</v>
      </c>
      <c r="AN73" s="44">
        <f t="shared" si="60"/>
        <v>7.9738934134974793E-2</v>
      </c>
      <c r="AO73" s="85">
        <f t="shared" si="60"/>
        <v>2.2857061111006865E-2</v>
      </c>
      <c r="AP73" s="44">
        <f t="shared" si="60"/>
        <v>6.5638618881727243E-2</v>
      </c>
      <c r="AQ73" s="85">
        <f t="shared" si="60"/>
        <v>1.4171892756521299E-2</v>
      </c>
      <c r="AR73" s="44">
        <f t="shared" si="60"/>
        <v>6.476154680807733E-2</v>
      </c>
      <c r="AS73" s="85">
        <f t="shared" si="60"/>
        <v>2.3644157026498445E-2</v>
      </c>
      <c r="AT73" s="44">
        <f t="shared" si="60"/>
        <v>5.3586696439353786E-2</v>
      </c>
      <c r="AU73" s="85">
        <f t="shared" si="60"/>
        <v>1.6818015583287747E-2</v>
      </c>
      <c r="AV73" s="44">
        <f t="shared" si="60"/>
        <v>5.7650425073235423E-2</v>
      </c>
      <c r="AW73" s="85">
        <f t="shared" si="60"/>
        <v>9.4995664752965583E-3</v>
      </c>
    </row>
    <row r="74" spans="1:50" x14ac:dyDescent="0.25">
      <c r="C74" s="74"/>
      <c r="E74" s="74"/>
      <c r="F74" s="74"/>
      <c r="G74" s="74"/>
      <c r="H74" s="74"/>
      <c r="I74" s="74"/>
      <c r="K74" s="74"/>
      <c r="M74" s="74"/>
      <c r="N74" s="74"/>
      <c r="O74" s="74"/>
      <c r="P74" s="91"/>
      <c r="Q74" s="74"/>
      <c r="S74" s="74"/>
      <c r="U74" s="91"/>
      <c r="V74" s="91"/>
      <c r="W74" s="74"/>
      <c r="Y74" s="74"/>
      <c r="Z74" s="88"/>
      <c r="AA74" s="91"/>
      <c r="AC74" s="74"/>
      <c r="AD74" s="64"/>
      <c r="AE74" s="74"/>
      <c r="AG74" s="41"/>
      <c r="AH74" s="41"/>
    </row>
    <row r="75" spans="1:50" x14ac:dyDescent="0.25">
      <c r="U75" s="88"/>
      <c r="Z75" s="88"/>
      <c r="AA75" s="88"/>
      <c r="AD75" s="64"/>
      <c r="AE75" s="64"/>
    </row>
    <row r="76" spans="1:50" x14ac:dyDescent="0.25">
      <c r="A76" s="104" t="s">
        <v>63</v>
      </c>
      <c r="B76" s="76">
        <v>128.867009</v>
      </c>
      <c r="C76" s="95">
        <v>31.121827</v>
      </c>
      <c r="D76" s="76">
        <v>97.745182</v>
      </c>
      <c r="E76" s="95">
        <v>38.91178</v>
      </c>
      <c r="F76" s="95">
        <v>58.833402</v>
      </c>
      <c r="G76" s="95">
        <v>58.833402</v>
      </c>
      <c r="H76" s="95">
        <v>951.44130199999995</v>
      </c>
      <c r="I76" s="95">
        <v>242.47467900000001</v>
      </c>
      <c r="J76" s="76">
        <v>708.96662400000002</v>
      </c>
      <c r="K76" s="95">
        <v>231.33466000000001</v>
      </c>
      <c r="L76" s="76">
        <v>477.63196399999998</v>
      </c>
      <c r="M76" s="95">
        <v>169.65828300000001</v>
      </c>
      <c r="N76" s="95">
        <v>307.973681</v>
      </c>
      <c r="O76" s="95">
        <v>307.973681</v>
      </c>
      <c r="P76" s="95">
        <v>299.43606999999997</v>
      </c>
      <c r="Q76" s="95">
        <v>102.92518099999999</v>
      </c>
      <c r="R76" s="76">
        <v>197.57765699999999</v>
      </c>
      <c r="S76" s="95">
        <v>71.283050000000003</v>
      </c>
      <c r="T76" s="76">
        <v>126.294608</v>
      </c>
      <c r="U76" s="95">
        <v>58.813577000000002</v>
      </c>
      <c r="V76" s="95">
        <v>67.48792881</v>
      </c>
      <c r="W76" s="95">
        <v>67.48792881</v>
      </c>
      <c r="X76" s="76">
        <v>262.67482732000002</v>
      </c>
      <c r="Y76" s="95">
        <v>66.653158320000017</v>
      </c>
      <c r="Z76" s="76">
        <v>196.021669</v>
      </c>
      <c r="AA76" s="95">
        <f>+Z76-AB76</f>
        <v>69.24884800000001</v>
      </c>
      <c r="AB76" s="76">
        <v>126.77282099999999</v>
      </c>
      <c r="AC76" s="95">
        <f>+AB76-AE76</f>
        <v>78.365232419999998</v>
      </c>
      <c r="AD76" s="76">
        <v>48.407588579999995</v>
      </c>
      <c r="AE76" s="76">
        <v>48.407588579999995</v>
      </c>
      <c r="AF76" s="19">
        <v>341.04166199999997</v>
      </c>
      <c r="AG76" s="19">
        <v>77.972505999999996</v>
      </c>
      <c r="AH76" s="19">
        <v>263.06915600000002</v>
      </c>
      <c r="AI76" s="19">
        <v>87.671915999999996</v>
      </c>
      <c r="AJ76" s="19">
        <v>175.39724000000001</v>
      </c>
      <c r="AK76" s="19">
        <v>85.978745000000004</v>
      </c>
      <c r="AL76" s="19">
        <v>89.418493999999995</v>
      </c>
      <c r="AM76" s="19">
        <v>89.418493999999995</v>
      </c>
      <c r="AN76" s="19">
        <v>515.66150400000004</v>
      </c>
      <c r="AO76" s="19">
        <v>98.687763000000004</v>
      </c>
      <c r="AP76" s="19">
        <v>416.97374100000002</v>
      </c>
      <c r="AQ76" s="19">
        <v>129.646871</v>
      </c>
      <c r="AR76" s="19">
        <v>287.32686899999999</v>
      </c>
      <c r="AS76" s="19">
        <v>117.559668</v>
      </c>
      <c r="AT76" s="19">
        <v>169.767201</v>
      </c>
      <c r="AU76" s="19">
        <v>169.767201</v>
      </c>
      <c r="AV76" s="19">
        <v>168.615317</v>
      </c>
      <c r="AW76" s="19">
        <v>56.301738999999998</v>
      </c>
    </row>
    <row r="77" spans="1:50" x14ac:dyDescent="0.25">
      <c r="A77" s="104" t="s">
        <v>157</v>
      </c>
      <c r="B77" s="76">
        <f>B76/3*4</f>
        <v>171.82267866666666</v>
      </c>
      <c r="C77" s="76">
        <f>C76*4</f>
        <v>124.487308</v>
      </c>
      <c r="D77" s="76">
        <f>D76*2</f>
        <v>195.490364</v>
      </c>
      <c r="E77" s="76">
        <f>E76*4</f>
        <v>155.64712</v>
      </c>
      <c r="F77" s="76">
        <v>235.333608</v>
      </c>
      <c r="G77" s="76">
        <v>235.333608</v>
      </c>
      <c r="H77" s="76">
        <v>951.44130199999995</v>
      </c>
      <c r="I77" s="76">
        <f>I76*4</f>
        <v>969.89871600000004</v>
      </c>
      <c r="J77" s="76">
        <f>J76/3*4</f>
        <v>945.28883200000007</v>
      </c>
      <c r="K77" s="76">
        <f>K76*4</f>
        <v>925.33864000000005</v>
      </c>
      <c r="L77" s="76">
        <f>L76/2*4</f>
        <v>955.26392799999996</v>
      </c>
      <c r="M77" s="76">
        <f>M76*4</f>
        <v>678.63313200000005</v>
      </c>
      <c r="N77" s="76">
        <f>N76*4</f>
        <v>1231.894724</v>
      </c>
      <c r="O77" s="76">
        <v>1231.894724</v>
      </c>
      <c r="P77" s="76">
        <v>299.43606999999997</v>
      </c>
      <c r="Q77" s="76">
        <v>411.70072399999998</v>
      </c>
      <c r="R77" s="76">
        <f>R76/3*4</f>
        <v>263.43687599999998</v>
      </c>
      <c r="S77" s="76">
        <f>S76*4</f>
        <v>285.13220000000001</v>
      </c>
      <c r="T77" s="76">
        <f>T76/2*4</f>
        <v>252.58921599999999</v>
      </c>
      <c r="U77" s="76">
        <f>U76*4</f>
        <v>235.25430800000001</v>
      </c>
      <c r="V77" s="76">
        <f>V76/1*4</f>
        <v>269.95171524</v>
      </c>
      <c r="W77" s="76">
        <f>W76*4</f>
        <v>269.95171524</v>
      </c>
      <c r="X77" s="76">
        <f>X76/4*4</f>
        <v>262.67482732000002</v>
      </c>
      <c r="Y77" s="76">
        <f>Y76*4</f>
        <v>266.61263328000007</v>
      </c>
      <c r="Z77" s="76">
        <f>Z76/3*4</f>
        <v>261.36222533333336</v>
      </c>
      <c r="AA77" s="76">
        <f>AA76*4</f>
        <v>276.99539200000004</v>
      </c>
      <c r="AB77" s="76">
        <f>AB76/2*4</f>
        <v>253.54564199999999</v>
      </c>
      <c r="AC77" s="76">
        <f>AC76*4</f>
        <v>313.46092967999999</v>
      </c>
      <c r="AD77" s="76">
        <f>AD76/1*4</f>
        <v>193.63035431999998</v>
      </c>
      <c r="AE77" s="76">
        <f>AE76*4</f>
        <v>193.63035431999998</v>
      </c>
      <c r="AF77" s="19" t="e">
        <f>#REF!/4*4</f>
        <v>#REF!</v>
      </c>
      <c r="AG77" s="19" t="e">
        <f>#REF!*4</f>
        <v>#REF!</v>
      </c>
      <c r="AH77" s="19" t="e">
        <f>#REF!/3*4</f>
        <v>#REF!</v>
      </c>
      <c r="AI77" s="19" t="e">
        <f>#REF!*4</f>
        <v>#REF!</v>
      </c>
      <c r="AJ77" s="19" t="e">
        <f>#REF!/2*4</f>
        <v>#REF!</v>
      </c>
      <c r="AK77" s="19" t="e">
        <f>#REF!*4</f>
        <v>#REF!</v>
      </c>
      <c r="AL77" s="19" t="e">
        <f>#REF!/1*4</f>
        <v>#REF!</v>
      </c>
      <c r="AM77" s="19" t="e">
        <f>#REF!*4</f>
        <v>#REF!</v>
      </c>
      <c r="AN77" s="19" t="e">
        <f>#REF!/4*4</f>
        <v>#REF!</v>
      </c>
      <c r="AO77" s="19" t="e">
        <f>#REF!*4</f>
        <v>#REF!</v>
      </c>
      <c r="AP77" s="19" t="e">
        <f>#REF!/3*4</f>
        <v>#REF!</v>
      </c>
      <c r="AQ77" s="19" t="e">
        <f>#REF!*4</f>
        <v>#REF!</v>
      </c>
      <c r="AR77" s="19" t="e">
        <f>#REF!/2*4</f>
        <v>#REF!</v>
      </c>
      <c r="AS77" s="19" t="e">
        <f>#REF!*4</f>
        <v>#REF!</v>
      </c>
      <c r="AT77" s="19" t="e">
        <f>#REF!/1*4</f>
        <v>#REF!</v>
      </c>
      <c r="AU77" s="19" t="e">
        <f>#REF!*4</f>
        <v>#REF!</v>
      </c>
      <c r="AV77" s="19" t="e">
        <f>#REF!/4*4</f>
        <v>#REF!</v>
      </c>
      <c r="AW77" s="19" t="e">
        <f>#REF!*4</f>
        <v>#REF!</v>
      </c>
    </row>
    <row r="78" spans="1:50" ht="30" x14ac:dyDescent="0.25">
      <c r="A78" s="27" t="s">
        <v>64</v>
      </c>
      <c r="B78" s="96">
        <f>(B69+F69+D69+H69)/4</f>
        <v>187283.57373965046</v>
      </c>
      <c r="C78" s="21">
        <f>(B69+D69)/2</f>
        <v>190495.49563859042</v>
      </c>
      <c r="D78" s="96">
        <f>(D69+H69+F69)/3</f>
        <v>185719.54475850714</v>
      </c>
      <c r="E78" s="21">
        <f>(D69+F69)/2</f>
        <v>187178.65490642542</v>
      </c>
      <c r="F78" s="21">
        <v>184071.65184071049</v>
      </c>
      <c r="G78" s="21">
        <v>184071.65184071049</v>
      </c>
      <c r="H78" s="96">
        <f>(H69+L69+J69+N69+P69)/5</f>
        <v>175174.26949397434</v>
      </c>
      <c r="I78" s="21">
        <f>(H69+J69)/2</f>
        <v>181112.06762775534</v>
      </c>
      <c r="J78" s="96">
        <f>(J69+N69+L69+P69)/4</f>
        <v>173267.50575180032</v>
      </c>
      <c r="K78" s="21">
        <f>(J69+L69)/2</f>
        <v>177261.24780822056</v>
      </c>
      <c r="L78" s="96">
        <f>(L69+P69+N69)/3</f>
        <v>171215.73740478701</v>
      </c>
      <c r="M78" s="21">
        <f>(L69+N69)/2</f>
        <v>172935.23592039559</v>
      </c>
      <c r="N78" s="96">
        <f>(N69+P69)/2</f>
        <v>169273.76369538007</v>
      </c>
      <c r="O78" s="21">
        <v>169273.76369538007</v>
      </c>
      <c r="P78" s="21">
        <v>163638.51827999996</v>
      </c>
      <c r="Q78" s="21">
        <v>166578.60882599492</v>
      </c>
      <c r="R78" s="96">
        <f>(R69+V69+X69+T69)/4</f>
        <v>162603.96275660751</v>
      </c>
      <c r="S78" s="21">
        <f>(R69+T69)/2</f>
        <v>164503.70815165501</v>
      </c>
      <c r="T78" s="96">
        <f>(T69+X69+Z69)/3</f>
        <v>160589.78636367666</v>
      </c>
      <c r="U78" s="21">
        <f>(T69+V69)/2</f>
        <v>162359.13045605502</v>
      </c>
      <c r="V78" s="96">
        <f>(V69+X69)/2</f>
        <v>160704.21736155997</v>
      </c>
      <c r="W78" s="21">
        <f>(V69+X69)/2</f>
        <v>160704.21736155997</v>
      </c>
      <c r="X78" s="96">
        <f>(X69+AB69+AD69+Z69+AF69)/5</f>
        <v>154556.33004766601</v>
      </c>
      <c r="Y78" s="21">
        <f>(X69+Z69)/2</f>
        <v>159071.21003307001</v>
      </c>
      <c r="Z78" s="96">
        <f>(Z69+AB69+AD69+AF69)/4</f>
        <v>153116.13435060752</v>
      </c>
      <c r="AA78" s="21">
        <f>(Z69+AB69)/2</f>
        <v>156307.68084906496</v>
      </c>
      <c r="AB78" s="96">
        <f>(AB69+AD69+AF69)/3</f>
        <v>151546.41005739669</v>
      </c>
      <c r="AC78" s="21">
        <f>(AB69+AD69)/2</f>
        <v>152927.46513086502</v>
      </c>
      <c r="AD78" s="96">
        <f>(AD69+AF69)/2</f>
        <v>149924.58785215009</v>
      </c>
      <c r="AE78" s="21">
        <f>(AD69+AF69)/2</f>
        <v>149924.58785215009</v>
      </c>
      <c r="AF78" s="18">
        <f>(AF69+AH69+AJ69+AL69+AN69)/5</f>
        <v>143460.61309592222</v>
      </c>
      <c r="AG78" s="18">
        <f>(AF69+AH69)/2</f>
        <v>147965.05663997508</v>
      </c>
      <c r="AH78" s="18">
        <f>(AH69+AJ69+AL69+AN69)/4</f>
        <v>142129.69139228773</v>
      </c>
      <c r="AI78" s="18">
        <f>(AH69+AJ69)/2</f>
        <v>145472.71394927494</v>
      </c>
      <c r="AJ78" s="18">
        <f>(AJ69+AL69+AN69)/3</f>
        <v>140457.65073322027</v>
      </c>
      <c r="AK78" s="18">
        <f>(AJ69+AL69)/2</f>
        <v>141918.88093342542</v>
      </c>
      <c r="AL78" s="18">
        <f>(AL69+AN69)/2</f>
        <v>138786.66883530054</v>
      </c>
      <c r="AM78" s="18">
        <f>(AL69+AN69)/2</f>
        <v>138786.66883530054</v>
      </c>
      <c r="AN78" s="18">
        <f>(AN69+AP69+AR69+AT69+AV69)/5</f>
        <v>132295.68910185405</v>
      </c>
      <c r="AO78" s="18">
        <f>(AN69+AP69)/2</f>
        <v>135998.48966862509</v>
      </c>
      <c r="AP78" s="18">
        <f>(AP69+AR69+AT69+AV69)/4</f>
        <v>130985.81379411508</v>
      </c>
      <c r="AQ78" s="18">
        <f>(AP69+AR69)/2</f>
        <v>133522.31411501017</v>
      </c>
      <c r="AR78" s="18">
        <f>(AR69+AT69+AV69)/3</f>
        <v>129827.15539067338</v>
      </c>
      <c r="AS78" s="18">
        <f>(AR69+AT69)/2</f>
        <v>131051.63844250009</v>
      </c>
      <c r="AT78" s="18">
        <f>(AT69+AV69)/2</f>
        <v>128449.31347321998</v>
      </c>
      <c r="AU78" s="18">
        <f>(AT69+AV69)/2</f>
        <v>128449.31347321998</v>
      </c>
      <c r="AV78" s="18">
        <v>124288.89289973801</v>
      </c>
      <c r="AW78" s="18">
        <v>126778.86383071498</v>
      </c>
    </row>
    <row r="79" spans="1:50" s="3" customFormat="1" ht="15.75" thickBot="1" x14ac:dyDescent="0.3">
      <c r="A79" s="114" t="s">
        <v>65</v>
      </c>
      <c r="B79" s="86">
        <f t="shared" ref="B79:C79" si="61">B77/B78</f>
        <v>9.1744660375566876E-4</v>
      </c>
      <c r="C79" s="86">
        <f t="shared" si="61"/>
        <v>6.5349213419816667E-4</v>
      </c>
      <c r="D79" s="86">
        <f t="shared" ref="D79:E79" si="62">D77/D78</f>
        <v>1.0526106137843379E-3</v>
      </c>
      <c r="E79" s="86">
        <f t="shared" si="62"/>
        <v>8.315431055844017E-4</v>
      </c>
      <c r="F79" s="86">
        <v>1.2784891407594358E-3</v>
      </c>
      <c r="G79" s="86">
        <v>1.2784891407594358E-3</v>
      </c>
      <c r="H79" s="86">
        <f t="shared" ref="H79:K79" si="63">H77/H78</f>
        <v>5.4313987136833915E-3</v>
      </c>
      <c r="I79" s="86">
        <f t="shared" si="63"/>
        <v>5.3552407009866384E-3</v>
      </c>
      <c r="J79" s="86">
        <f t="shared" si="63"/>
        <v>5.4556613364891019E-3</v>
      </c>
      <c r="K79" s="86">
        <f t="shared" si="63"/>
        <v>5.2201970337088371E-3</v>
      </c>
      <c r="L79" s="86">
        <f t="shared" ref="L79:N79" si="64">L77/L78</f>
        <v>5.579299791476363E-3</v>
      </c>
      <c r="M79" s="86">
        <f t="shared" si="64"/>
        <v>3.9242039274886929E-3</v>
      </c>
      <c r="N79" s="86">
        <f t="shared" si="64"/>
        <v>7.2775289986278108E-3</v>
      </c>
      <c r="O79" s="86">
        <v>7.2775289986278108E-3</v>
      </c>
      <c r="P79" s="86">
        <v>1.8298630001503582E-3</v>
      </c>
      <c r="Q79" s="86">
        <v>2.4715101590868449E-3</v>
      </c>
      <c r="R79" s="86">
        <f t="shared" ref="R79:AE79" si="65">R77/R78</f>
        <v>1.6201135048247467E-3</v>
      </c>
      <c r="S79" s="86">
        <f t="shared" si="65"/>
        <v>1.7332873720824476E-3</v>
      </c>
      <c r="T79" s="86">
        <f t="shared" si="65"/>
        <v>1.5728846878716094E-3</v>
      </c>
      <c r="U79" s="86">
        <f t="shared" si="65"/>
        <v>1.4489749196068477E-3</v>
      </c>
      <c r="V79" s="86">
        <f t="shared" si="65"/>
        <v>1.6798047971115146E-3</v>
      </c>
      <c r="W79" s="86">
        <f t="shared" si="65"/>
        <v>1.6798047971115146E-3</v>
      </c>
      <c r="X79" s="86">
        <f t="shared" si="65"/>
        <v>1.6995410491371637E-3</v>
      </c>
      <c r="Y79" s="86">
        <f t="shared" si="65"/>
        <v>1.6760583717479285E-3</v>
      </c>
      <c r="Z79" s="86">
        <f t="shared" si="65"/>
        <v>1.7069541785509187E-3</v>
      </c>
      <c r="AA79" s="86">
        <f t="shared" si="65"/>
        <v>1.7721163188869425E-3</v>
      </c>
      <c r="AB79" s="86">
        <f t="shared" si="65"/>
        <v>1.6730560750595946E-3</v>
      </c>
      <c r="AC79" s="86">
        <f t="shared" si="65"/>
        <v>2.0497359935428292E-3</v>
      </c>
      <c r="AD79" s="86">
        <f t="shared" si="65"/>
        <v>1.2915183366116762E-3</v>
      </c>
      <c r="AE79" s="86">
        <f t="shared" si="65"/>
        <v>1.2915183366116762E-3</v>
      </c>
      <c r="AF79" s="47" t="e">
        <f t="shared" ref="AF79:AW79" si="66">AF77/AF78</f>
        <v>#REF!</v>
      </c>
      <c r="AG79" s="47" t="e">
        <f t="shared" si="66"/>
        <v>#REF!</v>
      </c>
      <c r="AH79" s="47" t="e">
        <f t="shared" si="66"/>
        <v>#REF!</v>
      </c>
      <c r="AI79" s="47" t="e">
        <f t="shared" si="66"/>
        <v>#REF!</v>
      </c>
      <c r="AJ79" s="47" t="e">
        <f t="shared" si="66"/>
        <v>#REF!</v>
      </c>
      <c r="AK79" s="47" t="e">
        <f t="shared" si="66"/>
        <v>#REF!</v>
      </c>
      <c r="AL79" s="47" t="e">
        <f t="shared" si="66"/>
        <v>#REF!</v>
      </c>
      <c r="AM79" s="47" t="e">
        <f t="shared" si="66"/>
        <v>#REF!</v>
      </c>
      <c r="AN79" s="47" t="e">
        <f t="shared" si="66"/>
        <v>#REF!</v>
      </c>
      <c r="AO79" s="47" t="e">
        <f t="shared" si="66"/>
        <v>#REF!</v>
      </c>
      <c r="AP79" s="47" t="e">
        <f t="shared" si="66"/>
        <v>#REF!</v>
      </c>
      <c r="AQ79" s="47" t="e">
        <f t="shared" si="66"/>
        <v>#REF!</v>
      </c>
      <c r="AR79" s="47" t="e">
        <f t="shared" si="66"/>
        <v>#REF!</v>
      </c>
      <c r="AS79" s="47" t="e">
        <f t="shared" si="66"/>
        <v>#REF!</v>
      </c>
      <c r="AT79" s="47" t="e">
        <f t="shared" si="66"/>
        <v>#REF!</v>
      </c>
      <c r="AU79" s="47" t="e">
        <f t="shared" si="66"/>
        <v>#REF!</v>
      </c>
      <c r="AV79" s="47" t="e">
        <f t="shared" si="66"/>
        <v>#REF!</v>
      </c>
      <c r="AW79" s="47" t="e">
        <f t="shared" si="66"/>
        <v>#REF!</v>
      </c>
    </row>
    <row r="80" spans="1:50" x14ac:dyDescent="0.25">
      <c r="U80" s="88"/>
      <c r="Z80" s="88"/>
      <c r="AA80" s="88"/>
      <c r="AD80" s="64"/>
      <c r="AE80" s="64"/>
    </row>
    <row r="81" spans="1:49" x14ac:dyDescent="0.25">
      <c r="U81" s="88"/>
      <c r="Z81" s="88"/>
      <c r="AA81" s="88"/>
      <c r="AD81" s="64"/>
      <c r="AE81" s="64"/>
    </row>
    <row r="82" spans="1:49" x14ac:dyDescent="0.25">
      <c r="A82" s="104" t="s">
        <v>256</v>
      </c>
      <c r="B82" s="194">
        <v>9357.3885649999993</v>
      </c>
      <c r="D82" s="194">
        <v>9362.6540050000003</v>
      </c>
      <c r="F82" s="76">
        <v>10255.70751762</v>
      </c>
      <c r="H82" s="194">
        <v>11794.155288000002</v>
      </c>
      <c r="J82" s="194">
        <v>12096.571881520002</v>
      </c>
      <c r="L82" s="194">
        <v>9416.8387125200006</v>
      </c>
      <c r="N82" s="194">
        <v>12096.571881029999</v>
      </c>
      <c r="P82" s="194">
        <v>10349.93432649</v>
      </c>
      <c r="R82" s="194">
        <v>9429.8639686699989</v>
      </c>
      <c r="T82" s="194">
        <v>9177</v>
      </c>
      <c r="U82" s="88"/>
      <c r="V82" s="194">
        <v>9622</v>
      </c>
      <c r="X82" s="194">
        <v>10829</v>
      </c>
      <c r="Z82" s="76">
        <v>11217</v>
      </c>
      <c r="AA82" s="88"/>
      <c r="AB82" s="76">
        <v>9864</v>
      </c>
      <c r="AD82" s="76">
        <v>10123</v>
      </c>
      <c r="AE82" s="64"/>
    </row>
    <row r="83" spans="1:49" x14ac:dyDescent="0.25">
      <c r="A83" s="27" t="s">
        <v>58</v>
      </c>
      <c r="B83" s="21">
        <f>B69</f>
        <v>191975.66068308055</v>
      </c>
      <c r="D83" s="21">
        <f>D69</f>
        <v>189015.33059410029</v>
      </c>
      <c r="F83" s="76">
        <f>+F69</f>
        <v>185341.97921875055</v>
      </c>
      <c r="H83" s="84">
        <f>+H69</f>
        <v>182801.32446267045</v>
      </c>
      <c r="J83" s="84">
        <f>+J69</f>
        <v>179422.8107928402</v>
      </c>
      <c r="K83" s="88"/>
      <c r="L83" s="84">
        <f>+L69</f>
        <v>175099.6848236009</v>
      </c>
      <c r="N83" s="84">
        <f>+N69</f>
        <v>170770.78701719031</v>
      </c>
      <c r="P83" s="84">
        <f>+P69</f>
        <v>167776.74037356983</v>
      </c>
      <c r="R83" s="84">
        <f>+R69</f>
        <v>165380.47727842</v>
      </c>
      <c r="T83" s="84">
        <f>+T69</f>
        <v>163626.93902489002</v>
      </c>
      <c r="U83" s="88"/>
      <c r="V83" s="84">
        <f>+V69</f>
        <v>161091.32188722002</v>
      </c>
      <c r="X83" s="84">
        <f>+X69</f>
        <v>160317.11283589993</v>
      </c>
      <c r="Z83" s="84">
        <f>+Z69</f>
        <v>157825.30723024005</v>
      </c>
      <c r="AA83" s="88"/>
      <c r="AB83" s="84">
        <f>+AB69</f>
        <v>154790.05446788989</v>
      </c>
      <c r="AD83" s="84">
        <f>+AD69</f>
        <v>151064.87579384015</v>
      </c>
      <c r="AE83" s="64"/>
    </row>
    <row r="84" spans="1:49" ht="30.75" thickBot="1" x14ac:dyDescent="0.3">
      <c r="A84" s="46" t="s">
        <v>279</v>
      </c>
      <c r="B84" s="86">
        <f>+B82/B83</f>
        <v>4.8742577739828541E-2</v>
      </c>
      <c r="C84" s="199"/>
      <c r="D84" s="86">
        <f>+D82/D83</f>
        <v>4.953383397829126E-2</v>
      </c>
      <c r="E84" s="199"/>
      <c r="F84" s="86">
        <f>+F82/F83</f>
        <v>5.533396999886174E-2</v>
      </c>
      <c r="G84" s="199"/>
      <c r="H84" s="86">
        <f>+H82/H83</f>
        <v>6.451898159199862E-2</v>
      </c>
      <c r="I84" s="86"/>
      <c r="J84" s="86">
        <f>+J82/J83</f>
        <v>6.7419364505924409E-2</v>
      </c>
      <c r="K84" s="86"/>
      <c r="L84" s="86">
        <f>+L82/L83</f>
        <v>5.3779872430991076E-2</v>
      </c>
      <c r="M84" s="86"/>
      <c r="N84" s="86">
        <f>+N82/N83</f>
        <v>7.0835135753121059E-2</v>
      </c>
      <c r="O84" s="86"/>
      <c r="P84" s="86">
        <f>+P82/P83</f>
        <v>6.1688731724343616E-2</v>
      </c>
      <c r="Q84" s="86"/>
      <c r="R84" s="86">
        <f>+R82/R83</f>
        <v>5.7019208819882108E-2</v>
      </c>
      <c r="S84" s="86"/>
      <c r="T84" s="86">
        <f>+T82/T83</f>
        <v>5.6084896867770934E-2</v>
      </c>
      <c r="U84" s="86"/>
      <c r="V84" s="86">
        <f>+V82/V83</f>
        <v>5.9730095248311132E-2</v>
      </c>
      <c r="W84" s="86"/>
      <c r="X84" s="86">
        <f>+X82/X83</f>
        <v>6.7547374128952342E-2</v>
      </c>
      <c r="Y84" s="86"/>
      <c r="Z84" s="86">
        <f>+Z82/Z83</f>
        <v>7.107225195282732E-2</v>
      </c>
      <c r="AA84" s="86"/>
      <c r="AB84" s="86">
        <f>+AB82/AB83</f>
        <v>6.3725024413931047E-2</v>
      </c>
      <c r="AC84" s="86"/>
      <c r="AD84" s="86">
        <f>+AD82/AD83</f>
        <v>6.701094444889337E-2</v>
      </c>
      <c r="AE84" s="64"/>
    </row>
    <row r="85" spans="1:49" x14ac:dyDescent="0.25">
      <c r="A85"/>
      <c r="F85" s="66"/>
      <c r="J85" s="88"/>
      <c r="K85" s="88"/>
      <c r="L85" s="88"/>
      <c r="U85" s="88"/>
      <c r="Z85" s="88"/>
      <c r="AA85" s="88"/>
      <c r="AD85" s="64"/>
      <c r="AE85" s="64"/>
    </row>
    <row r="86" spans="1:49" x14ac:dyDescent="0.25">
      <c r="A86" s="104" t="s">
        <v>257</v>
      </c>
      <c r="B86" s="194">
        <v>3447.9574218600001</v>
      </c>
      <c r="D86" s="194">
        <v>3536.7665228599999</v>
      </c>
      <c r="F86" s="76">
        <v>3073.23069192</v>
      </c>
      <c r="H86" s="194">
        <v>2255.3992108600005</v>
      </c>
      <c r="J86" s="194">
        <v>2332.0979001200012</v>
      </c>
      <c r="K86" s="88"/>
      <c r="L86" s="194">
        <v>2370.335254600001</v>
      </c>
      <c r="N86" s="194">
        <v>2332.0979003399998</v>
      </c>
      <c r="P86" s="194">
        <v>2109.5182357800009</v>
      </c>
      <c r="R86" s="194">
        <v>2123.4342917400008</v>
      </c>
      <c r="T86" s="194">
        <v>1998</v>
      </c>
      <c r="U86" s="88"/>
      <c r="V86" s="194">
        <v>1880</v>
      </c>
      <c r="X86" s="194">
        <v>1682</v>
      </c>
      <c r="Z86" s="76">
        <v>1649</v>
      </c>
      <c r="AA86" s="88"/>
      <c r="AB86" s="76">
        <v>1752</v>
      </c>
      <c r="AD86" s="76">
        <v>1647</v>
      </c>
      <c r="AE86" s="64"/>
    </row>
    <row r="87" spans="1:49" x14ac:dyDescent="0.25">
      <c r="A87" s="27" t="s">
        <v>58</v>
      </c>
      <c r="B87" s="21">
        <f>B69</f>
        <v>191975.66068308055</v>
      </c>
      <c r="D87" s="21">
        <f>D69</f>
        <v>189015.33059410029</v>
      </c>
      <c r="F87" s="76">
        <f>+F69</f>
        <v>185341.97921875055</v>
      </c>
      <c r="H87" s="84">
        <f>+H69</f>
        <v>182801.32446267045</v>
      </c>
      <c r="J87" s="84">
        <f>+J69</f>
        <v>179422.8107928402</v>
      </c>
      <c r="K87" s="88"/>
      <c r="L87" s="84">
        <f>+L69</f>
        <v>175099.6848236009</v>
      </c>
      <c r="N87" s="84">
        <f>+N83</f>
        <v>170770.78701719031</v>
      </c>
      <c r="P87" s="84">
        <f>+P83</f>
        <v>167776.74037356983</v>
      </c>
      <c r="R87" s="84">
        <f>+R83</f>
        <v>165380.47727842</v>
      </c>
      <c r="T87" s="84">
        <f>+T83</f>
        <v>163626.93902489002</v>
      </c>
      <c r="U87" s="88"/>
      <c r="V87" s="84">
        <f>+V83</f>
        <v>161091.32188722002</v>
      </c>
      <c r="X87" s="84">
        <f>+X83</f>
        <v>160317.11283589993</v>
      </c>
      <c r="Z87" s="84">
        <f>+Z83</f>
        <v>157825.30723024005</v>
      </c>
      <c r="AA87" s="88"/>
      <c r="AB87" s="84">
        <f>+AB83</f>
        <v>154790.05446788989</v>
      </c>
      <c r="AD87" s="84">
        <f>+AD83</f>
        <v>151064.87579384015</v>
      </c>
      <c r="AE87" s="64"/>
    </row>
    <row r="88" spans="1:49" ht="30.75" thickBot="1" x14ac:dyDescent="0.3">
      <c r="A88" s="46" t="s">
        <v>280</v>
      </c>
      <c r="B88" s="86">
        <f>+B86/B87</f>
        <v>1.7960388361689228E-2</v>
      </c>
      <c r="C88" s="199"/>
      <c r="D88" s="86">
        <f>+D86/D87</f>
        <v>1.8711532613484169E-2</v>
      </c>
      <c r="E88" s="199"/>
      <c r="F88" s="86">
        <f>+F86/F87</f>
        <v>1.6581406462120533E-2</v>
      </c>
      <c r="G88" s="199"/>
      <c r="H88" s="86">
        <f>+H86/H87</f>
        <v>1.2337980687446123E-2</v>
      </c>
      <c r="I88" s="86"/>
      <c r="J88" s="86">
        <f>+J86/J87</f>
        <v>1.2997778207881373E-2</v>
      </c>
      <c r="K88" s="86"/>
      <c r="L88" s="86">
        <f>+L86/L87</f>
        <v>1.353706179989945E-2</v>
      </c>
      <c r="M88" s="86"/>
      <c r="N88" s="86">
        <f>+N86/N87</f>
        <v>1.3656304693994552E-2</v>
      </c>
      <c r="O88" s="86"/>
      <c r="P88" s="86">
        <f>+P86/P87</f>
        <v>1.2573365241707348E-2</v>
      </c>
      <c r="Q88" s="86"/>
      <c r="R88" s="86">
        <f>+R86/R87</f>
        <v>1.2839691399397607E-2</v>
      </c>
      <c r="S88" s="86"/>
      <c r="T88" s="86">
        <f>+T86/T87</f>
        <v>1.2210703273597726E-2</v>
      </c>
      <c r="U88" s="86"/>
      <c r="V88" s="86">
        <f>+V86/V87</f>
        <v>1.1670398988445742E-2</v>
      </c>
      <c r="W88" s="86"/>
      <c r="X88" s="86">
        <f>+X86/X87</f>
        <v>1.0491705908661726E-2</v>
      </c>
      <c r="Y88" s="86"/>
      <c r="Z88" s="86">
        <f>+Z86/Z87</f>
        <v>1.0448260985130806E-2</v>
      </c>
      <c r="AA88" s="86"/>
      <c r="AB88" s="86">
        <f>+AB86/AB87</f>
        <v>1.1318556647729846E-2</v>
      </c>
      <c r="AC88" s="86"/>
      <c r="AD88" s="86">
        <f>+AD86/AD87</f>
        <v>1.0902600563798022E-2</v>
      </c>
      <c r="AE88" s="64"/>
    </row>
    <row r="89" spans="1:49" x14ac:dyDescent="0.25">
      <c r="U89" s="88"/>
      <c r="Z89" s="88"/>
      <c r="AA89" s="88"/>
      <c r="AD89" s="64"/>
      <c r="AE89" s="64"/>
    </row>
    <row r="90" spans="1:49" s="88" customFormat="1" x14ac:dyDescent="0.25">
      <c r="A90" s="116"/>
      <c r="B90" s="64"/>
      <c r="C90" s="64"/>
      <c r="D90" s="64"/>
      <c r="E90" s="64"/>
      <c r="F90" s="64"/>
      <c r="G90" s="64"/>
      <c r="H90" s="64"/>
      <c r="I90" s="64"/>
      <c r="J90" s="64"/>
      <c r="K90" s="64"/>
      <c r="L90" s="64"/>
      <c r="M90" s="64"/>
      <c r="N90" s="64"/>
      <c r="O90" s="64"/>
      <c r="Q90" s="64"/>
      <c r="R90" s="64"/>
      <c r="S90" s="64"/>
    </row>
    <row r="91" spans="1:49" s="88" customFormat="1" x14ac:dyDescent="0.25">
      <c r="A91" s="116" t="s">
        <v>182</v>
      </c>
      <c r="B91" s="119">
        <v>1006.0102174964384</v>
      </c>
      <c r="C91" s="119">
        <v>339.58669205479453</v>
      </c>
      <c r="D91" s="119">
        <v>666.42352544164385</v>
      </c>
      <c r="E91" s="119">
        <v>337.01167345260274</v>
      </c>
      <c r="F91" s="119">
        <v>329.41185198904111</v>
      </c>
      <c r="G91" s="119">
        <v>329.41185198904111</v>
      </c>
      <c r="H91" s="180">
        <v>1394.1130540846575</v>
      </c>
      <c r="I91" s="180">
        <v>318.77816993972601</v>
      </c>
      <c r="J91" s="119">
        <v>1087.4673891928767</v>
      </c>
      <c r="K91" s="119">
        <v>318.73082170958907</v>
      </c>
      <c r="L91" s="119">
        <v>768.73656748328767</v>
      </c>
      <c r="M91" s="119">
        <v>349.59010307232876</v>
      </c>
      <c r="N91" s="119">
        <v>419.01395936301367</v>
      </c>
      <c r="O91" s="119">
        <v>419.01395936301367</v>
      </c>
      <c r="P91" s="119">
        <v>1546.0770137841098</v>
      </c>
      <c r="Q91" s="119">
        <v>412.69191210958905</v>
      </c>
      <c r="R91" s="160">
        <f>+S91+T91</f>
        <v>1133.3851016745207</v>
      </c>
      <c r="S91" s="119">
        <v>387.03110889643835</v>
      </c>
      <c r="T91" s="119">
        <v>746.35399277808222</v>
      </c>
      <c r="U91" s="145">
        <v>379.862739260274</v>
      </c>
      <c r="V91" s="145">
        <v>366.49125351780822</v>
      </c>
      <c r="W91" s="145">
        <v>366.49125351780822</v>
      </c>
      <c r="X91" s="119">
        <v>1402.4195693207212</v>
      </c>
      <c r="Y91" s="145">
        <v>365.94773169379931</v>
      </c>
      <c r="Z91" s="119">
        <f>+AA91+AC91+AE91</f>
        <v>1036.4718376269218</v>
      </c>
      <c r="AA91" s="119">
        <v>355.41799307455125</v>
      </c>
      <c r="AB91" s="119">
        <f>+AC91+AE91</f>
        <v>681.05384455237049</v>
      </c>
      <c r="AC91" s="119">
        <v>349.90953925865438</v>
      </c>
      <c r="AD91" s="119">
        <f>+AE91</f>
        <v>331.14430529371612</v>
      </c>
      <c r="AE91" s="119">
        <v>331.14430529371612</v>
      </c>
      <c r="AF91" s="119">
        <f>+AG91+AI91+AK91+AM91</f>
        <v>1364.9845438539512</v>
      </c>
      <c r="AG91" s="119">
        <v>338.61131994470611</v>
      </c>
      <c r="AH91" s="119">
        <f>+AI91+AK91+AM91</f>
        <v>1026.3732239092451</v>
      </c>
      <c r="AI91" s="119">
        <v>338.13079094909472</v>
      </c>
      <c r="AJ91" s="119">
        <f>+AK91+AM91</f>
        <v>688.24243296015038</v>
      </c>
      <c r="AK91" s="119">
        <v>340.31680209739477</v>
      </c>
      <c r="AL91" s="119">
        <f>+AM91</f>
        <v>347.92563086275561</v>
      </c>
      <c r="AM91" s="119">
        <v>347.92563086275561</v>
      </c>
      <c r="AN91" s="119">
        <f>+AO91+AQ91+AS91+AU91</f>
        <v>1335.1516795813825</v>
      </c>
      <c r="AO91" s="119">
        <v>347.14204404689383</v>
      </c>
      <c r="AP91" s="119">
        <f>+AQ91+AS91+AU91</f>
        <v>988.00963553448855</v>
      </c>
      <c r="AQ91" s="119">
        <v>322.87944165142864</v>
      </c>
      <c r="AR91" s="119">
        <f>+AS91+AU91</f>
        <v>665.13019388305997</v>
      </c>
      <c r="AS91" s="119">
        <v>334.84618511951112</v>
      </c>
      <c r="AT91" s="119">
        <f>+AU91</f>
        <v>330.28400876354885</v>
      </c>
      <c r="AU91" s="119">
        <v>330.28400876354885</v>
      </c>
      <c r="AW91" s="119">
        <v>342.08681592489012</v>
      </c>
    </row>
    <row r="92" spans="1:49" s="88" customFormat="1" x14ac:dyDescent="0.25">
      <c r="A92" s="117" t="s">
        <v>168</v>
      </c>
      <c r="B92" s="123">
        <v>121.22328116266303</v>
      </c>
      <c r="C92" s="123">
        <v>44.31459590705753</v>
      </c>
      <c r="D92" s="123">
        <v>76.908685255605491</v>
      </c>
      <c r="E92" s="123">
        <v>29.175138388909588</v>
      </c>
      <c r="F92" s="123">
        <v>47.733546866695896</v>
      </c>
      <c r="G92" s="123">
        <v>47.733546866695896</v>
      </c>
      <c r="H92" s="181">
        <v>275.36158724644946</v>
      </c>
      <c r="I92" s="181">
        <v>40.264386986142078</v>
      </c>
      <c r="J92" s="123">
        <v>236.85845115497153</v>
      </c>
      <c r="K92" s="123">
        <v>29.244626444900824</v>
      </c>
      <c r="L92" s="123">
        <v>207.6138247100707</v>
      </c>
      <c r="M92" s="123">
        <v>45.578742400972601</v>
      </c>
      <c r="N92" s="123">
        <v>160.27383141443394</v>
      </c>
      <c r="O92" s="123">
        <v>160.27383141443394</v>
      </c>
      <c r="P92" s="123">
        <v>582.6380864572177</v>
      </c>
      <c r="Q92" s="123">
        <v>174.02464698921204</v>
      </c>
      <c r="R92" s="161">
        <f>+S92+T92</f>
        <v>408.61343946800559</v>
      </c>
      <c r="S92" s="123">
        <v>152.12196715726029</v>
      </c>
      <c r="T92" s="122">
        <v>256.49147231074528</v>
      </c>
      <c r="U92" s="146">
        <v>137.68996526690967</v>
      </c>
      <c r="V92" s="146">
        <v>118.8015070438356</v>
      </c>
      <c r="W92" s="146">
        <v>118.8015070438356</v>
      </c>
      <c r="X92" s="122">
        <v>394.45177677840388</v>
      </c>
      <c r="Y92" s="146">
        <v>111.20920581122454</v>
      </c>
      <c r="Z92" s="122">
        <f>+AA92+AC92+AE92</f>
        <v>283.24257096717935</v>
      </c>
      <c r="AA92" s="123">
        <f>(AA94*AA95/100*AA96/365)</f>
        <v>98.774666534643302</v>
      </c>
      <c r="AB92" s="122">
        <f>+AC92+AE92</f>
        <v>184.46790443253605</v>
      </c>
      <c r="AC92" s="123">
        <f>(AC94*AC95/100*AC96/365)</f>
        <v>98.466130508514127</v>
      </c>
      <c r="AD92" s="123">
        <f>+AE92</f>
        <v>86.001773924021919</v>
      </c>
      <c r="AE92" s="123">
        <f>(AE94*AE95/100*AE96/365)</f>
        <v>86.001773924021919</v>
      </c>
      <c r="AF92" s="122">
        <f>+AG92+AI92+AK92+AM92</f>
        <v>328.89163496248636</v>
      </c>
      <c r="AG92" s="123">
        <f>(AG94*AG95/100*AG96/365)</f>
        <v>76.976964896617986</v>
      </c>
      <c r="AH92" s="122">
        <f>+AI92+AK92+AM92</f>
        <v>251.91467006586839</v>
      </c>
      <c r="AI92" s="123">
        <f>(AI94*AI95/100*AI96/365)</f>
        <v>76.064469497428931</v>
      </c>
      <c r="AJ92" s="122">
        <f>+AK92+AM92</f>
        <v>175.85020056843945</v>
      </c>
      <c r="AK92" s="123">
        <f>(AK94*AK95/100*AK96/365)</f>
        <v>84.180605794366031</v>
      </c>
      <c r="AL92" s="123">
        <f>+AM92</f>
        <v>91.669594774073431</v>
      </c>
      <c r="AM92" s="123">
        <f>(AM94*AM95/100*AM96/365)</f>
        <v>91.669594774073431</v>
      </c>
      <c r="AN92" s="122">
        <f>+AO92+AQ92+AS92+AU92</f>
        <v>397.95525551793173</v>
      </c>
      <c r="AO92" s="123">
        <f>(AO94*AO95/100*AO96/365)</f>
        <v>105.07782731753728</v>
      </c>
      <c r="AP92" s="122">
        <f>+AQ92+AS92+AU92</f>
        <v>292.87742820039443</v>
      </c>
      <c r="AQ92" s="123">
        <f>(AQ94*AQ95/100*AQ96/365)</f>
        <v>98.75608835185119</v>
      </c>
      <c r="AR92" s="122">
        <f>+AS92+AU92</f>
        <v>194.12133984854322</v>
      </c>
      <c r="AS92" s="123">
        <f>(AS94*AS95/100*AS96/365)</f>
        <v>92.387076423888828</v>
      </c>
      <c r="AT92" s="123">
        <f>+AU92</f>
        <v>101.73426342465439</v>
      </c>
      <c r="AU92" s="123">
        <f>(AU94*AU95/100*AU96/365)</f>
        <v>101.73426342465439</v>
      </c>
      <c r="AV92" s="97"/>
      <c r="AW92" s="123">
        <f>(AW94*AW95/100*AW96/365)</f>
        <v>107.24226465157324</v>
      </c>
    </row>
    <row r="93" spans="1:49" s="88" customFormat="1" x14ac:dyDescent="0.25">
      <c r="A93" s="116" t="s">
        <v>185</v>
      </c>
      <c r="B93" s="119">
        <v>884.78693633377532</v>
      </c>
      <c r="C93" s="119">
        <v>295.27209614773699</v>
      </c>
      <c r="D93" s="119">
        <v>589.51484018603833</v>
      </c>
      <c r="E93" s="119">
        <v>307.83653506369313</v>
      </c>
      <c r="F93" s="119">
        <v>281.67830512234519</v>
      </c>
      <c r="G93" s="119">
        <v>281.67830512234519</v>
      </c>
      <c r="H93" s="180">
        <v>1118.751466838208</v>
      </c>
      <c r="I93" s="180">
        <v>278.51378295358393</v>
      </c>
      <c r="J93" s="119">
        <v>850.6089380379052</v>
      </c>
      <c r="K93" s="119">
        <v>289.48619526468826</v>
      </c>
      <c r="L93" s="119">
        <v>561.12274277321694</v>
      </c>
      <c r="M93" s="119">
        <v>304.01136067135616</v>
      </c>
      <c r="N93" s="119">
        <v>258.7401279485797</v>
      </c>
      <c r="O93" s="119">
        <v>258.7401279485797</v>
      </c>
      <c r="P93" s="119">
        <v>963.43892732689199</v>
      </c>
      <c r="Q93" s="119">
        <v>238.66726512037701</v>
      </c>
      <c r="R93" s="160">
        <f>+S93+T93</f>
        <v>724.77166220651497</v>
      </c>
      <c r="S93" s="119">
        <f t="shared" ref="S93" si="67">+S91-S92</f>
        <v>234.90914173917807</v>
      </c>
      <c r="T93" s="119">
        <v>489.86252046733694</v>
      </c>
      <c r="U93" s="145">
        <v>242.17277399336433</v>
      </c>
      <c r="V93" s="145">
        <v>247.6897464739726</v>
      </c>
      <c r="W93" s="145">
        <v>247.6897464739726</v>
      </c>
      <c r="X93" s="119">
        <v>1007.9677925423173</v>
      </c>
      <c r="Y93" s="145">
        <v>254.73852588257478</v>
      </c>
      <c r="Z93" s="119">
        <f t="shared" ref="Z93:AC93" si="68">+Z91-Z92</f>
        <v>753.22926665974251</v>
      </c>
      <c r="AA93" s="119">
        <f t="shared" si="68"/>
        <v>256.64332653990795</v>
      </c>
      <c r="AB93" s="119">
        <f t="shared" si="68"/>
        <v>496.58594011983445</v>
      </c>
      <c r="AC93" s="119">
        <f t="shared" si="68"/>
        <v>251.44340875014024</v>
      </c>
      <c r="AD93" s="119">
        <f>+AE93</f>
        <v>245.14253136969421</v>
      </c>
      <c r="AE93" s="119">
        <f t="shared" ref="AE93:AK93" si="69">+AE91-AE92</f>
        <v>245.14253136969421</v>
      </c>
      <c r="AF93" s="119">
        <f t="shared" si="69"/>
        <v>1036.092908891465</v>
      </c>
      <c r="AG93" s="119">
        <f t="shared" si="69"/>
        <v>261.63435504808814</v>
      </c>
      <c r="AH93" s="119">
        <f t="shared" si="69"/>
        <v>774.45855384337665</v>
      </c>
      <c r="AI93" s="119">
        <f t="shared" si="69"/>
        <v>262.06632145166577</v>
      </c>
      <c r="AJ93" s="119">
        <f t="shared" si="69"/>
        <v>512.39223239171088</v>
      </c>
      <c r="AK93" s="119">
        <f t="shared" si="69"/>
        <v>256.13619630302873</v>
      </c>
      <c r="AL93" s="119">
        <f>+AM93</f>
        <v>256.25603608868221</v>
      </c>
      <c r="AM93" s="119">
        <f t="shared" ref="AM93:AS93" si="70">+AM91-AM92</f>
        <v>256.25603608868221</v>
      </c>
      <c r="AN93" s="119">
        <f t="shared" si="70"/>
        <v>937.19642406345076</v>
      </c>
      <c r="AO93" s="119">
        <f t="shared" si="70"/>
        <v>242.06421672935653</v>
      </c>
      <c r="AP93" s="119">
        <f t="shared" si="70"/>
        <v>695.13220733409412</v>
      </c>
      <c r="AQ93" s="119">
        <f t="shared" si="70"/>
        <v>224.12335329957745</v>
      </c>
      <c r="AR93" s="119">
        <f t="shared" si="70"/>
        <v>471.00885403451673</v>
      </c>
      <c r="AS93" s="119">
        <f t="shared" si="70"/>
        <v>242.45910869562229</v>
      </c>
      <c r="AT93" s="119">
        <f>+AU93</f>
        <v>228.54974533889447</v>
      </c>
      <c r="AU93" s="119">
        <f>+AU91-AU92</f>
        <v>228.54974533889447</v>
      </c>
      <c r="AV93" s="119"/>
      <c r="AW93" s="119">
        <f>+AW91-AW92</f>
        <v>234.84455127331688</v>
      </c>
    </row>
    <row r="94" spans="1:49" s="88" customFormat="1" x14ac:dyDescent="0.25">
      <c r="A94" s="116" t="s">
        <v>186</v>
      </c>
      <c r="B94" s="119">
        <v>44052.213934065934</v>
      </c>
      <c r="C94" s="119">
        <v>45258.349000000002</v>
      </c>
      <c r="D94" s="119">
        <v>43439.150806629834</v>
      </c>
      <c r="E94" s="119">
        <v>44208.976000000002</v>
      </c>
      <c r="F94" s="119">
        <v>42660.771999999997</v>
      </c>
      <c r="G94" s="119">
        <v>42660.771999999997</v>
      </c>
      <c r="H94" s="180">
        <v>40085.278696721311</v>
      </c>
      <c r="I94" s="180">
        <v>41954.487999999998</v>
      </c>
      <c r="J94" s="119">
        <v>39455.342483636363</v>
      </c>
      <c r="K94" s="119">
        <v>40254.267999999996</v>
      </c>
      <c r="L94" s="119">
        <v>39053.696868852465</v>
      </c>
      <c r="M94" s="119">
        <v>39289.885000000002</v>
      </c>
      <c r="N94" s="119">
        <v>38820.076000000001</v>
      </c>
      <c r="O94" s="119">
        <v>38820.076000000001</v>
      </c>
      <c r="P94" s="119">
        <v>37463.456172602739</v>
      </c>
      <c r="Q94" s="119">
        <v>37581.042000000001</v>
      </c>
      <c r="R94" s="119">
        <f>(+S94*S96+U94*U96+W94*W96)/(S96+U96+W96)</f>
        <v>37423.830179487173</v>
      </c>
      <c r="S94" s="119">
        <v>37026.218999999997</v>
      </c>
      <c r="T94" s="119">
        <v>37625.930889502764</v>
      </c>
      <c r="U94" s="145">
        <v>37899.510999999999</v>
      </c>
      <c r="V94" s="145">
        <v>37349.311000000002</v>
      </c>
      <c r="W94" s="145">
        <v>37349.311000000002</v>
      </c>
      <c r="X94" s="119">
        <v>36917.802079399997</v>
      </c>
      <c r="Y94" s="145">
        <v>37076.507235200006</v>
      </c>
      <c r="Z94" s="119">
        <f>(+AA94+AC94+AE94)/3</f>
        <v>36864.900360799998</v>
      </c>
      <c r="AA94" s="119">
        <v>36969.599348999996</v>
      </c>
      <c r="AB94" s="119">
        <f>(+AC94+AE94)/2</f>
        <v>36812.550866699996</v>
      </c>
      <c r="AC94" s="119">
        <v>36910.894151799999</v>
      </c>
      <c r="AD94" s="119">
        <f>+AE94</f>
        <v>36714.2075816</v>
      </c>
      <c r="AE94" s="119">
        <v>36714.2075816</v>
      </c>
      <c r="AF94" s="119">
        <f>(+AG94+AI94+AK94+AM94)/4</f>
        <v>37027.2180353</v>
      </c>
      <c r="AG94" s="119">
        <v>37703.4248353</v>
      </c>
      <c r="AH94" s="119">
        <f>(+AI94+AK94+AM94)/3</f>
        <v>36801.815768633329</v>
      </c>
      <c r="AI94" s="119">
        <v>37256.4833153</v>
      </c>
      <c r="AJ94" s="119">
        <f>(+AK94+AM94)/2</f>
        <v>36574.481995299997</v>
      </c>
      <c r="AK94" s="119">
        <v>36700.813563000003</v>
      </c>
      <c r="AL94" s="119">
        <f>+AM94</f>
        <v>36448.150427599998</v>
      </c>
      <c r="AM94" s="119">
        <v>36448.150427599998</v>
      </c>
      <c r="AN94" s="119">
        <f>(+AO94+AQ94+AS94+AU94)/4</f>
        <v>37262.852339124998</v>
      </c>
      <c r="AO94" s="119">
        <v>37221.8623553</v>
      </c>
      <c r="AP94" s="119">
        <f>(+AQ94+AS94+AU94)/3</f>
        <v>37276.515667066669</v>
      </c>
      <c r="AQ94" s="119">
        <v>36962.645865900005</v>
      </c>
      <c r="AR94" s="119">
        <f>(+AS94+AU94)/2</f>
        <v>37433.450567649998</v>
      </c>
      <c r="AS94" s="119">
        <v>37430.661443800003</v>
      </c>
      <c r="AT94" s="119">
        <f>+AU94</f>
        <v>37436.239691499999</v>
      </c>
      <c r="AU94" s="119">
        <v>37436.239691499999</v>
      </c>
      <c r="AW94" s="119">
        <v>37652.391879399998</v>
      </c>
    </row>
    <row r="95" spans="1:49" s="91" customFormat="1" x14ac:dyDescent="0.25">
      <c r="A95" s="152" t="s">
        <v>184</v>
      </c>
      <c r="B95" s="162">
        <v>0.36530000000000001</v>
      </c>
      <c r="C95" s="162">
        <v>0.37969999999999998</v>
      </c>
      <c r="D95" s="162">
        <v>0.35870000000000002</v>
      </c>
      <c r="E95" s="162">
        <v>0.26469999999999999</v>
      </c>
      <c r="F95" s="162">
        <v>0.45378000000000002</v>
      </c>
      <c r="G95" s="162">
        <v>0.45378000000000002</v>
      </c>
      <c r="H95" s="182">
        <v>0.69335999999999998</v>
      </c>
      <c r="I95" s="182">
        <v>0.38179999999999997</v>
      </c>
      <c r="J95" s="162">
        <v>0.79801</v>
      </c>
      <c r="K95" s="162">
        <v>0.28822999999999999</v>
      </c>
      <c r="L95" s="162">
        <v>1.0606800000000001</v>
      </c>
      <c r="M95" s="162">
        <v>0.46529999999999999</v>
      </c>
      <c r="N95" s="162">
        <v>1.6559900000000001</v>
      </c>
      <c r="O95" s="162">
        <v>1.6559900000000001</v>
      </c>
      <c r="P95" s="162">
        <v>1.5542800000000001</v>
      </c>
      <c r="Q95" s="162">
        <v>1.8371600000000001</v>
      </c>
      <c r="R95" s="162">
        <v>1.45902</v>
      </c>
      <c r="S95" s="162">
        <v>1.63</v>
      </c>
      <c r="T95" s="144">
        <v>1.3744099999999999</v>
      </c>
      <c r="U95" s="144">
        <v>1.4572033333333332</v>
      </c>
      <c r="V95" s="144">
        <v>1.29</v>
      </c>
      <c r="W95" s="144">
        <v>1.29</v>
      </c>
      <c r="X95" s="144">
        <v>1.06</v>
      </c>
      <c r="Y95" s="144">
        <v>1.19</v>
      </c>
      <c r="Z95" s="144">
        <v>1.03</v>
      </c>
      <c r="AA95" s="144">
        <v>1.06</v>
      </c>
      <c r="AB95" s="144">
        <v>1.01</v>
      </c>
      <c r="AC95" s="144">
        <v>1.07</v>
      </c>
      <c r="AD95" s="144">
        <v>0.95</v>
      </c>
      <c r="AE95" s="144">
        <v>0.95</v>
      </c>
      <c r="AF95" s="144">
        <v>0.89</v>
      </c>
      <c r="AG95" s="144">
        <v>0.81</v>
      </c>
      <c r="AH95" s="144">
        <v>0.93600000000000005</v>
      </c>
      <c r="AI95" s="144">
        <v>0.81</v>
      </c>
      <c r="AJ95" s="144">
        <v>0.998</v>
      </c>
      <c r="AK95" s="144">
        <v>0.91999999999999993</v>
      </c>
      <c r="AL95" s="144">
        <v>1.02</v>
      </c>
      <c r="AM95" s="144">
        <v>1.02</v>
      </c>
      <c r="AN95" s="144">
        <v>1.0699999999999998</v>
      </c>
      <c r="AO95" s="144">
        <v>1.1199999999999999</v>
      </c>
      <c r="AP95" s="144">
        <v>1.0699999999999998</v>
      </c>
      <c r="AQ95" s="144">
        <v>1.06</v>
      </c>
      <c r="AR95" s="144">
        <v>1.0760000000000001</v>
      </c>
      <c r="AS95" s="144">
        <v>0.9900000000000001</v>
      </c>
      <c r="AT95" s="144">
        <v>1.0900000000000001</v>
      </c>
      <c r="AU95" s="144">
        <v>1.0900000000000001</v>
      </c>
      <c r="AV95" s="144">
        <v>1.29</v>
      </c>
      <c r="AW95" s="144">
        <v>1.1299999999999999</v>
      </c>
    </row>
    <row r="96" spans="1:49" s="91" customFormat="1" x14ac:dyDescent="0.25">
      <c r="A96" s="152" t="s">
        <v>183</v>
      </c>
      <c r="B96" s="152">
        <v>273</v>
      </c>
      <c r="C96" s="152">
        <v>92</v>
      </c>
      <c r="D96" s="152">
        <v>181</v>
      </c>
      <c r="E96" s="152">
        <v>91</v>
      </c>
      <c r="F96" s="152">
        <v>90</v>
      </c>
      <c r="G96" s="152">
        <v>90</v>
      </c>
      <c r="H96" s="183">
        <v>366</v>
      </c>
      <c r="I96" s="183">
        <v>92</v>
      </c>
      <c r="J96" s="152">
        <v>275</v>
      </c>
      <c r="K96" s="152">
        <v>92</v>
      </c>
      <c r="L96" s="152">
        <v>183</v>
      </c>
      <c r="M96" s="152">
        <v>91</v>
      </c>
      <c r="N96" s="152">
        <v>91</v>
      </c>
      <c r="O96" s="152">
        <v>91</v>
      </c>
      <c r="P96" s="152">
        <v>365</v>
      </c>
      <c r="Q96" s="152">
        <v>92</v>
      </c>
      <c r="R96" s="152">
        <v>273</v>
      </c>
      <c r="S96" s="152">
        <v>92</v>
      </c>
      <c r="T96" s="145">
        <v>181</v>
      </c>
      <c r="U96" s="145">
        <v>91</v>
      </c>
      <c r="V96" s="145">
        <v>90</v>
      </c>
      <c r="W96" s="145">
        <v>90</v>
      </c>
      <c r="X96" s="145">
        <v>365</v>
      </c>
      <c r="Y96" s="145">
        <v>92</v>
      </c>
      <c r="Z96" s="145">
        <v>273</v>
      </c>
      <c r="AA96" s="145">
        <v>92</v>
      </c>
      <c r="AB96" s="145">
        <v>181</v>
      </c>
      <c r="AC96" s="145">
        <v>91</v>
      </c>
      <c r="AD96" s="145">
        <v>90</v>
      </c>
      <c r="AE96" s="145">
        <v>90</v>
      </c>
      <c r="AF96" s="145">
        <v>365</v>
      </c>
      <c r="AG96" s="145">
        <v>92</v>
      </c>
      <c r="AH96" s="145">
        <v>273</v>
      </c>
      <c r="AI96" s="145">
        <v>92</v>
      </c>
      <c r="AJ96" s="145">
        <v>181</v>
      </c>
      <c r="AK96" s="145">
        <v>91</v>
      </c>
      <c r="AL96" s="145">
        <v>90</v>
      </c>
      <c r="AM96" s="145">
        <v>90</v>
      </c>
      <c r="AN96" s="145">
        <v>365</v>
      </c>
      <c r="AO96" s="145">
        <v>92</v>
      </c>
      <c r="AP96" s="145">
        <v>274</v>
      </c>
      <c r="AQ96" s="145">
        <v>92</v>
      </c>
      <c r="AR96" s="145">
        <v>182</v>
      </c>
      <c r="AS96" s="145">
        <v>91</v>
      </c>
      <c r="AT96" s="145">
        <v>91</v>
      </c>
      <c r="AU96" s="145">
        <v>91</v>
      </c>
      <c r="AW96" s="145">
        <v>92</v>
      </c>
    </row>
    <row r="97" spans="1:49" s="143" customFormat="1" ht="15.75" thickBot="1" x14ac:dyDescent="0.3">
      <c r="A97" s="121" t="s">
        <v>169</v>
      </c>
      <c r="B97" s="124">
        <v>2.6853517388956444E-2</v>
      </c>
      <c r="C97" s="124">
        <v>2.5983841822711802E-2</v>
      </c>
      <c r="D97" s="124">
        <v>2.7367032331410499E-2</v>
      </c>
      <c r="E97" s="124">
        <v>2.8029372517504283E-2</v>
      </c>
      <c r="F97" s="124">
        <v>2.6777809253390912E-2</v>
      </c>
      <c r="G97" s="124">
        <v>2.6777809253390912E-2</v>
      </c>
      <c r="H97" s="184">
        <v>2.7909284984707215E-2</v>
      </c>
      <c r="I97" s="184">
        <v>2.6409581839225951E-2</v>
      </c>
      <c r="J97" s="124">
        <v>2.8614377013717822E-2</v>
      </c>
      <c r="K97" s="124">
        <v>2.8531260680777035E-2</v>
      </c>
      <c r="L97" s="124">
        <v>2.8557446817615219E-2</v>
      </c>
      <c r="M97" s="124">
        <v>3.1035627283424891E-2</v>
      </c>
      <c r="N97" s="124">
        <v>2.6733688257169919E-2</v>
      </c>
      <c r="O97" s="124">
        <v>2.6733688257169919E-2</v>
      </c>
      <c r="P97" s="124">
        <v>2.5716765770037547E-2</v>
      </c>
      <c r="Q97" s="124">
        <v>2.5195853597435137E-2</v>
      </c>
      <c r="R97" s="124">
        <f>R93/R94*365/R96-0.0001</f>
        <v>2.579304870403128E-2</v>
      </c>
      <c r="S97" s="124">
        <f t="shared" ref="S97" si="71">S93/S94*365/S96</f>
        <v>2.5170717167956741E-2</v>
      </c>
      <c r="T97" s="124">
        <v>2.6104348686567927E-2</v>
      </c>
      <c r="U97" s="124">
        <v>2.5629679898722429E-2</v>
      </c>
      <c r="V97" s="124">
        <v>2.6895262602479243E-2</v>
      </c>
      <c r="W97" s="124">
        <v>2.6895262602479243E-2</v>
      </c>
      <c r="X97" s="124">
        <v>2.7303028234846077E-2</v>
      </c>
      <c r="Y97" s="124">
        <v>2.7258430953534207E-2</v>
      </c>
      <c r="Z97" s="124">
        <f t="shared" ref="Z97:AW97" si="72">Z93/Z94*365/Z96</f>
        <v>2.7317713070869096E-2</v>
      </c>
      <c r="AA97" s="124">
        <f t="shared" si="72"/>
        <v>2.7541669911574852E-2</v>
      </c>
      <c r="AB97" s="124">
        <f t="shared" si="72"/>
        <v>2.7202749139977476E-2</v>
      </c>
      <c r="AC97" s="124">
        <f t="shared" si="72"/>
        <v>2.7323552370059515E-2</v>
      </c>
      <c r="AD97" s="124">
        <f t="shared" si="72"/>
        <v>2.7079139670648143E-2</v>
      </c>
      <c r="AE97" s="124">
        <f t="shared" si="72"/>
        <v>2.7079139670648143E-2</v>
      </c>
      <c r="AF97" s="124">
        <f t="shared" si="72"/>
        <v>2.7981926913971854E-2</v>
      </c>
      <c r="AG97" s="124">
        <f t="shared" si="72"/>
        <v>2.7530811051536069E-2</v>
      </c>
      <c r="AH97" s="124">
        <f t="shared" si="72"/>
        <v>2.8135792433551642E-2</v>
      </c>
      <c r="AI97" s="124">
        <f t="shared" si="72"/>
        <v>2.7907079583723959E-2</v>
      </c>
      <c r="AJ97" s="124">
        <f t="shared" si="72"/>
        <v>2.8251313411653302E-2</v>
      </c>
      <c r="AK97" s="124">
        <f t="shared" si="72"/>
        <v>2.7992825470324362E-2</v>
      </c>
      <c r="AL97" s="124">
        <f t="shared" si="72"/>
        <v>2.8513397212527151E-2</v>
      </c>
      <c r="AM97" s="124">
        <f t="shared" si="72"/>
        <v>2.8513397212527151E-2</v>
      </c>
      <c r="AN97" s="124">
        <f t="shared" si="72"/>
        <v>2.5150957729540731E-2</v>
      </c>
      <c r="AO97" s="124">
        <f t="shared" si="72"/>
        <v>2.5801059049079825E-2</v>
      </c>
      <c r="AP97" s="124">
        <f t="shared" si="72"/>
        <v>2.4841304690679675E-2</v>
      </c>
      <c r="AQ97" s="124">
        <f t="shared" si="72"/>
        <v>2.4056314751058971E-2</v>
      </c>
      <c r="AR97" s="124">
        <f t="shared" si="72"/>
        <v>2.5234266531170797E-2</v>
      </c>
      <c r="AS97" s="124">
        <f t="shared" si="72"/>
        <v>2.5981395547938296E-2</v>
      </c>
      <c r="AT97" s="124">
        <f t="shared" si="72"/>
        <v>2.4487248841575941E-2</v>
      </c>
      <c r="AU97" s="124">
        <f t="shared" si="72"/>
        <v>2.4487248841575941E-2</v>
      </c>
      <c r="AV97" s="124"/>
      <c r="AW97" s="124">
        <f t="shared" si="72"/>
        <v>2.4745313221521476E-2</v>
      </c>
    </row>
    <row r="98" spans="1:49" s="88" customFormat="1" x14ac:dyDescent="0.25">
      <c r="A98" s="116"/>
      <c r="B98" s="142"/>
      <c r="C98" s="142"/>
      <c r="D98" s="142"/>
      <c r="E98" s="142"/>
      <c r="F98" s="142"/>
      <c r="G98" s="142"/>
      <c r="H98" s="185"/>
      <c r="I98" s="185"/>
      <c r="J98" s="142"/>
      <c r="K98" s="142"/>
      <c r="L98" s="142"/>
      <c r="M98" s="142"/>
      <c r="N98" s="142"/>
      <c r="O98" s="142"/>
      <c r="P98" s="142"/>
      <c r="Q98" s="142"/>
      <c r="R98" s="157"/>
      <c r="S98" s="157"/>
      <c r="T98" s="142"/>
      <c r="U98" s="142"/>
      <c r="V98" s="142"/>
      <c r="W98" s="142"/>
      <c r="X98" s="142"/>
      <c r="Y98" s="142"/>
      <c r="Z98" s="14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row>
    <row r="99" spans="1:49" s="88" customFormat="1" x14ac:dyDescent="0.25">
      <c r="A99" s="116"/>
      <c r="B99" s="91"/>
      <c r="C99" s="91"/>
      <c r="D99" s="91"/>
      <c r="E99" s="91"/>
      <c r="F99" s="91"/>
      <c r="G99" s="91"/>
      <c r="H99" s="186"/>
      <c r="I99" s="186"/>
      <c r="J99" s="91"/>
      <c r="K99" s="91"/>
      <c r="L99" s="91"/>
      <c r="M99" s="91"/>
      <c r="N99" s="91"/>
      <c r="O99" s="91"/>
      <c r="P99" s="91"/>
      <c r="Q99" s="91"/>
      <c r="R99" s="64"/>
      <c r="S99" s="74"/>
      <c r="U99" s="91"/>
      <c r="V99" s="91"/>
      <c r="W99" s="91"/>
      <c r="Y99" s="91"/>
    </row>
    <row r="100" spans="1:49" s="88" customFormat="1" x14ac:dyDescent="0.25">
      <c r="A100" s="116" t="s">
        <v>170</v>
      </c>
      <c r="B100" s="120">
        <v>1960.6397313123289</v>
      </c>
      <c r="C100" s="120">
        <v>656.15402261698625</v>
      </c>
      <c r="D100" s="120">
        <v>1304.4857086953425</v>
      </c>
      <c r="E100" s="120">
        <v>651.23020273095892</v>
      </c>
      <c r="F100" s="120">
        <v>653.25550596438359</v>
      </c>
      <c r="G100" s="120">
        <v>653.25550596438359</v>
      </c>
      <c r="H100" s="187">
        <v>3076.6128287183565</v>
      </c>
      <c r="I100" s="187">
        <v>679.37550495013704</v>
      </c>
      <c r="J100" s="120">
        <v>2410.9792631199998</v>
      </c>
      <c r="K100" s="120">
        <v>676.19914330520555</v>
      </c>
      <c r="L100" s="120">
        <v>1734.7801198147945</v>
      </c>
      <c r="M100" s="120">
        <v>748.193699450959</v>
      </c>
      <c r="N100" s="120">
        <v>982.84448101205476</v>
      </c>
      <c r="O100" s="120">
        <v>982.84448101205476</v>
      </c>
      <c r="P100" s="120">
        <v>3518.427863506301</v>
      </c>
      <c r="Q100" s="120">
        <v>966.26138101041079</v>
      </c>
      <c r="R100" s="119">
        <f>+S100+U100+W100</f>
        <v>2552.1664824958902</v>
      </c>
      <c r="S100" s="120">
        <v>908.88589183013698</v>
      </c>
      <c r="T100" s="119">
        <v>1643.2805906657534</v>
      </c>
      <c r="U100" s="147">
        <v>838.86738292876714</v>
      </c>
      <c r="V100" s="147">
        <v>804.41320773698624</v>
      </c>
      <c r="W100" s="147">
        <v>804.41320773698624</v>
      </c>
      <c r="X100" s="119">
        <v>2966.0576116828252</v>
      </c>
      <c r="Y100" s="147">
        <v>794.98100662115428</v>
      </c>
      <c r="Z100" s="119">
        <f>+AA100+AC100+AE100</f>
        <v>2171.0766050616708</v>
      </c>
      <c r="AA100" s="120">
        <v>746.83804326178779</v>
      </c>
      <c r="AB100" s="119">
        <f>+AC100+AE100</f>
        <v>1424.238561799883</v>
      </c>
      <c r="AC100" s="120">
        <v>721.97889057938664</v>
      </c>
      <c r="AD100" s="120">
        <f>+AE100</f>
        <v>702.25967122049633</v>
      </c>
      <c r="AE100" s="120">
        <v>702.25967122049633</v>
      </c>
      <c r="AF100" s="119">
        <f>+AG100+AI100+AK100+AM100</f>
        <v>2751.5703919461707</v>
      </c>
      <c r="AG100" s="120">
        <v>711.79110565676967</v>
      </c>
      <c r="AH100" s="119">
        <f>+AI100+AK100+AM100</f>
        <v>2039.7792862894012</v>
      </c>
      <c r="AI100" s="120">
        <v>700.69733543239181</v>
      </c>
      <c r="AJ100" s="119">
        <f>+AK100+AM100</f>
        <v>1339.0819508570094</v>
      </c>
      <c r="AK100" s="120">
        <v>680.71058523128295</v>
      </c>
      <c r="AL100" s="120">
        <f>+AM100</f>
        <v>658.37136562572641</v>
      </c>
      <c r="AM100" s="120">
        <v>658.37136562572641</v>
      </c>
      <c r="AN100" s="119">
        <f>+AO100+AQ100+AS100+AU100</f>
        <v>2505.4823197714122</v>
      </c>
      <c r="AO100" s="120">
        <v>634.18606407138805</v>
      </c>
      <c r="AP100" s="119">
        <f>+AQ100+AS100+AU100</f>
        <v>1871.2962557000237</v>
      </c>
      <c r="AQ100" s="120">
        <v>625.92592092755365</v>
      </c>
      <c r="AR100" s="119">
        <f>+AS100+AU100</f>
        <v>1245.3703347724704</v>
      </c>
      <c r="AS100" s="120">
        <v>621.16455628699646</v>
      </c>
      <c r="AT100" s="120">
        <f>+AU100</f>
        <v>624.20577848547384</v>
      </c>
      <c r="AU100" s="120">
        <v>624.20577848547384</v>
      </c>
      <c r="AW100" s="120">
        <v>655.11574032550755</v>
      </c>
    </row>
    <row r="101" spans="1:49" s="88" customFormat="1" x14ac:dyDescent="0.25">
      <c r="A101" s="117" t="s">
        <v>168</v>
      </c>
      <c r="B101" s="122">
        <v>358.74564535914521</v>
      </c>
      <c r="C101" s="122">
        <v>127.15064254963286</v>
      </c>
      <c r="D101" s="122">
        <v>231.59500280951232</v>
      </c>
      <c r="E101" s="122">
        <v>86.556520761046571</v>
      </c>
      <c r="F101" s="122">
        <v>145.03848204846577</v>
      </c>
      <c r="G101" s="122">
        <v>145.03848204846577</v>
      </c>
      <c r="H101" s="188">
        <v>852.25583017410179</v>
      </c>
      <c r="I101" s="188">
        <v>123.42305432322192</v>
      </c>
      <c r="J101" s="122">
        <v>734.28252342990618</v>
      </c>
      <c r="K101" s="122">
        <v>91.047432408908477</v>
      </c>
      <c r="L101" s="122">
        <v>643.23509102099774</v>
      </c>
      <c r="M101" s="122">
        <v>141.85831375057808</v>
      </c>
      <c r="N101" s="122">
        <v>495.92702969139344</v>
      </c>
      <c r="O101" s="122">
        <v>495.92702969139344</v>
      </c>
      <c r="P101" s="122">
        <v>1795.924485960026</v>
      </c>
      <c r="Q101" s="122">
        <v>548.0101784358269</v>
      </c>
      <c r="R101" s="122">
        <f>+S101+U101+W101</f>
        <v>1247.9143075241991</v>
      </c>
      <c r="S101" s="122">
        <v>475.43585041205472</v>
      </c>
      <c r="T101" s="122">
        <v>772.47845711214427</v>
      </c>
      <c r="U101" s="148">
        <v>413.7539876107744</v>
      </c>
      <c r="V101" s="148">
        <v>358.72446950136987</v>
      </c>
      <c r="W101" s="148">
        <v>358.72446950136987</v>
      </c>
      <c r="X101" s="122">
        <v>1157.5902452593598</v>
      </c>
      <c r="Y101" s="148">
        <v>336.02491742977099</v>
      </c>
      <c r="Z101" s="122">
        <f>+AA101+AC101+AE101</f>
        <v>821.5653278295888</v>
      </c>
      <c r="AA101" s="122">
        <f>(+AA103*AA95/100*AA96/365)</f>
        <v>293.54161112564123</v>
      </c>
      <c r="AB101" s="122">
        <f>+AC101+AE101</f>
        <v>528.02371670394768</v>
      </c>
      <c r="AC101" s="122">
        <f>(+AC103*AC95/100*AC96/365)</f>
        <v>284.27339784624354</v>
      </c>
      <c r="AD101" s="122">
        <f>+AE101</f>
        <v>243.75031885770409</v>
      </c>
      <c r="AE101" s="122">
        <f>(+AE103*AE95/100*AE96/365)</f>
        <v>243.75031885770409</v>
      </c>
      <c r="AF101" s="122">
        <f>+AG101+AI101+AK101+AM101</f>
        <v>869.69591792894971</v>
      </c>
      <c r="AG101" s="122">
        <f>(+AG103*AG95/100*AG96/365)</f>
        <v>208.4554472964293</v>
      </c>
      <c r="AH101" s="122">
        <f>+AI101+AK101+AM101</f>
        <v>661.24047063252044</v>
      </c>
      <c r="AI101" s="122">
        <f>(+AI103*AI95/100*AI96/365)</f>
        <v>202.67954604456955</v>
      </c>
      <c r="AJ101" s="122">
        <f>+AK101+AM101</f>
        <v>458.56092458795092</v>
      </c>
      <c r="AK101" s="122">
        <f>(+AK103*AK95/100*AK96/365)</f>
        <v>221.39175644555581</v>
      </c>
      <c r="AL101" s="122">
        <f>+AM101</f>
        <v>237.16916814239508</v>
      </c>
      <c r="AM101" s="122">
        <f>(+AM103*AM95/100*AM96/365)</f>
        <v>237.16916814239508</v>
      </c>
      <c r="AN101" s="122">
        <f>+AO101+AQ101+AS101+AU101</f>
        <v>952.06086383130662</v>
      </c>
      <c r="AO101" s="122">
        <f>(+AO103*AO95/100*AO96/365)</f>
        <v>262.04731689416764</v>
      </c>
      <c r="AP101" s="122">
        <f>+AQ101+AS101+AU101</f>
        <v>690.01354693713904</v>
      </c>
      <c r="AQ101" s="122">
        <f>(+AQ103*AQ95/100*AQ96/365)</f>
        <v>241.16106612043885</v>
      </c>
      <c r="AR101" s="122">
        <f>+AS101+AU101</f>
        <v>448.85248081670022</v>
      </c>
      <c r="AS101" s="122">
        <f>(+AS103*AS95/100*AS96/365)</f>
        <v>216.35964675157715</v>
      </c>
      <c r="AT101" s="122">
        <f>+AU101</f>
        <v>232.49283406512305</v>
      </c>
      <c r="AU101" s="122">
        <f>(+AU103*AU95/100*AU96/365)</f>
        <v>232.49283406512305</v>
      </c>
      <c r="AV101" s="97"/>
      <c r="AW101" s="122">
        <f>(+AW103*AW95/100*AW96/365)</f>
        <v>239.5859035480776</v>
      </c>
    </row>
    <row r="102" spans="1:49" s="88" customFormat="1" x14ac:dyDescent="0.25">
      <c r="A102" s="116" t="s">
        <v>188</v>
      </c>
      <c r="B102" s="119">
        <v>1601.8940859531835</v>
      </c>
      <c r="C102" s="119">
        <v>529.00338006735342</v>
      </c>
      <c r="D102" s="119">
        <v>1072.8907058858301</v>
      </c>
      <c r="E102" s="119">
        <v>564.67368196991231</v>
      </c>
      <c r="F102" s="119">
        <v>508.21702391591782</v>
      </c>
      <c r="G102" s="119">
        <v>508.21702391591782</v>
      </c>
      <c r="H102" s="180">
        <v>2224.3569985442546</v>
      </c>
      <c r="I102" s="180">
        <v>555.95245062691515</v>
      </c>
      <c r="J102" s="119">
        <v>1676.6967396900936</v>
      </c>
      <c r="K102" s="119">
        <v>585.15171089629712</v>
      </c>
      <c r="L102" s="119">
        <v>1091.5450287937967</v>
      </c>
      <c r="M102" s="119">
        <v>606.33538570038093</v>
      </c>
      <c r="N102" s="119">
        <v>486.91745132066131</v>
      </c>
      <c r="O102" s="119">
        <v>486.91745132066131</v>
      </c>
      <c r="P102" s="119">
        <v>1722.503377546275</v>
      </c>
      <c r="Q102" s="119">
        <v>418.25120257458389</v>
      </c>
      <c r="R102" s="119">
        <f t="shared" ref="R102:S102" si="73">+R100-R101</f>
        <v>1304.2521749716911</v>
      </c>
      <c r="S102" s="119">
        <f t="shared" si="73"/>
        <v>433.45004141808226</v>
      </c>
      <c r="T102" s="119">
        <v>870.80213355360911</v>
      </c>
      <c r="U102" s="145">
        <v>425.11339531799274</v>
      </c>
      <c r="V102" s="145">
        <v>445.68873823561637</v>
      </c>
      <c r="W102" s="145">
        <v>445.68873823561637</v>
      </c>
      <c r="X102" s="119">
        <v>1808.4673664234654</v>
      </c>
      <c r="Y102" s="145">
        <v>458.95608919138328</v>
      </c>
      <c r="Z102" s="119">
        <f t="shared" ref="Z102:AC102" si="74">+Z100-Z101</f>
        <v>1349.511277232082</v>
      </c>
      <c r="AA102" s="119">
        <f t="shared" si="74"/>
        <v>453.29643213614656</v>
      </c>
      <c r="AB102" s="119">
        <f t="shared" si="74"/>
        <v>896.21484509593529</v>
      </c>
      <c r="AC102" s="119">
        <f t="shared" si="74"/>
        <v>437.7054927331431</v>
      </c>
      <c r="AD102" s="119">
        <f>+AE102</f>
        <v>458.50935236279224</v>
      </c>
      <c r="AE102" s="119">
        <f t="shared" ref="AE102:AK102" si="75">+AE100-AE101</f>
        <v>458.50935236279224</v>
      </c>
      <c r="AF102" s="119">
        <f t="shared" si="75"/>
        <v>1881.874474017221</v>
      </c>
      <c r="AG102" s="119">
        <f t="shared" si="75"/>
        <v>503.3356583603404</v>
      </c>
      <c r="AH102" s="119">
        <f t="shared" si="75"/>
        <v>1378.5388156568806</v>
      </c>
      <c r="AI102" s="119">
        <f t="shared" si="75"/>
        <v>498.01778938782229</v>
      </c>
      <c r="AJ102" s="119">
        <f t="shared" si="75"/>
        <v>880.52102626905844</v>
      </c>
      <c r="AK102" s="119">
        <f t="shared" si="75"/>
        <v>459.31882878572713</v>
      </c>
      <c r="AL102" s="119">
        <f>+AM102</f>
        <v>421.20219748333136</v>
      </c>
      <c r="AM102" s="119">
        <f t="shared" ref="AM102:AS102" si="76">+AM100-AM101</f>
        <v>421.20219748333136</v>
      </c>
      <c r="AN102" s="119">
        <f t="shared" si="76"/>
        <v>1553.4214559401057</v>
      </c>
      <c r="AO102" s="119">
        <f t="shared" si="76"/>
        <v>372.13874717722041</v>
      </c>
      <c r="AP102" s="119">
        <f t="shared" si="76"/>
        <v>1181.2827087628848</v>
      </c>
      <c r="AQ102" s="119">
        <f t="shared" si="76"/>
        <v>384.76485480711483</v>
      </c>
      <c r="AR102" s="119">
        <f t="shared" si="76"/>
        <v>796.51785395577019</v>
      </c>
      <c r="AS102" s="119">
        <f t="shared" si="76"/>
        <v>404.80490953541931</v>
      </c>
      <c r="AT102" s="119">
        <f>+AU102</f>
        <v>391.71294442035082</v>
      </c>
      <c r="AU102" s="119">
        <f>+AU100-AU101</f>
        <v>391.71294442035082</v>
      </c>
      <c r="AV102" s="119"/>
      <c r="AW102" s="119">
        <f>+AW100-AW101</f>
        <v>415.52983677742998</v>
      </c>
    </row>
    <row r="103" spans="1:49" s="88" customFormat="1" x14ac:dyDescent="0.25">
      <c r="A103" s="116" t="s">
        <v>171</v>
      </c>
      <c r="B103" s="119">
        <v>131561.68166666667</v>
      </c>
      <c r="C103" s="119">
        <v>133901.43400000001</v>
      </c>
      <c r="D103" s="119">
        <v>130391.8055</v>
      </c>
      <c r="E103" s="119">
        <v>131158.766</v>
      </c>
      <c r="F103" s="119">
        <v>129624.845</v>
      </c>
      <c r="G103" s="119">
        <v>129624.845</v>
      </c>
      <c r="H103" s="180">
        <v>123251.84275</v>
      </c>
      <c r="I103" s="180">
        <v>128252.371</v>
      </c>
      <c r="J103" s="119">
        <v>121585</v>
      </c>
      <c r="K103" s="119">
        <v>123823.80100000001</v>
      </c>
      <c r="L103" s="119">
        <v>121201.98050000001</v>
      </c>
      <c r="M103" s="119">
        <v>122285.007</v>
      </c>
      <c r="N103" s="119">
        <v>120118.954</v>
      </c>
      <c r="O103" s="119">
        <v>120118.954</v>
      </c>
      <c r="P103" s="119">
        <v>115182.12175000001</v>
      </c>
      <c r="Q103" s="119">
        <v>118344.11900000001</v>
      </c>
      <c r="R103" s="119">
        <f>(+S103+U103+W103)/3</f>
        <v>114128.12266666668</v>
      </c>
      <c r="S103" s="119">
        <v>115720.249</v>
      </c>
      <c r="T103" s="119">
        <v>113332.0595</v>
      </c>
      <c r="U103" s="145">
        <v>113886.83100000001</v>
      </c>
      <c r="V103" s="145">
        <v>112777.288</v>
      </c>
      <c r="W103" s="145">
        <v>112777.288</v>
      </c>
      <c r="X103" s="119">
        <v>108128.92543739999</v>
      </c>
      <c r="Y103" s="145">
        <v>112028.76768529999</v>
      </c>
      <c r="Z103" s="119">
        <f>(+AA103+AC103+AE103)/3</f>
        <v>106828.97802143333</v>
      </c>
      <c r="AA103" s="119">
        <v>109867.3995702</v>
      </c>
      <c r="AB103" s="119">
        <f>(+AC103+AE103)/2</f>
        <v>105309.76724705</v>
      </c>
      <c r="AC103" s="119">
        <v>106562.38082969999</v>
      </c>
      <c r="AD103" s="119">
        <f>+AE103</f>
        <v>104057.1536644</v>
      </c>
      <c r="AE103" s="119">
        <v>104057.1536644</v>
      </c>
      <c r="AF103" s="119">
        <f>(+AG103+AI103+AK103+AM103)/4</f>
        <v>98048.877501900002</v>
      </c>
      <c r="AG103" s="119">
        <v>102101.7690059</v>
      </c>
      <c r="AH103" s="119">
        <f>(+AI103+AK103+AM103)/3</f>
        <v>96697.913667233326</v>
      </c>
      <c r="AI103" s="119">
        <v>99272.7245119</v>
      </c>
      <c r="AJ103" s="119">
        <f>(+AK103+AM103)/2</f>
        <v>95410.508244900004</v>
      </c>
      <c r="AK103" s="119">
        <v>96521.728502900005</v>
      </c>
      <c r="AL103" s="119">
        <f>+AM103</f>
        <v>94299.287986900003</v>
      </c>
      <c r="AM103" s="119">
        <v>94299.287986900003</v>
      </c>
      <c r="AN103" s="119">
        <f>(+AO103+AQ103+AS103+AU103)/4</f>
        <v>89074.683581724996</v>
      </c>
      <c r="AO103" s="119">
        <v>92825.379140499994</v>
      </c>
      <c r="AP103" s="119">
        <f>(+AQ103+AS103+AU103)/3</f>
        <v>87824.451728800006</v>
      </c>
      <c r="AQ103" s="119">
        <v>90262.294025800002</v>
      </c>
      <c r="AR103" s="119">
        <f>(+AS103+AU103)/2</f>
        <v>86605.530580299994</v>
      </c>
      <c r="AS103" s="119">
        <v>87658.198539599995</v>
      </c>
      <c r="AT103" s="119">
        <f>+AU103</f>
        <v>85552.862621000007</v>
      </c>
      <c r="AU103" s="119">
        <v>85552.862621000007</v>
      </c>
      <c r="AW103" s="119">
        <v>84117.790299200002</v>
      </c>
    </row>
    <row r="104" spans="1:49" s="143" customFormat="1" ht="15.75" thickBot="1" x14ac:dyDescent="0.3">
      <c r="A104" s="121" t="s">
        <v>189</v>
      </c>
      <c r="B104" s="124">
        <v>1.6279257744682234E-2</v>
      </c>
      <c r="C104" s="124">
        <v>1.5673942745451298E-2</v>
      </c>
      <c r="D104" s="124">
        <v>1.6592792180132408E-2</v>
      </c>
      <c r="E104" s="124">
        <v>1.7268383976531326E-2</v>
      </c>
      <c r="F104" s="124">
        <v>1.5900519493543937E-2</v>
      </c>
      <c r="G104" s="124">
        <v>1.5900519493543937E-2</v>
      </c>
      <c r="H104" s="184">
        <v>1.8047251456159302E-2</v>
      </c>
      <c r="I104" s="184">
        <v>1.7245091552092594E-2</v>
      </c>
      <c r="J104" s="124">
        <v>1.8303523086711029E-2</v>
      </c>
      <c r="K104" s="124">
        <v>1.8748623372773235E-2</v>
      </c>
      <c r="L104" s="124">
        <v>1.7962786760355735E-2</v>
      </c>
      <c r="M104" s="124">
        <v>1.988800286054701E-2</v>
      </c>
      <c r="N104" s="124">
        <v>1.6259053891744254E-2</v>
      </c>
      <c r="O104" s="124">
        <v>1.6259053891744254E-2</v>
      </c>
      <c r="P104" s="124">
        <v>1.4954607115893618E-2</v>
      </c>
      <c r="Q104" s="124">
        <v>1.4021534810085704E-2</v>
      </c>
      <c r="R104" s="124">
        <f t="shared" ref="R104:S104" si="77">R102/R103*365/R96</f>
        <v>1.5279147152448177E-2</v>
      </c>
      <c r="S104" s="124">
        <f t="shared" si="77"/>
        <v>1.4860544632869781E-2</v>
      </c>
      <c r="T104" s="124">
        <v>1.5494622257713898E-2</v>
      </c>
      <c r="U104" s="124">
        <v>1.4972101182134889E-2</v>
      </c>
      <c r="V104" s="124">
        <v>1.6027300092550548E-2</v>
      </c>
      <c r="W104" s="124">
        <v>1.6027300092550548E-2</v>
      </c>
      <c r="X104" s="124">
        <v>1.6725102548720481E-2</v>
      </c>
      <c r="Y104" s="124">
        <v>1.6253489482722441E-2</v>
      </c>
      <c r="Z104" s="124">
        <f t="shared" ref="Z104:AW104" si="78">Z102/Z103*365/Z96</f>
        <v>1.6889533793279787E-2</v>
      </c>
      <c r="AA104" s="124">
        <f t="shared" si="78"/>
        <v>1.636886219373699E-2</v>
      </c>
      <c r="AB104" s="124">
        <f t="shared" si="78"/>
        <v>1.7161599793966122E-2</v>
      </c>
      <c r="AC104" s="124">
        <f t="shared" si="78"/>
        <v>1.6475156689750456E-2</v>
      </c>
      <c r="AD104" s="124">
        <f t="shared" si="78"/>
        <v>1.7870084715619863E-2</v>
      </c>
      <c r="AE104" s="124">
        <f t="shared" si="78"/>
        <v>1.7870084715619863E-2</v>
      </c>
      <c r="AF104" s="124">
        <f t="shared" si="78"/>
        <v>1.9193228132374628E-2</v>
      </c>
      <c r="AG104" s="124">
        <f t="shared" si="78"/>
        <v>1.9558226400872732E-2</v>
      </c>
      <c r="AH104" s="124">
        <f t="shared" si="78"/>
        <v>1.9060404480733529E-2</v>
      </c>
      <c r="AI104" s="124">
        <f t="shared" si="78"/>
        <v>1.9903064580351338E-2</v>
      </c>
      <c r="AJ104" s="124">
        <f t="shared" si="78"/>
        <v>1.8610490147836112E-2</v>
      </c>
      <c r="AK104" s="124">
        <f t="shared" si="78"/>
        <v>1.9087129948616097E-2</v>
      </c>
      <c r="AL104" s="124">
        <f t="shared" si="78"/>
        <v>1.8114759384535717E-2</v>
      </c>
      <c r="AM104" s="124">
        <f t="shared" si="78"/>
        <v>1.8114759384535717E-2</v>
      </c>
      <c r="AN104" s="124">
        <f t="shared" si="78"/>
        <v>1.7439539423284724E-2</v>
      </c>
      <c r="AO104" s="124">
        <f t="shared" si="78"/>
        <v>1.5905348765956527E-2</v>
      </c>
      <c r="AP104" s="124">
        <f t="shared" si="78"/>
        <v>1.7917635659779649E-2</v>
      </c>
      <c r="AQ104" s="124">
        <f t="shared" si="78"/>
        <v>1.6911964798325119E-2</v>
      </c>
      <c r="AR104" s="124">
        <f t="shared" si="78"/>
        <v>1.8444690182406579E-2</v>
      </c>
      <c r="AS104" s="124">
        <f t="shared" si="78"/>
        <v>1.8522717450182004E-2</v>
      </c>
      <c r="AT104" s="124">
        <f t="shared" si="78"/>
        <v>1.8364742773043303E-2</v>
      </c>
      <c r="AU104" s="124">
        <f t="shared" si="78"/>
        <v>1.8364742773043303E-2</v>
      </c>
      <c r="AV104" s="124"/>
      <c r="AW104" s="124">
        <f t="shared" si="78"/>
        <v>1.9598344836021277E-2</v>
      </c>
    </row>
    <row r="105" spans="1:49" x14ac:dyDescent="0.25">
      <c r="A105" s="116"/>
      <c r="B105" s="142"/>
      <c r="C105" s="142"/>
      <c r="D105" s="142"/>
      <c r="E105" s="142"/>
      <c r="F105" s="142"/>
      <c r="G105" s="142"/>
      <c r="H105" s="185"/>
      <c r="I105" s="185"/>
      <c r="J105" s="142"/>
      <c r="K105" s="142"/>
      <c r="L105" s="142"/>
      <c r="M105" s="142"/>
      <c r="N105" s="142"/>
      <c r="O105" s="142"/>
      <c r="P105" s="142"/>
      <c r="Q105" s="142"/>
      <c r="R105" s="157"/>
      <c r="S105" s="157"/>
      <c r="T105" s="142"/>
      <c r="U105" s="142"/>
      <c r="V105" s="142"/>
      <c r="W105" s="142"/>
      <c r="X105" s="142"/>
      <c r="Y105" s="142"/>
      <c r="Z105" s="14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row>
    <row r="106" spans="1:49" x14ac:dyDescent="0.25">
      <c r="A106" s="116"/>
      <c r="B106" s="88"/>
      <c r="C106" s="88"/>
      <c r="D106" s="88"/>
      <c r="E106" s="88"/>
      <c r="F106" s="88"/>
      <c r="G106" s="88"/>
      <c r="H106" s="189"/>
      <c r="I106" s="189"/>
      <c r="J106" s="88"/>
      <c r="K106" s="88"/>
      <c r="L106" s="88"/>
      <c r="M106" s="88"/>
      <c r="N106" s="88"/>
      <c r="O106" s="88"/>
      <c r="Q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row>
    <row r="107" spans="1:49" x14ac:dyDescent="0.25">
      <c r="A107" s="116" t="s">
        <v>172</v>
      </c>
      <c r="B107" s="119">
        <v>280.31700000000001</v>
      </c>
      <c r="C107" s="119">
        <v>101.569</v>
      </c>
      <c r="D107" s="119">
        <v>178.74799999999999</v>
      </c>
      <c r="E107" s="119">
        <v>87.088999999999999</v>
      </c>
      <c r="F107" s="119">
        <v>91.659000000000006</v>
      </c>
      <c r="G107" s="119">
        <v>91.659000000000006</v>
      </c>
      <c r="H107" s="180">
        <v>370.19799999999998</v>
      </c>
      <c r="I107" s="180">
        <v>71.724999999999994</v>
      </c>
      <c r="J107" s="119">
        <v>303.47299999999996</v>
      </c>
      <c r="K107" s="119">
        <v>60.923999999999999</v>
      </c>
      <c r="L107" s="119">
        <v>242.54899999999998</v>
      </c>
      <c r="M107" s="119">
        <v>78.632999999999996</v>
      </c>
      <c r="N107" s="119">
        <v>163.916</v>
      </c>
      <c r="O107" s="119">
        <v>163.916</v>
      </c>
      <c r="P107" s="119">
        <v>597.28700000000003</v>
      </c>
      <c r="Q107" s="119">
        <v>177.76</v>
      </c>
      <c r="R107" s="119">
        <f>+S107+U107+W107</f>
        <v>419.52699999999999</v>
      </c>
      <c r="S107" s="119">
        <v>156.03</v>
      </c>
      <c r="T107" s="119">
        <v>263.49700000000001</v>
      </c>
      <c r="U107" s="145">
        <v>143.404</v>
      </c>
      <c r="V107" s="145">
        <v>120.093</v>
      </c>
      <c r="W107" s="145">
        <v>120.093</v>
      </c>
      <c r="X107" s="119">
        <v>423.09941570000001</v>
      </c>
      <c r="Y107" s="145">
        <v>117.4770611</v>
      </c>
      <c r="Z107" s="119">
        <f>+AA107+AC107+AE107</f>
        <v>305.62235459999999</v>
      </c>
      <c r="AA107" s="119">
        <v>107.5207815</v>
      </c>
      <c r="AB107" s="119">
        <f>+AC107+AE107</f>
        <v>198.1015731</v>
      </c>
      <c r="AC107" s="119">
        <v>106.3496062</v>
      </c>
      <c r="AD107" s="119">
        <f>+AE107</f>
        <v>91.751966899999999</v>
      </c>
      <c r="AE107" s="119">
        <v>91.751966899999999</v>
      </c>
      <c r="AF107" s="119">
        <f>+AG107+AI107+AK107+AM107</f>
        <v>355.94395169999996</v>
      </c>
      <c r="AG107" s="119">
        <v>87.835931400000007</v>
      </c>
      <c r="AH107" s="119">
        <f>+AI107+AK107+AM107</f>
        <v>268.10802029999996</v>
      </c>
      <c r="AI107" s="119">
        <v>88.483626399999991</v>
      </c>
      <c r="AJ107" s="119">
        <f>+AK107+AM107</f>
        <v>179.62439389999997</v>
      </c>
      <c r="AK107" s="119">
        <v>92.454906499999993</v>
      </c>
      <c r="AL107" s="119">
        <f>+AM107</f>
        <v>87.169487399999994</v>
      </c>
      <c r="AM107" s="119">
        <v>87.169487399999994</v>
      </c>
      <c r="AN107" s="119">
        <f>+AO107+AQ107+AS107+AU107</f>
        <v>355.90442140000005</v>
      </c>
      <c r="AO107" s="119">
        <v>94.882983800000005</v>
      </c>
      <c r="AP107" s="119">
        <f>+AQ107+AS107+AU107</f>
        <v>261.02143760000001</v>
      </c>
      <c r="AQ107" s="119">
        <v>87.860594700000007</v>
      </c>
      <c r="AR107" s="119">
        <f>+AS107+AU107</f>
        <v>173.16084290000001</v>
      </c>
      <c r="AS107" s="119">
        <v>85.4067893</v>
      </c>
      <c r="AT107" s="119">
        <f>+AU107</f>
        <v>87.754053600000006</v>
      </c>
      <c r="AU107" s="119">
        <v>87.754053600000006</v>
      </c>
      <c r="AV107" s="88"/>
      <c r="AW107" s="119">
        <v>102.729274</v>
      </c>
    </row>
    <row r="108" spans="1:49" x14ac:dyDescent="0.25">
      <c r="A108" s="117" t="s">
        <v>168</v>
      </c>
      <c r="B108" s="122">
        <v>147.94898994721098</v>
      </c>
      <c r="C108" s="122">
        <v>55.893776116306846</v>
      </c>
      <c r="D108" s="122">
        <v>92.055213830904123</v>
      </c>
      <c r="E108" s="122">
        <v>36.301824301457536</v>
      </c>
      <c r="F108" s="122">
        <v>55.753389529446586</v>
      </c>
      <c r="G108" s="122">
        <v>55.753389529446586</v>
      </c>
      <c r="H108" s="188">
        <v>300.7878030552348</v>
      </c>
      <c r="I108" s="188">
        <v>46.070725443409827</v>
      </c>
      <c r="J108" s="122">
        <v>256.59184580433646</v>
      </c>
      <c r="K108" s="122">
        <v>33.758908489798351</v>
      </c>
      <c r="L108" s="122">
        <v>222.8329373145381</v>
      </c>
      <c r="M108" s="122">
        <v>50.354263603479446</v>
      </c>
      <c r="N108" s="122">
        <v>170.60390551854715</v>
      </c>
      <c r="O108" s="122">
        <v>170.60390551854715</v>
      </c>
      <c r="P108" s="122">
        <v>626.57195245953449</v>
      </c>
      <c r="Q108" s="122">
        <v>193.12598506114634</v>
      </c>
      <c r="R108" s="122">
        <f>+S108+U108+W108</f>
        <v>433.44596739838812</v>
      </c>
      <c r="S108" s="122">
        <v>165.37595373589042</v>
      </c>
      <c r="T108" s="122">
        <v>268.07001366249773</v>
      </c>
      <c r="U108" s="148">
        <v>146.38139861592236</v>
      </c>
      <c r="V108" s="148">
        <v>121.68861504657535</v>
      </c>
      <c r="W108" s="148">
        <v>121.68861504657535</v>
      </c>
      <c r="X108" s="122">
        <v>407.52205748696161</v>
      </c>
      <c r="Y108" s="148">
        <v>115.36585771580414</v>
      </c>
      <c r="Z108" s="122">
        <f>+AA108+AC108+AE108</f>
        <v>292.15619977115745</v>
      </c>
      <c r="AA108" s="122">
        <f>(AA110*AA95/100*AA96/365)</f>
        <v>102.71740673073579</v>
      </c>
      <c r="AB108" s="122">
        <f>+AC108+AE108</f>
        <v>189.43879304042167</v>
      </c>
      <c r="AC108" s="122">
        <f>(AC110*AC95/100*AC96/365)</f>
        <v>102.12988326961346</v>
      </c>
      <c r="AD108" s="122">
        <f>+AE108</f>
        <v>87.308909770808199</v>
      </c>
      <c r="AE108" s="122">
        <f>(AE110*AE95/100*AE96/365)</f>
        <v>87.308909770808199</v>
      </c>
      <c r="AF108" s="122">
        <f>+AG108+AI108+AK108+AM108</f>
        <v>316.58873210591776</v>
      </c>
      <c r="AG108" s="122">
        <f>(AG110*AG95/100*AG96/365)</f>
        <v>75.954642052094144</v>
      </c>
      <c r="AH108" s="122">
        <f>+AI108+AK108+AM108</f>
        <v>240.63409005382366</v>
      </c>
      <c r="AI108" s="122">
        <f>(AI110*AI95/100*AI96/365)</f>
        <v>75.214714342298294</v>
      </c>
      <c r="AJ108" s="122">
        <f>+AK108+AM108</f>
        <v>165.41937571152539</v>
      </c>
      <c r="AK108" s="122">
        <f>(AK110*AK95/100*AK96/365)</f>
        <v>83.007987614222898</v>
      </c>
      <c r="AL108" s="122">
        <f>+AM108</f>
        <v>82.411388097302478</v>
      </c>
      <c r="AM108" s="122">
        <f>(AM110*AM95/100*AM96/365)</f>
        <v>82.411388097302478</v>
      </c>
      <c r="AN108" s="122">
        <f>+AO108+AQ108+AS108+AU108</f>
        <v>331.82187547127444</v>
      </c>
      <c r="AO108" s="122">
        <f>(AO110*AO95/100*AO96/365)</f>
        <v>92.746062814413122</v>
      </c>
      <c r="AP108" s="122">
        <f>+AQ108+AS108+AU108</f>
        <v>239.07581265686136</v>
      </c>
      <c r="AQ108" s="122">
        <f>(AQ110*AQ95/100*AQ96/365)</f>
        <v>83.477209073432107</v>
      </c>
      <c r="AR108" s="122">
        <f>+AS108+AU108</f>
        <v>155.59860358342925</v>
      </c>
      <c r="AS108" s="122">
        <f>(AS110*AS95/100*AS96/365)</f>
        <v>75.27635446193878</v>
      </c>
      <c r="AT108" s="122">
        <f>+AU108</f>
        <v>80.322249121490472</v>
      </c>
      <c r="AU108" s="122">
        <f>(AU110*AU95/100*AU96/365)</f>
        <v>80.322249121490472</v>
      </c>
      <c r="AV108" s="97"/>
      <c r="AW108" s="122">
        <f>(AW110*AW95/100*AW96/365)</f>
        <v>87.684988351033311</v>
      </c>
    </row>
    <row r="109" spans="1:49" x14ac:dyDescent="0.25">
      <c r="A109" s="116" t="s">
        <v>187</v>
      </c>
      <c r="B109" s="119">
        <v>-132.36801005278903</v>
      </c>
      <c r="C109" s="119">
        <v>-45.675223883693157</v>
      </c>
      <c r="D109" s="119">
        <v>-86.692786169095868</v>
      </c>
      <c r="E109" s="119">
        <v>-50.787175698542462</v>
      </c>
      <c r="F109" s="119">
        <v>-35.90561047055342</v>
      </c>
      <c r="G109" s="119">
        <v>-35.90561047055342</v>
      </c>
      <c r="H109" s="180">
        <v>-69.410196944765175</v>
      </c>
      <c r="I109" s="180">
        <v>-25.654274556590167</v>
      </c>
      <c r="J109" s="119">
        <v>-46.881154195663498</v>
      </c>
      <c r="K109" s="119">
        <v>-27.165091510201648</v>
      </c>
      <c r="L109" s="119">
        <v>-19.716062685461878</v>
      </c>
      <c r="M109" s="119">
        <v>-28.27873639652055</v>
      </c>
      <c r="N109" s="119">
        <v>6.6879055185471543</v>
      </c>
      <c r="O109" s="119">
        <v>6.6879055185471543</v>
      </c>
      <c r="P109" s="119">
        <v>29.284952459534452</v>
      </c>
      <c r="Q109" s="119">
        <v>15.365985061146347</v>
      </c>
      <c r="R109" s="119">
        <f t="shared" ref="R109:S109" si="79">+R108-R107</f>
        <v>13.918967398388133</v>
      </c>
      <c r="S109" s="119">
        <f t="shared" si="79"/>
        <v>9.3459537358904186</v>
      </c>
      <c r="T109" s="119">
        <v>4.5730136624977149</v>
      </c>
      <c r="U109" s="145">
        <v>2.9773986159223682</v>
      </c>
      <c r="V109" s="145">
        <v>1.5956150465753467</v>
      </c>
      <c r="W109" s="145">
        <v>1.5956150465753467</v>
      </c>
      <c r="X109" s="119">
        <v>-15.577358213038394</v>
      </c>
      <c r="Y109" s="145">
        <v>-2.1112033841958606</v>
      </c>
      <c r="Z109" s="119">
        <f t="shared" ref="Z109:AC109" si="80">+Z108-Z107</f>
        <v>-13.466154828842548</v>
      </c>
      <c r="AA109" s="119">
        <f t="shared" si="80"/>
        <v>-4.8033747692642095</v>
      </c>
      <c r="AB109" s="119">
        <f t="shared" si="80"/>
        <v>-8.6627800595783242</v>
      </c>
      <c r="AC109" s="119">
        <f t="shared" si="80"/>
        <v>-4.2197229303865385</v>
      </c>
      <c r="AD109" s="119">
        <f>+AE109</f>
        <v>-4.4430571291918</v>
      </c>
      <c r="AE109" s="119">
        <f t="shared" ref="AE109:AK109" si="81">+AE108-AE107</f>
        <v>-4.4430571291918</v>
      </c>
      <c r="AF109" s="119">
        <f t="shared" si="81"/>
        <v>-39.3552195940822</v>
      </c>
      <c r="AG109" s="119">
        <f t="shared" si="81"/>
        <v>-11.881289347905863</v>
      </c>
      <c r="AH109" s="119">
        <f t="shared" si="81"/>
        <v>-27.473930246176309</v>
      </c>
      <c r="AI109" s="119">
        <f t="shared" si="81"/>
        <v>-13.268912057701698</v>
      </c>
      <c r="AJ109" s="119">
        <f t="shared" si="81"/>
        <v>-14.205018188474583</v>
      </c>
      <c r="AK109" s="119">
        <f t="shared" si="81"/>
        <v>-9.4469188857770945</v>
      </c>
      <c r="AL109" s="119">
        <f>+AM109</f>
        <v>-4.7580993026975165</v>
      </c>
      <c r="AM109" s="119">
        <f t="shared" ref="AM109:AS109" si="82">+AM108-AM107</f>
        <v>-4.7580993026975165</v>
      </c>
      <c r="AN109" s="119">
        <f t="shared" si="82"/>
        <v>-24.082545928725608</v>
      </c>
      <c r="AO109" s="119">
        <f t="shared" si="82"/>
        <v>-2.1369209855868831</v>
      </c>
      <c r="AP109" s="119">
        <f t="shared" si="82"/>
        <v>-21.945624943138654</v>
      </c>
      <c r="AQ109" s="119">
        <f t="shared" si="82"/>
        <v>-4.3833856265679003</v>
      </c>
      <c r="AR109" s="119">
        <f t="shared" si="82"/>
        <v>-17.562239316570754</v>
      </c>
      <c r="AS109" s="119">
        <f t="shared" si="82"/>
        <v>-10.13043483806122</v>
      </c>
      <c r="AT109" s="119">
        <f>+AU109</f>
        <v>-7.4318044785095339</v>
      </c>
      <c r="AU109" s="119">
        <f>+AU108-AU107</f>
        <v>-7.4318044785095339</v>
      </c>
      <c r="AV109" s="119"/>
      <c r="AW109" s="119">
        <f>+AW108-AW107</f>
        <v>-15.044285648966692</v>
      </c>
    </row>
    <row r="110" spans="1:49" x14ac:dyDescent="0.25">
      <c r="A110" s="116" t="s">
        <v>173</v>
      </c>
      <c r="B110" s="119">
        <v>54688.84</v>
      </c>
      <c r="C110" s="119">
        <v>58402.023000000001</v>
      </c>
      <c r="D110" s="119">
        <v>52418.17</v>
      </c>
      <c r="E110" s="119">
        <v>55008.016000000003</v>
      </c>
      <c r="F110" s="119">
        <v>49828.324000000001</v>
      </c>
      <c r="G110" s="119">
        <v>49828.324000000001</v>
      </c>
      <c r="H110" s="180">
        <v>45141.581625000006</v>
      </c>
      <c r="I110" s="180">
        <v>48004.548000000003</v>
      </c>
      <c r="J110" s="119">
        <v>44187.2595</v>
      </c>
      <c r="K110" s="119">
        <v>44968.029000000002</v>
      </c>
      <c r="L110" s="119">
        <v>42364.311499999996</v>
      </c>
      <c r="M110" s="119">
        <v>43406.49</v>
      </c>
      <c r="N110" s="119">
        <v>41322.133000000002</v>
      </c>
      <c r="O110" s="119">
        <v>41322.133000000002</v>
      </c>
      <c r="P110" s="119">
        <v>40126.764999999999</v>
      </c>
      <c r="Q110" s="119">
        <v>41706.021999999997</v>
      </c>
      <c r="R110" s="119">
        <f>(+S110+U110+W110)/3</f>
        <v>39600.345999999998</v>
      </c>
      <c r="S110" s="119">
        <v>40252.216</v>
      </c>
      <c r="T110" s="119">
        <v>39274.411</v>
      </c>
      <c r="U110" s="145">
        <v>40291.85</v>
      </c>
      <c r="V110" s="145">
        <v>38256.972000000002</v>
      </c>
      <c r="W110" s="145">
        <v>38256.972000000002</v>
      </c>
      <c r="X110" s="119">
        <v>38116.029126499998</v>
      </c>
      <c r="Y110" s="145">
        <v>38462.310984899996</v>
      </c>
      <c r="Z110" s="119">
        <f>(+AA110+AC110+AE110)/3</f>
        <v>38000.601840366668</v>
      </c>
      <c r="AA110" s="119">
        <v>38445.296817800001</v>
      </c>
      <c r="AB110" s="119">
        <f>(+AC110+AE110)/2</f>
        <v>37778.254351650001</v>
      </c>
      <c r="AC110" s="119">
        <v>38284.284064300002</v>
      </c>
      <c r="AD110" s="119">
        <f>+AE110</f>
        <v>37272.224639</v>
      </c>
      <c r="AE110" s="119">
        <v>37272.224639</v>
      </c>
      <c r="AF110" s="119">
        <f>(+AG110+AI110+AK110+AM110)/4</f>
        <v>35749.898960700004</v>
      </c>
      <c r="AG110" s="119">
        <v>37202.689679300005</v>
      </c>
      <c r="AH110" s="119">
        <f>(+AI110+AK110+AM110)/3</f>
        <v>35265.635387833332</v>
      </c>
      <c r="AI110" s="119">
        <v>36840.272054399997</v>
      </c>
      <c r="AJ110" s="119">
        <f>(+AK110+AM110)/2</f>
        <v>34478.317054550003</v>
      </c>
      <c r="AK110" s="119">
        <v>36189.578928800001</v>
      </c>
      <c r="AL110" s="119">
        <f>+AM110</f>
        <v>32767.055180300002</v>
      </c>
      <c r="AM110" s="119">
        <v>32767.055180300002</v>
      </c>
      <c r="AN110" s="119">
        <f>(+AO110+AQ110+AS110+AU110)/4</f>
        <v>31038.21907685</v>
      </c>
      <c r="AO110" s="119">
        <v>32853.564564499997</v>
      </c>
      <c r="AP110" s="119">
        <f>(+AQ110+AS110+AU110)/3</f>
        <v>30433.103914299998</v>
      </c>
      <c r="AQ110" s="119">
        <v>31244.033338599998</v>
      </c>
      <c r="AR110" s="119">
        <f>(+AS110+AU110)/2</f>
        <v>30027.63920215</v>
      </c>
      <c r="AS110" s="119">
        <v>30498.2455085</v>
      </c>
      <c r="AT110" s="119">
        <f>+AU110</f>
        <v>29557.032895799999</v>
      </c>
      <c r="AU110" s="119">
        <v>29557.032895799999</v>
      </c>
      <c r="AV110" s="88"/>
      <c r="AW110" s="119">
        <v>30785.899142099999</v>
      </c>
    </row>
    <row r="111" spans="1:49" s="3" customFormat="1" ht="15.75" thickBot="1" x14ac:dyDescent="0.3">
      <c r="A111" s="121" t="s">
        <v>190</v>
      </c>
      <c r="B111" s="124">
        <v>-3.2360449513296175E-3</v>
      </c>
      <c r="C111" s="124">
        <v>-3.102828921873209E-3</v>
      </c>
      <c r="D111" s="124">
        <v>-3.2351501844974616E-3</v>
      </c>
      <c r="E111" s="124">
        <v>-3.7032203383961706E-3</v>
      </c>
      <c r="F111" s="124">
        <v>-2.9223780037126398E-3</v>
      </c>
      <c r="G111" s="124">
        <v>-2.9223780037126402E-3</v>
      </c>
      <c r="H111" s="184">
        <v>-1.533409976038285E-3</v>
      </c>
      <c r="I111" s="184">
        <v>-2.120227145877251E-3</v>
      </c>
      <c r="J111" s="124">
        <v>-1.408190462388181E-3</v>
      </c>
      <c r="K111" s="124">
        <v>-2.3966927222757966E-3</v>
      </c>
      <c r="L111" s="124">
        <v>-9.2824327673688778E-4</v>
      </c>
      <c r="M111" s="124">
        <v>-2.6131046516569049E-3</v>
      </c>
      <c r="N111" s="124">
        <v>6.4917064037873834E-4</v>
      </c>
      <c r="O111" s="124">
        <v>6.4917064037873834E-4</v>
      </c>
      <c r="P111" s="124">
        <v>7.2981094936345981E-4</v>
      </c>
      <c r="Q111" s="124">
        <v>1.4617283689710475E-3</v>
      </c>
      <c r="R111" s="124">
        <f>R109/R110*365/R96-0.0001</f>
        <v>3.6993550072558377E-4</v>
      </c>
      <c r="S111" s="124">
        <f>S109/S110*365/S96</f>
        <v>9.2116805650175194E-4</v>
      </c>
      <c r="T111" s="124">
        <v>2.3480487413436106E-4</v>
      </c>
      <c r="U111" s="124">
        <v>2.963952543702637E-4</v>
      </c>
      <c r="V111" s="124">
        <v>1.6914839644566442E-4</v>
      </c>
      <c r="W111" s="124">
        <v>1.6914839644566442E-4</v>
      </c>
      <c r="X111" s="124">
        <v>-4.0868260860385129E-4</v>
      </c>
      <c r="Y111" s="124">
        <v>-2.1777084459268973E-4</v>
      </c>
      <c r="Z111" s="124">
        <f t="shared" ref="Z111:AW111" si="83">Z109/Z110*365/Z96</f>
        <v>-4.7378722461344837E-4</v>
      </c>
      <c r="AA111" s="124">
        <f t="shared" si="83"/>
        <v>-4.9568786999920687E-4</v>
      </c>
      <c r="AB111" s="124">
        <f t="shared" si="83"/>
        <v>-4.6241263417009712E-4</v>
      </c>
      <c r="AC111" s="124">
        <f t="shared" si="83"/>
        <v>-4.4209426183266452E-4</v>
      </c>
      <c r="AD111" s="124">
        <f t="shared" si="83"/>
        <v>-4.834448493071748E-4</v>
      </c>
      <c r="AE111" s="124">
        <f t="shared" si="83"/>
        <v>-4.834448493071748E-4</v>
      </c>
      <c r="AF111" s="124">
        <f t="shared" si="83"/>
        <v>-1.1008484146303613E-3</v>
      </c>
      <c r="AG111" s="124">
        <f t="shared" si="83"/>
        <v>-1.2670515075567273E-3</v>
      </c>
      <c r="AH111" s="124">
        <f t="shared" si="83"/>
        <v>-1.041595981415476E-3</v>
      </c>
      <c r="AI111" s="124">
        <f t="shared" si="83"/>
        <v>-1.4289516168107222E-3</v>
      </c>
      <c r="AJ111" s="124">
        <f t="shared" si="83"/>
        <v>-8.3082589623050083E-4</v>
      </c>
      <c r="AK111" s="124">
        <f t="shared" si="83"/>
        <v>-1.0470275963449269E-3</v>
      </c>
      <c r="AL111" s="124">
        <f t="shared" si="83"/>
        <v>-5.8890663060076848E-4</v>
      </c>
      <c r="AM111" s="124">
        <f t="shared" si="83"/>
        <v>-5.8890663060076848E-4</v>
      </c>
      <c r="AN111" s="124">
        <f t="shared" si="83"/>
        <v>-7.758997341019378E-4</v>
      </c>
      <c r="AO111" s="124">
        <f t="shared" si="83"/>
        <v>-2.5805424308376917E-4</v>
      </c>
      <c r="AP111" s="124">
        <f t="shared" si="83"/>
        <v>-9.6060314778533495E-4</v>
      </c>
      <c r="AQ111" s="124">
        <f t="shared" si="83"/>
        <v>-5.5660566707191924E-4</v>
      </c>
      <c r="AR111" s="124">
        <f t="shared" si="83"/>
        <v>-1.1729518333575949E-3</v>
      </c>
      <c r="AS111" s="124">
        <f t="shared" si="83"/>
        <v>-1.332308207719004E-3</v>
      </c>
      <c r="AT111" s="124">
        <f t="shared" si="83"/>
        <v>-1.0085209229291905E-3</v>
      </c>
      <c r="AU111" s="124">
        <f t="shared" si="83"/>
        <v>-1.0085209229291905E-3</v>
      </c>
      <c r="AV111" s="124"/>
      <c r="AW111" s="124">
        <f t="shared" si="83"/>
        <v>-1.9387631911719386E-3</v>
      </c>
    </row>
    <row r="112" spans="1:49" x14ac:dyDescent="0.25">
      <c r="A112" s="116"/>
      <c r="B112" s="142"/>
      <c r="C112" s="142"/>
      <c r="D112" s="142"/>
      <c r="E112" s="142"/>
      <c r="F112" s="142"/>
      <c r="G112" s="142"/>
      <c r="H112" s="185"/>
      <c r="I112" s="185"/>
      <c r="J112" s="142"/>
      <c r="K112" s="142"/>
      <c r="L112" s="142"/>
      <c r="M112" s="142"/>
      <c r="N112" s="142"/>
      <c r="O112" s="142"/>
      <c r="P112" s="142"/>
      <c r="Q112" s="142"/>
      <c r="R112" s="157"/>
      <c r="S112" s="157"/>
      <c r="T112" s="142"/>
      <c r="U112" s="142"/>
      <c r="V112" s="142"/>
      <c r="W112" s="142"/>
      <c r="X112" s="142"/>
      <c r="Y112" s="142"/>
      <c r="Z112" s="14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row>
    <row r="113" spans="1:50" x14ac:dyDescent="0.25">
      <c r="A113" s="116"/>
      <c r="B113" s="88"/>
      <c r="C113" s="88"/>
      <c r="D113" s="88"/>
      <c r="E113" s="88"/>
      <c r="F113" s="88"/>
      <c r="G113" s="88"/>
      <c r="H113" s="189"/>
      <c r="I113" s="189"/>
      <c r="J113" s="88"/>
      <c r="K113" s="88"/>
      <c r="L113" s="88"/>
      <c r="M113" s="88"/>
      <c r="N113" s="88"/>
      <c r="O113" s="88"/>
      <c r="Q113" s="88"/>
      <c r="T113" s="88"/>
      <c r="U113" s="88"/>
      <c r="V113" s="88"/>
      <c r="W113" s="88"/>
      <c r="X113" s="88"/>
      <c r="Y113" s="88"/>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row>
    <row r="114" spans="1:50" x14ac:dyDescent="0.25">
      <c r="A114" s="116" t="s">
        <v>174</v>
      </c>
      <c r="B114" s="119">
        <v>126.26499999999999</v>
      </c>
      <c r="C114" s="119">
        <v>40.874000000000002</v>
      </c>
      <c r="D114" s="119">
        <v>85.390999999999991</v>
      </c>
      <c r="E114" s="119">
        <v>41.427999999999997</v>
      </c>
      <c r="F114" s="119">
        <v>43.963000000000001</v>
      </c>
      <c r="G114" s="119">
        <v>43.963000000000001</v>
      </c>
      <c r="H114" s="180">
        <v>323.68700000000001</v>
      </c>
      <c r="I114" s="180">
        <v>46.716999999999999</v>
      </c>
      <c r="J114" s="119">
        <v>280.97000000000003</v>
      </c>
      <c r="K114" s="119">
        <v>53.893000000000001</v>
      </c>
      <c r="L114" s="119">
        <v>227.077</v>
      </c>
      <c r="M114" s="119">
        <v>104.057</v>
      </c>
      <c r="N114" s="119">
        <v>123.02</v>
      </c>
      <c r="O114" s="119">
        <v>123.02</v>
      </c>
      <c r="P114" s="119">
        <v>389.05600000000004</v>
      </c>
      <c r="Q114" s="119">
        <v>115.27800000000001</v>
      </c>
      <c r="R114" s="119">
        <f>+S114+U114+W114</f>
        <v>273.77800000000002</v>
      </c>
      <c r="S114" s="119">
        <v>102.33199999999999</v>
      </c>
      <c r="T114" s="119">
        <v>171.44600000000003</v>
      </c>
      <c r="U114" s="145">
        <v>88.159000000000006</v>
      </c>
      <c r="V114" s="145">
        <v>83.287000000000006</v>
      </c>
      <c r="W114" s="145">
        <v>83.287000000000006</v>
      </c>
      <c r="X114" s="145">
        <v>309.61847620000003</v>
      </c>
      <c r="Y114" s="145">
        <v>80.693138000000005</v>
      </c>
      <c r="Z114" s="119">
        <f>+AA114+AC114+AE114</f>
        <v>228.9253382</v>
      </c>
      <c r="AA114" s="119">
        <v>79.506763199999995</v>
      </c>
      <c r="AB114" s="119">
        <f>+AC114+AE114</f>
        <v>149.418575</v>
      </c>
      <c r="AC114" s="119">
        <v>74.793245200000001</v>
      </c>
      <c r="AD114" s="119">
        <f>+AE114</f>
        <v>74.625329800000003</v>
      </c>
      <c r="AE114" s="119">
        <v>74.625329800000003</v>
      </c>
      <c r="AF114" s="119">
        <f>+AG114+AI114+AK114+AM114</f>
        <v>283.57676700000002</v>
      </c>
      <c r="AG114" s="119">
        <v>73.310908699999999</v>
      </c>
      <c r="AH114" s="119">
        <f>+AI114+AK114+AM114</f>
        <v>210.26585830000002</v>
      </c>
      <c r="AI114" s="119">
        <v>72.821505799999997</v>
      </c>
      <c r="AJ114" s="119">
        <f>+AK114+AM114</f>
        <v>137.44435250000001</v>
      </c>
      <c r="AK114" s="119">
        <v>70.104614400000003</v>
      </c>
      <c r="AL114" s="119">
        <f>+AM114</f>
        <v>67.339738100000005</v>
      </c>
      <c r="AM114" s="119">
        <v>67.339738100000005</v>
      </c>
      <c r="AN114" s="119">
        <f>+AO114+AQ114+AS114+AU114</f>
        <v>280.47812749999997</v>
      </c>
      <c r="AO114" s="119">
        <v>65.926398499999991</v>
      </c>
      <c r="AP114" s="119">
        <f>+AQ114+AS114+AU114</f>
        <v>214.55172899999997</v>
      </c>
      <c r="AQ114" s="119">
        <v>66.077095700000001</v>
      </c>
      <c r="AR114" s="119">
        <f>+AS114+AU114</f>
        <v>148.47463329999999</v>
      </c>
      <c r="AS114" s="119">
        <v>72.408209799999995</v>
      </c>
      <c r="AT114" s="119">
        <f>+AU114</f>
        <v>76.066423499999999</v>
      </c>
      <c r="AU114" s="119">
        <v>76.066423499999999</v>
      </c>
      <c r="AV114" s="88"/>
      <c r="AW114" s="119">
        <v>93.948754100000002</v>
      </c>
    </row>
    <row r="115" spans="1:50" x14ac:dyDescent="0.25">
      <c r="A115" s="117" t="s">
        <v>168</v>
      </c>
      <c r="B115" s="122">
        <v>135.05057213036989</v>
      </c>
      <c r="C115" s="122">
        <v>48.651746947791786</v>
      </c>
      <c r="D115" s="122">
        <v>86.398825182578094</v>
      </c>
      <c r="E115" s="122">
        <v>32.609332336901367</v>
      </c>
      <c r="F115" s="122">
        <v>53.789492845676719</v>
      </c>
      <c r="G115" s="122">
        <v>53.789492845676719</v>
      </c>
      <c r="H115" s="188">
        <v>308.2920903790241</v>
      </c>
      <c r="I115" s="188">
        <v>45.726059551824648</v>
      </c>
      <c r="J115" s="122">
        <v>264.50580316043181</v>
      </c>
      <c r="K115" s="122">
        <v>33.762325815671232</v>
      </c>
      <c r="L115" s="122">
        <v>230.74347734476055</v>
      </c>
      <c r="M115" s="122">
        <v>52.284422687386304</v>
      </c>
      <c r="N115" s="122">
        <v>176.51928232414193</v>
      </c>
      <c r="O115" s="122">
        <v>176.51928232414193</v>
      </c>
      <c r="P115" s="122">
        <v>643.65646775631376</v>
      </c>
      <c r="Q115" s="122">
        <v>194.07664821672336</v>
      </c>
      <c r="R115" s="122">
        <f>+S115+U115+W115</f>
        <v>449.57981953959046</v>
      </c>
      <c r="S115" s="122">
        <v>172.5861907671233</v>
      </c>
      <c r="T115" s="122">
        <v>276.99362877246716</v>
      </c>
      <c r="U115" s="148">
        <v>147.74475030945348</v>
      </c>
      <c r="V115" s="148">
        <v>129.24887846301368</v>
      </c>
      <c r="W115" s="148">
        <v>129.24887846301368</v>
      </c>
      <c r="X115" s="148">
        <v>415.51336204558345</v>
      </c>
      <c r="Y115" s="148">
        <v>119.88117975628907</v>
      </c>
      <c r="Z115" s="122">
        <f>+AA115+AC115+AE115</f>
        <v>295.63218228929441</v>
      </c>
      <c r="AA115" s="122">
        <f>(+AA117*AA95/100*AA96/365)</f>
        <v>106.44518600772123</v>
      </c>
      <c r="AB115" s="122">
        <f>+AC115+AE115</f>
        <v>189.18699628157316</v>
      </c>
      <c r="AC115" s="122">
        <f>(+AC117*AC95/100*AC96/365)</f>
        <v>101.66787993013209</v>
      </c>
      <c r="AD115" s="122">
        <f>+AE115</f>
        <v>87.51911635144107</v>
      </c>
      <c r="AE115" s="122">
        <f>(+AE117*AE95/100*AE96/365)</f>
        <v>87.51911635144107</v>
      </c>
      <c r="AF115" s="122">
        <f>+AG115+AI115+AK115+AM115</f>
        <v>321.14165116571178</v>
      </c>
      <c r="AG115" s="122">
        <f>(+AG117*AG95/100*AG96/365)</f>
        <v>75.714896372405917</v>
      </c>
      <c r="AH115" s="122">
        <f>+AI115+AK115+AM115</f>
        <v>245.42675479330589</v>
      </c>
      <c r="AI115" s="122">
        <f>(+AI117*AI95/100*AI96/365)</f>
        <v>75.706899423774914</v>
      </c>
      <c r="AJ115" s="122">
        <f>+AK115+AM115</f>
        <v>169.71985536953099</v>
      </c>
      <c r="AK115" s="122">
        <f>(+AK117*AK95/100*AK96/365)</f>
        <v>81.769109954337537</v>
      </c>
      <c r="AL115" s="122">
        <f>+AM115</f>
        <v>87.950745415193438</v>
      </c>
      <c r="AM115" s="122">
        <f>(+AM117*AM95/100*AM96/365)</f>
        <v>87.950745415193438</v>
      </c>
      <c r="AN115" s="122">
        <f>+AO115+AQ115+AS115+AU115</f>
        <v>368.12880581065951</v>
      </c>
      <c r="AO115" s="122">
        <f>(+AO117*AO95/100*AO96/365)</f>
        <v>98.248903826156706</v>
      </c>
      <c r="AP115" s="122">
        <f>+AQ115+AS115+AU115</f>
        <v>269.87990198450285</v>
      </c>
      <c r="AQ115" s="122">
        <f>(+AQ117*AQ95/100*AQ96/365)</f>
        <v>93.935591610306844</v>
      </c>
      <c r="AR115" s="122">
        <f>+AS115+AU115</f>
        <v>175.94431037419599</v>
      </c>
      <c r="AS115" s="122">
        <f>(+AS117*AS95/100*AS96/365)</f>
        <v>84.077926863615616</v>
      </c>
      <c r="AT115" s="122">
        <f>+AU115</f>
        <v>91.866383510580391</v>
      </c>
      <c r="AU115" s="122">
        <f>(+AU117*AU95/100*AU96/365)</f>
        <v>91.866383510580391</v>
      </c>
      <c r="AV115" s="67"/>
      <c r="AW115" s="122">
        <f>(+AW117*AW95/100*AW96/365)</f>
        <v>95.271746183981151</v>
      </c>
    </row>
    <row r="116" spans="1:50" x14ac:dyDescent="0.25">
      <c r="A116" s="116" t="s">
        <v>175</v>
      </c>
      <c r="B116" s="119">
        <v>8.7855721303698999</v>
      </c>
      <c r="C116" s="119">
        <v>7.7777469477917833</v>
      </c>
      <c r="D116" s="119">
        <v>1.0078251825781024</v>
      </c>
      <c r="E116" s="119">
        <v>-8.8186676630986298</v>
      </c>
      <c r="F116" s="119">
        <v>9.826492845676718</v>
      </c>
      <c r="G116" s="119">
        <v>9.826492845676718</v>
      </c>
      <c r="H116" s="180">
        <v>-15.394909620975909</v>
      </c>
      <c r="I116" s="180">
        <v>-0.99094044817535121</v>
      </c>
      <c r="J116" s="119">
        <v>-16.464196839568217</v>
      </c>
      <c r="K116" s="119">
        <v>-20.130674184328768</v>
      </c>
      <c r="L116" s="119">
        <v>3.6664773447605512</v>
      </c>
      <c r="M116" s="119">
        <v>-51.772577312613699</v>
      </c>
      <c r="N116" s="119">
        <v>53.49928232414193</v>
      </c>
      <c r="O116" s="119">
        <v>53.49928232414193</v>
      </c>
      <c r="P116" s="119">
        <v>254.60046775631372</v>
      </c>
      <c r="Q116" s="119">
        <v>78.79864821672335</v>
      </c>
      <c r="R116" s="119">
        <f t="shared" ref="R116:S116" si="84">+R115-R114</f>
        <v>175.80181953959044</v>
      </c>
      <c r="S116" s="119">
        <f t="shared" si="84"/>
        <v>70.254190767123305</v>
      </c>
      <c r="T116" s="119">
        <v>105.54762877246714</v>
      </c>
      <c r="U116" s="145">
        <v>59.585750309453474</v>
      </c>
      <c r="V116" s="145">
        <v>45.961878463013676</v>
      </c>
      <c r="W116" s="145">
        <v>45.961878463013676</v>
      </c>
      <c r="X116" s="145">
        <v>105.89488584558342</v>
      </c>
      <c r="Y116" s="145">
        <v>39.188041756289067</v>
      </c>
      <c r="Z116" s="119">
        <f t="shared" ref="Z116:AU116" si="85">+Z115-Z114</f>
        <v>66.706844089294407</v>
      </c>
      <c r="AA116" s="119">
        <f t="shared" si="85"/>
        <v>26.938422807721238</v>
      </c>
      <c r="AB116" s="119">
        <f t="shared" si="85"/>
        <v>39.768421281573154</v>
      </c>
      <c r="AC116" s="119">
        <f t="shared" si="85"/>
        <v>26.874634730132087</v>
      </c>
      <c r="AD116" s="119">
        <f t="shared" si="85"/>
        <v>12.893786551441067</v>
      </c>
      <c r="AE116" s="119">
        <f t="shared" si="85"/>
        <v>12.893786551441067</v>
      </c>
      <c r="AF116" s="119">
        <f t="shared" si="85"/>
        <v>37.56488416571176</v>
      </c>
      <c r="AG116" s="119">
        <f t="shared" si="85"/>
        <v>2.4039876724059184</v>
      </c>
      <c r="AH116" s="119">
        <f t="shared" si="85"/>
        <v>35.16089649330587</v>
      </c>
      <c r="AI116" s="119">
        <f t="shared" si="85"/>
        <v>2.8853936237749167</v>
      </c>
      <c r="AJ116" s="119">
        <f t="shared" si="85"/>
        <v>32.275502869530982</v>
      </c>
      <c r="AK116" s="119">
        <f t="shared" si="85"/>
        <v>11.664495554337535</v>
      </c>
      <c r="AL116" s="119">
        <f t="shared" si="85"/>
        <v>20.611007315193433</v>
      </c>
      <c r="AM116" s="119">
        <f t="shared" si="85"/>
        <v>20.611007315193433</v>
      </c>
      <c r="AN116" s="119">
        <f t="shared" si="85"/>
        <v>87.650678310659544</v>
      </c>
      <c r="AO116" s="119">
        <f t="shared" si="85"/>
        <v>32.322505326156715</v>
      </c>
      <c r="AP116" s="119">
        <f t="shared" si="85"/>
        <v>55.328172984502885</v>
      </c>
      <c r="AQ116" s="119">
        <f t="shared" si="85"/>
        <v>27.858495910306843</v>
      </c>
      <c r="AR116" s="119">
        <f t="shared" si="85"/>
        <v>27.469677074195999</v>
      </c>
      <c r="AS116" s="119">
        <f t="shared" si="85"/>
        <v>11.669717063615622</v>
      </c>
      <c r="AT116" s="119">
        <f t="shared" si="85"/>
        <v>15.799960010580392</v>
      </c>
      <c r="AU116" s="119">
        <f t="shared" si="85"/>
        <v>15.799960010580392</v>
      </c>
      <c r="AV116" s="119"/>
      <c r="AW116" s="119">
        <f>+AW115-AW114</f>
        <v>1.3229920839811484</v>
      </c>
    </row>
    <row r="117" spans="1:50" x14ac:dyDescent="0.25">
      <c r="A117" s="116" t="s">
        <v>176</v>
      </c>
      <c r="B117" s="119">
        <v>49450.400999999998</v>
      </c>
      <c r="C117" s="119">
        <v>50835.006000000001</v>
      </c>
      <c r="D117" s="119">
        <v>48742.966499999995</v>
      </c>
      <c r="E117" s="119">
        <v>49412.796999999999</v>
      </c>
      <c r="F117" s="119">
        <v>48073.135999999999</v>
      </c>
      <c r="G117" s="119">
        <v>48073.135999999999</v>
      </c>
      <c r="H117" s="180">
        <v>49762.922500000001</v>
      </c>
      <c r="I117" s="180">
        <v>47515.235999999997</v>
      </c>
      <c r="J117" s="119">
        <v>50512.151333333335</v>
      </c>
      <c r="K117" s="119">
        <v>47849.2</v>
      </c>
      <c r="L117" s="119">
        <v>44343.627</v>
      </c>
      <c r="M117" s="119">
        <v>45932.351999999999</v>
      </c>
      <c r="N117" s="119">
        <v>42754.902000000002</v>
      </c>
      <c r="O117" s="119">
        <v>42754.902000000002</v>
      </c>
      <c r="P117" s="119">
        <v>41304.852500000001</v>
      </c>
      <c r="Q117" s="119">
        <v>41911.32</v>
      </c>
      <c r="R117" s="119">
        <f>(+S117+U117+W117)/3</f>
        <v>41102.696666666663</v>
      </c>
      <c r="S117" s="119">
        <v>42007.175000000003</v>
      </c>
      <c r="T117" s="119">
        <v>40650.457500000004</v>
      </c>
      <c r="U117" s="145">
        <v>40667.116000000002</v>
      </c>
      <c r="V117" s="145">
        <v>40633.798999999999</v>
      </c>
      <c r="W117" s="145">
        <v>40633.798999999999</v>
      </c>
      <c r="X117" s="145">
        <v>38820.322883275003</v>
      </c>
      <c r="Y117" s="145">
        <v>39967.693287399998</v>
      </c>
      <c r="Z117" s="119">
        <f>(+AA117+AC117+AE117)/3</f>
        <v>38437.8660819</v>
      </c>
      <c r="AA117" s="119">
        <v>39840.538241200004</v>
      </c>
      <c r="AB117" s="119">
        <f>(+AC117+AE117)/2</f>
        <v>37736.530002250001</v>
      </c>
      <c r="AC117" s="119">
        <v>38111.098053300004</v>
      </c>
      <c r="AD117" s="119">
        <f>+AE117</f>
        <v>37361.961951199999</v>
      </c>
      <c r="AE117" s="119">
        <v>37361.961951199999</v>
      </c>
      <c r="AF117" s="119">
        <f>(+AG117+AI117+AK117+AM117)/4</f>
        <v>36196.3966363</v>
      </c>
      <c r="AG117" s="119">
        <v>37085.2619108</v>
      </c>
      <c r="AH117" s="119">
        <f>(+AI117+AK117+AM117)/3</f>
        <v>35900.108211466664</v>
      </c>
      <c r="AI117" s="119">
        <v>37081.344994200001</v>
      </c>
      <c r="AJ117" s="119">
        <f>(+AK117+AM117)/2</f>
        <v>35309.489820100003</v>
      </c>
      <c r="AK117" s="119">
        <v>35649.456681000003</v>
      </c>
      <c r="AL117" s="119">
        <f>AM117</f>
        <v>34969.522959200003</v>
      </c>
      <c r="AM117" s="119">
        <v>34969.522959200003</v>
      </c>
      <c r="AN117" s="119">
        <f>(+AO117+AQ117+AS117+AU117)/4</f>
        <v>34457.630057400005</v>
      </c>
      <c r="AO117" s="119">
        <v>34802.843455499999</v>
      </c>
      <c r="AP117" s="119">
        <f>(+AQ117+AS117+AU117)/3</f>
        <v>34342.55892470001</v>
      </c>
      <c r="AQ117" s="119">
        <v>35158.419747500004</v>
      </c>
      <c r="AR117" s="119">
        <f>(+AS117+AU117)/2</f>
        <v>33934.628513300006</v>
      </c>
      <c r="AS117" s="119">
        <v>34064.206133</v>
      </c>
      <c r="AT117" s="119">
        <f>AU117</f>
        <v>33805.050893600004</v>
      </c>
      <c r="AU117" s="119">
        <v>33805.050893600004</v>
      </c>
      <c r="AV117" s="64"/>
      <c r="AW117" s="119">
        <v>33449.5838372</v>
      </c>
    </row>
    <row r="118" spans="1:50" s="3" customFormat="1" ht="15.75" thickBot="1" x14ac:dyDescent="0.3">
      <c r="A118" s="121" t="s">
        <v>191</v>
      </c>
      <c r="B118" s="124">
        <v>2.3753655216510097E-4</v>
      </c>
      <c r="C118" s="124">
        <v>6.0701016949003535E-4</v>
      </c>
      <c r="D118" s="124">
        <v>1.4169534182845267E-4</v>
      </c>
      <c r="E118" s="124">
        <v>-7.158384312519841E-4</v>
      </c>
      <c r="F118" s="124">
        <v>8.2898456326858168E-4</v>
      </c>
      <c r="G118" s="124">
        <v>8.2898456326858168E-4</v>
      </c>
      <c r="H118" s="184">
        <v>-3.0936506233081285E-4</v>
      </c>
      <c r="I118" s="184">
        <v>-8.2967484556857075E-5</v>
      </c>
      <c r="J118" s="124">
        <v>-4.3261826837274532E-4</v>
      </c>
      <c r="K118" s="124">
        <v>-1.8691242844094621E-3</v>
      </c>
      <c r="L118" s="124">
        <v>1.6491477555939532E-4</v>
      </c>
      <c r="M118" s="124">
        <v>-4.7209798677732093E-3</v>
      </c>
      <c r="N118" s="124">
        <v>5.0189574402002349E-3</v>
      </c>
      <c r="O118" s="124">
        <v>5.0189574402002349E-3</v>
      </c>
      <c r="P118" s="124">
        <v>6.0639360110610165E-3</v>
      </c>
      <c r="Q118" s="124">
        <v>7.4592036645324353E-3</v>
      </c>
      <c r="R118" s="124">
        <f>+R116/R117*365/R96</f>
        <v>5.7185150324295065E-3</v>
      </c>
      <c r="S118" s="124">
        <f>+S116/S117*365/S96</f>
        <v>6.6351966192317938E-3</v>
      </c>
      <c r="T118" s="124">
        <v>5.2359722090860256E-3</v>
      </c>
      <c r="U118" s="124">
        <v>5.8769298934980519E-3</v>
      </c>
      <c r="V118" s="124">
        <v>4.5873375399736642E-3</v>
      </c>
      <c r="W118" s="124">
        <v>4.5873375399736642E-3</v>
      </c>
      <c r="X118" s="124">
        <v>2.7278208417788872E-3</v>
      </c>
      <c r="Y118" s="124">
        <v>3.8899992296361715E-3</v>
      </c>
      <c r="Z118" s="124">
        <f t="shared" ref="Z118:AU118" si="86">+Z116/Z117*365/Z96</f>
        <v>2.3202850545850028E-3</v>
      </c>
      <c r="AA118" s="124">
        <f t="shared" si="86"/>
        <v>2.6825758164500967E-3</v>
      </c>
      <c r="AB118" s="124">
        <f t="shared" si="86"/>
        <v>2.1251553246278651E-3</v>
      </c>
      <c r="AC118" s="124">
        <f t="shared" si="86"/>
        <v>2.8284114098772249E-3</v>
      </c>
      <c r="AD118" s="124">
        <f t="shared" si="86"/>
        <v>1.3995910533056153E-3</v>
      </c>
      <c r="AE118" s="124">
        <f t="shared" si="86"/>
        <v>1.3995910533056153E-3</v>
      </c>
      <c r="AF118" s="124">
        <f t="shared" si="86"/>
        <v>1.0378072862655991E-3</v>
      </c>
      <c r="AG118" s="124">
        <f t="shared" si="86"/>
        <v>2.5717924846271813E-4</v>
      </c>
      <c r="AH118" s="124">
        <f t="shared" si="86"/>
        <v>1.309466521386197E-3</v>
      </c>
      <c r="AI118" s="124">
        <f t="shared" si="86"/>
        <v>3.0871279276347183E-4</v>
      </c>
      <c r="AJ118" s="124">
        <f t="shared" si="86"/>
        <v>1.8432993270904457E-3</v>
      </c>
      <c r="AK118" s="124">
        <f t="shared" si="86"/>
        <v>1.3123948537514044E-3</v>
      </c>
      <c r="AL118" s="124">
        <f t="shared" si="86"/>
        <v>2.3903410212445515E-3</v>
      </c>
      <c r="AM118" s="124">
        <f t="shared" si="86"/>
        <v>2.3903410212445515E-3</v>
      </c>
      <c r="AN118" s="124">
        <f t="shared" si="86"/>
        <v>2.5437233542948199E-3</v>
      </c>
      <c r="AO118" s="124">
        <f t="shared" si="86"/>
        <v>3.6846422255611684E-3</v>
      </c>
      <c r="AP118" s="124">
        <f t="shared" si="86"/>
        <v>2.1461297703935672E-3</v>
      </c>
      <c r="AQ118" s="124">
        <f t="shared" si="86"/>
        <v>3.143643975483851E-3</v>
      </c>
      <c r="AR118" s="124">
        <f t="shared" si="86"/>
        <v>1.6234238844965376E-3</v>
      </c>
      <c r="AS118" s="124">
        <f t="shared" si="86"/>
        <v>1.37408477158575E-3</v>
      </c>
      <c r="AT118" s="124">
        <f t="shared" si="86"/>
        <v>1.8746744732309121E-3</v>
      </c>
      <c r="AU118" s="124">
        <f t="shared" si="86"/>
        <v>1.8746744732309121E-3</v>
      </c>
      <c r="AV118" s="124"/>
      <c r="AW118" s="124">
        <f>+AW116/AW117*365/AW96</f>
        <v>1.5691756630677371E-4</v>
      </c>
    </row>
    <row r="119" spans="1:50" x14ac:dyDescent="0.25">
      <c r="A119" s="116"/>
      <c r="B119" s="157"/>
      <c r="C119" s="157"/>
      <c r="D119" s="157"/>
      <c r="E119" s="157"/>
      <c r="F119" s="157"/>
      <c r="G119" s="157"/>
      <c r="H119" s="157"/>
      <c r="I119" s="157"/>
      <c r="J119" s="157"/>
      <c r="K119" s="157"/>
      <c r="L119" s="157"/>
      <c r="M119" s="157"/>
      <c r="N119" s="157"/>
      <c r="O119" s="157"/>
      <c r="P119" s="142"/>
      <c r="Q119" s="157"/>
      <c r="R119" s="157"/>
      <c r="S119" s="157"/>
      <c r="T119" s="142"/>
      <c r="U119" s="142"/>
      <c r="V119" s="142"/>
      <c r="W119" s="142"/>
      <c r="X119" s="142"/>
      <c r="Y119" s="142"/>
      <c r="Z119" s="14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88"/>
    </row>
    <row r="120" spans="1:50" x14ac:dyDescent="0.25">
      <c r="U120" s="88"/>
    </row>
  </sheetData>
  <pageMargins left="0.7" right="0.7" top="0.75" bottom="0.75" header="0.3" footer="0.3"/>
  <pageSetup paperSize="9" orientation="portrait" r:id="rId1"/>
  <headerFooter>
    <oddFooter>&amp;L&amp;1#&amp;"Calibri"&amp;12&amp;KAF6400F O R T R O L I G</oddFooter>
  </headerFooter>
  <ignoredErrors>
    <ignoredError sqref="R111 R97 T1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2"/>
  <sheetViews>
    <sheetView topLeftCell="A13" workbookViewId="0">
      <selection activeCell="B15" sqref="B15"/>
    </sheetView>
  </sheetViews>
  <sheetFormatPr baseColWidth="10" defaultRowHeight="15" x14ac:dyDescent="0.25"/>
  <cols>
    <col min="1" max="1" width="54.85546875" customWidth="1"/>
    <col min="2" max="2" width="112.140625" customWidth="1"/>
  </cols>
  <sheetData>
    <row r="1" spans="1:3" ht="18.75" x14ac:dyDescent="0.3">
      <c r="A1" s="9" t="s">
        <v>118</v>
      </c>
    </row>
    <row r="2" spans="1:3" ht="68.25" customHeight="1" x14ac:dyDescent="0.25">
      <c r="A2" s="200" t="s">
        <v>117</v>
      </c>
      <c r="B2" s="200"/>
      <c r="C2" s="29"/>
    </row>
    <row r="3" spans="1:3" ht="54" customHeight="1" x14ac:dyDescent="0.25">
      <c r="A3" s="201" t="s">
        <v>177</v>
      </c>
      <c r="B3" s="201"/>
      <c r="C3" s="29"/>
    </row>
    <row r="4" spans="1:3" ht="24" customHeight="1" thickBot="1" x14ac:dyDescent="0.3"/>
    <row r="5" spans="1:3" ht="30.75" thickBot="1" x14ac:dyDescent="0.3">
      <c r="A5" s="54" t="s">
        <v>107</v>
      </c>
      <c r="B5" s="52" t="s">
        <v>108</v>
      </c>
    </row>
    <row r="6" spans="1:3" ht="71.25" customHeight="1" x14ac:dyDescent="0.25">
      <c r="A6" s="48" t="s">
        <v>149</v>
      </c>
      <c r="B6" s="49" t="s">
        <v>180</v>
      </c>
    </row>
    <row r="7" spans="1:3" ht="54.75" customHeight="1" x14ac:dyDescent="0.25">
      <c r="A7" s="126" t="s">
        <v>109</v>
      </c>
      <c r="B7" s="127" t="s">
        <v>110</v>
      </c>
    </row>
    <row r="8" spans="1:3" ht="54.75" customHeight="1" x14ac:dyDescent="0.25">
      <c r="A8" s="126" t="s">
        <v>111</v>
      </c>
      <c r="B8" s="153" t="s">
        <v>233</v>
      </c>
    </row>
    <row r="9" spans="1:3" ht="47.25" customHeight="1" x14ac:dyDescent="0.25">
      <c r="A9" s="126" t="s">
        <v>181</v>
      </c>
      <c r="B9" s="127" t="s">
        <v>112</v>
      </c>
    </row>
    <row r="10" spans="1:3" ht="52.5" customHeight="1" x14ac:dyDescent="0.25">
      <c r="A10" s="48" t="s">
        <v>150</v>
      </c>
      <c r="B10" s="49" t="s">
        <v>113</v>
      </c>
    </row>
    <row r="11" spans="1:3" ht="54" customHeight="1" x14ac:dyDescent="0.25">
      <c r="A11" s="50" t="s">
        <v>94</v>
      </c>
      <c r="B11" s="127" t="s">
        <v>114</v>
      </c>
    </row>
    <row r="12" spans="1:3" ht="54" customHeight="1" x14ac:dyDescent="0.25">
      <c r="A12" s="50" t="s">
        <v>216</v>
      </c>
      <c r="B12" s="153" t="s">
        <v>217</v>
      </c>
    </row>
    <row r="13" spans="1:3" ht="124.5" customHeight="1" x14ac:dyDescent="0.25">
      <c r="A13" s="50" t="s">
        <v>115</v>
      </c>
      <c r="B13" s="127" t="s">
        <v>178</v>
      </c>
    </row>
    <row r="14" spans="1:3" ht="124.5" customHeight="1" x14ac:dyDescent="0.25">
      <c r="A14" s="50" t="s">
        <v>218</v>
      </c>
      <c r="B14" s="49" t="s">
        <v>194</v>
      </c>
    </row>
    <row r="15" spans="1:3" ht="30" customHeight="1" x14ac:dyDescent="0.25">
      <c r="A15" s="51" t="s">
        <v>266</v>
      </c>
      <c r="B15" s="127"/>
    </row>
    <row r="16" spans="1:3" ht="86.25" customHeight="1" x14ac:dyDescent="0.25">
      <c r="A16" s="48" t="s">
        <v>116</v>
      </c>
      <c r="B16" s="197" t="s">
        <v>179</v>
      </c>
    </row>
    <row r="17" spans="1:2" ht="66.75" customHeight="1" x14ac:dyDescent="0.25">
      <c r="A17" s="48" t="s">
        <v>267</v>
      </c>
      <c r="B17" s="198" t="s">
        <v>269</v>
      </c>
    </row>
    <row r="18" spans="1:2" ht="54.75" customHeight="1" thickBot="1" x14ac:dyDescent="0.3">
      <c r="A18" s="128" t="s">
        <v>268</v>
      </c>
      <c r="B18" s="127" t="s">
        <v>270</v>
      </c>
    </row>
    <row r="20" spans="1:2" ht="18.75" x14ac:dyDescent="0.25">
      <c r="A20" s="53"/>
    </row>
    <row r="21" spans="1:2" ht="18.75" x14ac:dyDescent="0.25">
      <c r="A21" s="53"/>
    </row>
    <row r="22" spans="1:2" ht="18.75" x14ac:dyDescent="0.25">
      <c r="A22" s="53"/>
    </row>
  </sheetData>
  <mergeCells count="2">
    <mergeCell ref="A2:B2"/>
    <mergeCell ref="A3:B3"/>
  </mergeCells>
  <pageMargins left="0.7" right="0.7" top="0.75" bottom="0.75" header="0.3" footer="0.3"/>
  <pageSetup paperSize="9" orientation="portrait" r:id="rId1"/>
  <headerFooter>
    <oddFooter>&amp;L&amp;1#&amp;"Calibri"&amp;12&amp;KAF6400F O R T R O L I 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120"/>
  <sheetViews>
    <sheetView zoomScale="70" zoomScaleNormal="70" workbookViewId="0">
      <pane xSplit="1" ySplit="1" topLeftCell="B5" activePane="bottomRight" state="frozen"/>
      <selection activeCell="B1" activeCellId="1" sqref="B3 B1:B1048576"/>
      <selection pane="topRight" activeCell="B1" activeCellId="1" sqref="B3 B1:B1048576"/>
      <selection pane="bottomLeft" activeCell="B1" activeCellId="1" sqref="B3 B1:B1048576"/>
      <selection pane="bottomRight" activeCell="B42" sqref="B42"/>
    </sheetView>
  </sheetViews>
  <sheetFormatPr baseColWidth="10" defaultRowHeight="15" x14ac:dyDescent="0.25"/>
  <cols>
    <col min="1" max="1" width="67.85546875" style="132" customWidth="1"/>
    <col min="2" max="13" width="15" style="64" customWidth="1"/>
    <col min="14" max="15" width="15" style="88" customWidth="1"/>
    <col min="16" max="17" width="15" style="64" customWidth="1"/>
    <col min="18" max="18" width="16.140625" style="64" customWidth="1"/>
    <col min="19" max="19" width="15" style="64" customWidth="1"/>
    <col min="20" max="20" width="16.140625" style="64" customWidth="1"/>
    <col min="21" max="21" width="15" style="88" customWidth="1"/>
    <col min="22" max="25" width="15" style="64" customWidth="1"/>
    <col min="26" max="26" width="16.140625" style="64" customWidth="1"/>
    <col min="27" max="27" width="15" style="64" customWidth="1"/>
    <col min="28" max="28" width="16.140625" customWidth="1"/>
    <col min="29" max="29" width="15" customWidth="1"/>
    <col min="30" max="30" width="16.140625" customWidth="1"/>
    <col min="31" max="31" width="15" customWidth="1"/>
    <col min="32" max="32" width="16.140625" customWidth="1"/>
    <col min="33" max="33" width="15" customWidth="1"/>
    <col min="34" max="34" width="14.5703125" customWidth="1"/>
    <col min="35" max="35" width="16.140625" customWidth="1"/>
    <col min="36" max="36" width="14" customWidth="1"/>
    <col min="37" max="37" width="15.5703125" customWidth="1"/>
    <col min="38" max="40" width="15" customWidth="1"/>
    <col min="41" max="41" width="16.140625" customWidth="1"/>
    <col min="42" max="42" width="17.85546875" bestFit="1" customWidth="1"/>
    <col min="43" max="43" width="13" customWidth="1"/>
    <col min="44" max="44" width="17.85546875" bestFit="1" customWidth="1"/>
    <col min="45" max="45" width="13.7109375" customWidth="1"/>
    <col min="46" max="46" width="14.28515625" customWidth="1"/>
    <col min="47" max="47" width="13.42578125" customWidth="1"/>
    <col min="48" max="48" width="13.7109375" customWidth="1"/>
    <col min="49" max="49" width="14" customWidth="1"/>
  </cols>
  <sheetData>
    <row r="1" spans="1:49" s="34" customFormat="1" ht="30" x14ac:dyDescent="0.25">
      <c r="A1" s="34" t="s">
        <v>66</v>
      </c>
      <c r="B1" s="92" t="s">
        <v>277</v>
      </c>
      <c r="C1" s="93" t="s">
        <v>278</v>
      </c>
      <c r="D1" s="92" t="s">
        <v>272</v>
      </c>
      <c r="E1" s="93" t="s">
        <v>273</v>
      </c>
      <c r="F1" s="93" t="s">
        <v>258</v>
      </c>
      <c r="G1" s="93" t="s">
        <v>259</v>
      </c>
      <c r="H1" s="93" t="s">
        <v>244</v>
      </c>
      <c r="I1" s="93" t="s">
        <v>245</v>
      </c>
      <c r="J1" s="92" t="s">
        <v>241</v>
      </c>
      <c r="K1" s="93" t="s">
        <v>242</v>
      </c>
      <c r="L1" s="92" t="s">
        <v>238</v>
      </c>
      <c r="M1" s="93" t="s">
        <v>239</v>
      </c>
      <c r="N1" s="92" t="s">
        <v>235</v>
      </c>
      <c r="O1" s="93" t="s">
        <v>236</v>
      </c>
      <c r="P1" s="93" t="s">
        <v>229</v>
      </c>
      <c r="Q1" s="93" t="s">
        <v>230</v>
      </c>
      <c r="R1" s="92" t="s">
        <v>226</v>
      </c>
      <c r="S1" s="93" t="s">
        <v>227</v>
      </c>
      <c r="T1" s="35" t="s">
        <v>224</v>
      </c>
      <c r="U1" s="93" t="s">
        <v>223</v>
      </c>
      <c r="V1" s="35" t="s">
        <v>221</v>
      </c>
      <c r="W1" s="36" t="s">
        <v>220</v>
      </c>
      <c r="X1" s="92" t="s">
        <v>161</v>
      </c>
      <c r="Y1" s="93" t="s">
        <v>162</v>
      </c>
      <c r="Z1" s="92" t="s">
        <v>159</v>
      </c>
      <c r="AA1" s="93" t="s">
        <v>160</v>
      </c>
      <c r="AB1" s="35" t="s">
        <v>155</v>
      </c>
      <c r="AC1" s="36" t="s">
        <v>156</v>
      </c>
      <c r="AD1" s="35" t="s">
        <v>152</v>
      </c>
      <c r="AE1" s="36" t="s">
        <v>153</v>
      </c>
      <c r="AF1" s="35" t="s">
        <v>120</v>
      </c>
      <c r="AG1" s="36" t="s">
        <v>129</v>
      </c>
      <c r="AH1" s="35" t="s">
        <v>121</v>
      </c>
      <c r="AI1" s="36" t="s">
        <v>130</v>
      </c>
      <c r="AJ1" s="35" t="s">
        <v>122</v>
      </c>
      <c r="AK1" s="36" t="s">
        <v>131</v>
      </c>
      <c r="AL1" s="35" t="s">
        <v>123</v>
      </c>
      <c r="AM1" s="36" t="s">
        <v>132</v>
      </c>
      <c r="AN1" s="35" t="s">
        <v>124</v>
      </c>
      <c r="AO1" s="36" t="s">
        <v>133</v>
      </c>
      <c r="AP1" s="35" t="s">
        <v>125</v>
      </c>
      <c r="AQ1" s="36" t="s">
        <v>134</v>
      </c>
      <c r="AR1" s="35" t="s">
        <v>126</v>
      </c>
      <c r="AS1" s="36" t="s">
        <v>135</v>
      </c>
      <c r="AT1" s="35" t="s">
        <v>127</v>
      </c>
      <c r="AU1" s="36" t="s">
        <v>136</v>
      </c>
      <c r="AV1" s="35" t="s">
        <v>128</v>
      </c>
      <c r="AW1" s="34" t="s">
        <v>137</v>
      </c>
    </row>
    <row r="3" spans="1:49" x14ac:dyDescent="0.25">
      <c r="A3" s="130"/>
      <c r="B3" s="70"/>
      <c r="C3" s="70"/>
      <c r="D3" s="70"/>
      <c r="E3" s="70"/>
      <c r="F3" s="70"/>
      <c r="G3" s="70"/>
      <c r="H3" s="70"/>
      <c r="I3" s="70"/>
      <c r="J3" s="70"/>
      <c r="K3" s="70"/>
      <c r="L3" s="70"/>
      <c r="M3" s="70"/>
      <c r="N3" s="90"/>
      <c r="O3" s="90"/>
      <c r="P3" s="70"/>
      <c r="Q3" s="70"/>
      <c r="R3" s="70"/>
      <c r="S3" s="70"/>
      <c r="T3" s="90"/>
      <c r="U3" s="90"/>
      <c r="V3" s="70"/>
      <c r="W3" s="70"/>
      <c r="X3" s="70"/>
      <c r="Y3" s="70"/>
      <c r="Z3" s="70"/>
      <c r="AA3" s="70"/>
      <c r="AB3" s="14"/>
      <c r="AC3" s="14"/>
      <c r="AD3" s="14"/>
      <c r="AE3" s="14"/>
      <c r="AF3" s="14"/>
      <c r="AG3" s="14"/>
      <c r="AH3" s="14"/>
      <c r="AI3" s="14"/>
      <c r="AJ3" s="14"/>
      <c r="AK3" s="14"/>
      <c r="AL3" s="14"/>
      <c r="AM3" s="14"/>
      <c r="AN3" s="14"/>
      <c r="AO3" s="14"/>
      <c r="AP3" s="14"/>
      <c r="AQ3" s="14"/>
      <c r="AR3" s="14"/>
      <c r="AS3" s="14"/>
      <c r="AT3" s="14"/>
      <c r="AU3" s="14"/>
    </row>
    <row r="4" spans="1:49" x14ac:dyDescent="0.25">
      <c r="A4" s="130" t="s">
        <v>67</v>
      </c>
      <c r="B4" s="20">
        <f>'APM utregning'!B4</f>
        <v>2198.7897920000005</v>
      </c>
      <c r="C4" s="20">
        <f>'APM utregning'!C4</f>
        <v>675.43365099999994</v>
      </c>
      <c r="D4" s="20">
        <f>'APM utregning'!D4</f>
        <v>1523.3561410000002</v>
      </c>
      <c r="E4" s="20">
        <f>'APM utregning'!E4</f>
        <v>755.46920999999986</v>
      </c>
      <c r="F4" s="20">
        <v>767.88692999999989</v>
      </c>
      <c r="G4" s="20">
        <v>767.88692999999989</v>
      </c>
      <c r="H4" s="20">
        <f>'APM utregning'!H4</f>
        <v>1977.8815530000002</v>
      </c>
      <c r="I4" s="20">
        <f>'APM utregning'!I4</f>
        <v>450.22684600000002</v>
      </c>
      <c r="J4" s="20">
        <f>'APM utregning'!J4</f>
        <v>1527.6547059999991</v>
      </c>
      <c r="K4" s="20">
        <f>'APM utregning'!K4</f>
        <v>519.33535000000018</v>
      </c>
      <c r="L4" s="20">
        <f>'APM utregning'!L4</f>
        <v>1008.319357</v>
      </c>
      <c r="M4" s="20">
        <f>'APM utregning'!M4</f>
        <v>718.69838099999981</v>
      </c>
      <c r="N4" s="20">
        <f>'APM utregning'!N4</f>
        <v>289.62097599999993</v>
      </c>
      <c r="O4" s="20">
        <f>'APM utregning'!O4</f>
        <v>289.62097599999993</v>
      </c>
      <c r="P4" s="20">
        <v>2563.3269190000005</v>
      </c>
      <c r="Q4" s="20">
        <v>346.34799999999996</v>
      </c>
      <c r="R4" s="20">
        <f>'APM utregning'!R4</f>
        <v>2216.9789230000006</v>
      </c>
      <c r="S4" s="20">
        <f>'APM utregning'!S4</f>
        <v>488.11306600000012</v>
      </c>
      <c r="T4" s="20">
        <v>1728.8658539999999</v>
      </c>
      <c r="U4" s="20">
        <v>682.57706699999983</v>
      </c>
      <c r="V4" s="20">
        <f>'APM utregning'!V4</f>
        <v>1046.288789</v>
      </c>
      <c r="W4" s="20">
        <f>'APM utregning'!W4</f>
        <v>1046.288789</v>
      </c>
      <c r="X4" s="20">
        <f>'APM utregning'!X4</f>
        <v>2089.7060110000002</v>
      </c>
      <c r="Y4" s="20">
        <f>'APM utregning'!Y4</f>
        <v>401.08494899999988</v>
      </c>
      <c r="Z4" s="20">
        <f>'APM utregning'!Z4</f>
        <v>1688.6210630000007</v>
      </c>
      <c r="AA4" s="20">
        <f>'APM utregning'!AA4</f>
        <v>479.64145300000001</v>
      </c>
      <c r="AB4" s="20">
        <v>1208.9796089999995</v>
      </c>
      <c r="AC4" s="20">
        <v>743.07443599999988</v>
      </c>
      <c r="AD4" s="20">
        <v>465.9051740000001</v>
      </c>
      <c r="AE4" s="20">
        <v>465.9051740000001</v>
      </c>
      <c r="AF4" s="17">
        <v>1828.1755349999996</v>
      </c>
      <c r="AG4" s="17">
        <v>552.96782299999995</v>
      </c>
      <c r="AH4" s="20">
        <v>1275.4393257525001</v>
      </c>
      <c r="AI4" s="20">
        <v>499.51647091749982</v>
      </c>
      <c r="AJ4" s="20">
        <v>775.88704233500005</v>
      </c>
      <c r="AK4" s="20">
        <v>409.11490300000003</v>
      </c>
      <c r="AL4" s="20">
        <v>366.72430600000001</v>
      </c>
      <c r="AM4" s="20">
        <v>366.57633725499977</v>
      </c>
      <c r="AN4" s="20">
        <v>1680.9976879899996</v>
      </c>
      <c r="AO4" s="20">
        <v>470.48943324250013</v>
      </c>
      <c r="AP4" s="20">
        <v>1210.4704714974994</v>
      </c>
      <c r="AQ4" s="20">
        <v>422.4114718350001</v>
      </c>
      <c r="AR4" s="20">
        <v>788.05900066250047</v>
      </c>
      <c r="AS4" s="20">
        <v>468.42951891500007</v>
      </c>
      <c r="AT4" s="20">
        <v>319.62948174750005</v>
      </c>
      <c r="AU4" s="20">
        <v>319.62948174750005</v>
      </c>
      <c r="AV4" s="60">
        <v>1454.0306119000004</v>
      </c>
      <c r="AW4" s="19">
        <v>296.0728165000001</v>
      </c>
    </row>
    <row r="5" spans="1:49" x14ac:dyDescent="0.25">
      <c r="A5" s="131" t="s">
        <v>68</v>
      </c>
      <c r="B5" s="21">
        <f>'APM utregning'!B5</f>
        <v>40.051579500000003</v>
      </c>
      <c r="C5" s="21">
        <f>'APM utregning'!C5</f>
        <v>9.8528055000000005</v>
      </c>
      <c r="D5" s="21">
        <f>'APM utregning'!D5</f>
        <v>30.198774</v>
      </c>
      <c r="E5" s="21">
        <f>'APM utregning'!E5</f>
        <v>10.311061439999998</v>
      </c>
      <c r="F5" s="21">
        <v>19.887712560000004</v>
      </c>
      <c r="G5" s="21">
        <v>19.887712560000004</v>
      </c>
      <c r="H5" s="21">
        <f>'APM utregning'!H5</f>
        <v>58.619650979999989</v>
      </c>
      <c r="I5" s="21">
        <f>'APM utregning'!I5</f>
        <v>9.7911584999999999</v>
      </c>
      <c r="J5" s="21">
        <f>'APM utregning'!J5</f>
        <v>48.828492479999994</v>
      </c>
      <c r="K5" s="21">
        <f>'APM utregning'!K5</f>
        <v>10.7894215</v>
      </c>
      <c r="L5" s="21">
        <f>'APM utregning'!L5</f>
        <v>38.039070979999991</v>
      </c>
      <c r="M5" s="21">
        <f>'APM utregning'!M5</f>
        <v>13.920395000000001</v>
      </c>
      <c r="N5" s="21">
        <f>'APM utregning'!N5</f>
        <v>24.118675979999988</v>
      </c>
      <c r="O5" s="21">
        <f>'APM utregning'!O5</f>
        <v>24.118675979999988</v>
      </c>
      <c r="P5" s="21">
        <v>49.401213550000008</v>
      </c>
      <c r="Q5" s="21">
        <v>10.461065730000012</v>
      </c>
      <c r="R5" s="21">
        <f>'APM utregning'!R5</f>
        <v>38.940146999999996</v>
      </c>
      <c r="S5" s="21">
        <f>'APM utregning'!S5</f>
        <v>9.837549000000001</v>
      </c>
      <c r="T5" s="21">
        <v>29.102597999999997</v>
      </c>
      <c r="U5" s="21">
        <v>9.6813139999999986</v>
      </c>
      <c r="V5" s="21">
        <f>'APM utregning'!V5</f>
        <v>19.421284</v>
      </c>
      <c r="W5" s="21">
        <f>'APM utregning'!W5</f>
        <v>19.421284</v>
      </c>
      <c r="X5" s="21">
        <f>'APM utregning'!X5</f>
        <v>37.446188999999997</v>
      </c>
      <c r="Y5" s="21">
        <f>'APM utregning'!Y5</f>
        <v>9.4673631299999954</v>
      </c>
      <c r="Z5" s="21">
        <f>'APM utregning'!Z5</f>
        <v>27.978825870000005</v>
      </c>
      <c r="AA5" s="21">
        <f>'APM utregning'!AA5</f>
        <v>7.4206257200000136</v>
      </c>
      <c r="AB5" s="21">
        <v>19.59341053</v>
      </c>
      <c r="AC5" s="21">
        <v>8.7954252500000045</v>
      </c>
      <c r="AD5" s="21">
        <v>10.797985279999997</v>
      </c>
      <c r="AE5" s="21">
        <v>10.797985279999997</v>
      </c>
      <c r="AF5" s="18">
        <v>33.083989582500003</v>
      </c>
      <c r="AG5" s="18">
        <f>8021770.83/1000000</f>
        <v>8.0217708299999995</v>
      </c>
      <c r="AH5" s="21">
        <v>25.062218752500002</v>
      </c>
      <c r="AI5" s="21">
        <f>8226010.4175/1000000</f>
        <v>8.2260104175000013</v>
      </c>
      <c r="AJ5" s="21">
        <v>16.836208334999998</v>
      </c>
      <c r="AK5" s="21">
        <f>8291458.335/1000000</f>
        <v>8.2914583349999997</v>
      </c>
      <c r="AL5" s="21">
        <v>8.5447500000000005</v>
      </c>
      <c r="AM5" s="21">
        <f>8544750/1000000</f>
        <v>8.5447500000000005</v>
      </c>
      <c r="AN5" s="21">
        <v>33.920749995000001</v>
      </c>
      <c r="AO5" s="21">
        <f>8494281.2475/1000000</f>
        <v>8.4942812475</v>
      </c>
      <c r="AP5" s="21">
        <v>25.417937497499999</v>
      </c>
      <c r="AQ5" s="18">
        <v>8.3857708350000006</v>
      </c>
      <c r="AR5" s="18">
        <v>17.0321666625</v>
      </c>
      <c r="AS5" s="18">
        <v>8.4525729149999993</v>
      </c>
      <c r="AT5" s="18">
        <v>8.5795937475000006</v>
      </c>
      <c r="AU5" s="18">
        <v>8.5795937475000006</v>
      </c>
      <c r="AV5" s="61">
        <v>36.080729175000002</v>
      </c>
      <c r="AW5" s="18">
        <v>8.8693124999999995</v>
      </c>
    </row>
    <row r="6" spans="1:49" x14ac:dyDescent="0.25">
      <c r="A6" s="130" t="s">
        <v>69</v>
      </c>
      <c r="B6" s="20">
        <f t="shared" ref="B6:C6" si="0">B4-B5</f>
        <v>2158.7382125000004</v>
      </c>
      <c r="C6" s="20">
        <f t="shared" si="0"/>
        <v>665.5808454999999</v>
      </c>
      <c r="D6" s="20">
        <f t="shared" ref="D6:E6" si="1">D4-D5</f>
        <v>1493.1573670000002</v>
      </c>
      <c r="E6" s="20">
        <f t="shared" si="1"/>
        <v>745.15814855999986</v>
      </c>
      <c r="F6" s="20">
        <v>747.99921743999994</v>
      </c>
      <c r="G6" s="20">
        <v>747.99921743999994</v>
      </c>
      <c r="H6" s="20">
        <f t="shared" ref="H6:I6" si="2">H4-H5</f>
        <v>1919.2619020200002</v>
      </c>
      <c r="I6" s="20">
        <f t="shared" si="2"/>
        <v>440.43568750000003</v>
      </c>
      <c r="J6" s="20">
        <f t="shared" ref="J6:K6" si="3">J4-J5</f>
        <v>1478.8262135199991</v>
      </c>
      <c r="K6" s="20">
        <f t="shared" si="3"/>
        <v>508.54592850000017</v>
      </c>
      <c r="L6" s="20">
        <f t="shared" ref="L6:AW6" si="4">L4-L5</f>
        <v>970.28028601999995</v>
      </c>
      <c r="M6" s="20">
        <f t="shared" si="4"/>
        <v>704.77798599999983</v>
      </c>
      <c r="N6" s="20">
        <f t="shared" ref="N6:O6" si="5">N4-N5</f>
        <v>265.50230001999995</v>
      </c>
      <c r="O6" s="20">
        <f t="shared" si="5"/>
        <v>265.50230001999995</v>
      </c>
      <c r="P6" s="20">
        <v>2513.9257054500004</v>
      </c>
      <c r="Q6" s="20">
        <v>335.88693426999993</v>
      </c>
      <c r="R6" s="20">
        <f t="shared" si="4"/>
        <v>2178.0387760000008</v>
      </c>
      <c r="S6" s="20">
        <f t="shared" si="4"/>
        <v>478.27551700000009</v>
      </c>
      <c r="T6" s="20">
        <f t="shared" si="4"/>
        <v>1699.763256</v>
      </c>
      <c r="U6" s="20">
        <f t="shared" si="4"/>
        <v>672.89575299999979</v>
      </c>
      <c r="V6" s="20">
        <f t="shared" si="4"/>
        <v>1026.8675049999999</v>
      </c>
      <c r="W6" s="20">
        <f t="shared" si="4"/>
        <v>1026.8675049999999</v>
      </c>
      <c r="X6" s="20">
        <f t="shared" si="4"/>
        <v>2052.2598220000004</v>
      </c>
      <c r="Y6" s="20">
        <f t="shared" si="4"/>
        <v>391.61758586999986</v>
      </c>
      <c r="Z6" s="20">
        <f t="shared" si="4"/>
        <v>1660.6422371300007</v>
      </c>
      <c r="AA6" s="20">
        <f t="shared" si="4"/>
        <v>472.22082727999998</v>
      </c>
      <c r="AB6" s="20">
        <f t="shared" si="4"/>
        <v>1189.3861984699995</v>
      </c>
      <c r="AC6" s="20">
        <f t="shared" si="4"/>
        <v>734.27901074999988</v>
      </c>
      <c r="AD6" s="20">
        <f t="shared" si="4"/>
        <v>455.10718872000012</v>
      </c>
      <c r="AE6" s="20">
        <f t="shared" si="4"/>
        <v>455.10718872000012</v>
      </c>
      <c r="AF6" s="20">
        <f t="shared" si="4"/>
        <v>1795.0915454174997</v>
      </c>
      <c r="AG6" s="20">
        <f t="shared" si="4"/>
        <v>544.94605216999992</v>
      </c>
      <c r="AH6" s="20">
        <f t="shared" si="4"/>
        <v>1250.377107</v>
      </c>
      <c r="AI6" s="20">
        <f t="shared" si="4"/>
        <v>491.29046049999982</v>
      </c>
      <c r="AJ6" s="20">
        <f t="shared" si="4"/>
        <v>759.05083400000001</v>
      </c>
      <c r="AK6" s="20">
        <f t="shared" si="4"/>
        <v>400.82344466500001</v>
      </c>
      <c r="AL6" s="20">
        <f t="shared" si="4"/>
        <v>358.17955599999999</v>
      </c>
      <c r="AM6" s="20">
        <f t="shared" si="4"/>
        <v>358.03158725499975</v>
      </c>
      <c r="AN6" s="20">
        <f t="shared" si="4"/>
        <v>1647.0769379949995</v>
      </c>
      <c r="AO6" s="20">
        <f t="shared" si="4"/>
        <v>461.99515199500013</v>
      </c>
      <c r="AP6" s="20">
        <f t="shared" si="4"/>
        <v>1185.0525339999995</v>
      </c>
      <c r="AQ6" s="20">
        <f t="shared" si="4"/>
        <v>414.02570100000008</v>
      </c>
      <c r="AR6" s="20">
        <f t="shared" si="4"/>
        <v>771.02683400000046</v>
      </c>
      <c r="AS6" s="20">
        <f t="shared" si="4"/>
        <v>459.97694600000005</v>
      </c>
      <c r="AT6" s="20">
        <f t="shared" si="4"/>
        <v>311.04988800000007</v>
      </c>
      <c r="AU6" s="20">
        <f t="shared" si="4"/>
        <v>311.04988800000007</v>
      </c>
      <c r="AV6" s="20">
        <f t="shared" si="4"/>
        <v>1417.9498827250004</v>
      </c>
      <c r="AW6" s="20">
        <f t="shared" si="4"/>
        <v>287.20350400000012</v>
      </c>
    </row>
    <row r="7" spans="1:49" x14ac:dyDescent="0.25">
      <c r="A7" s="130"/>
      <c r="B7" s="20"/>
      <c r="C7" s="20"/>
      <c r="D7" s="20"/>
      <c r="E7" s="20"/>
      <c r="F7" s="20"/>
      <c r="G7" s="20"/>
      <c r="H7" s="20"/>
      <c r="I7" s="20"/>
      <c r="J7" s="20"/>
      <c r="K7" s="20"/>
      <c r="L7" s="62"/>
      <c r="M7" s="62"/>
      <c r="N7" s="20"/>
      <c r="O7" s="20"/>
      <c r="P7" s="20"/>
      <c r="Q7" s="20"/>
      <c r="R7" s="20"/>
      <c r="S7" s="20"/>
      <c r="T7" s="20"/>
      <c r="U7" s="20"/>
      <c r="V7" s="20"/>
      <c r="W7" s="20"/>
      <c r="X7" s="20"/>
      <c r="Y7" s="20"/>
      <c r="Z7" s="20"/>
      <c r="AA7" s="20"/>
      <c r="AB7" s="20"/>
      <c r="AC7" s="20"/>
      <c r="AD7" s="20"/>
      <c r="AE7" s="20"/>
      <c r="AF7" s="17"/>
      <c r="AG7" s="17"/>
      <c r="AH7" s="20"/>
      <c r="AI7" s="20"/>
      <c r="AJ7" s="20"/>
      <c r="AK7" s="20"/>
      <c r="AL7" s="20"/>
      <c r="AM7" s="20"/>
      <c r="AN7" s="20"/>
      <c r="AO7" s="20"/>
      <c r="AP7" s="20"/>
      <c r="AQ7" s="17"/>
      <c r="AR7" s="17"/>
      <c r="AS7" s="17"/>
      <c r="AT7" s="17"/>
      <c r="AU7" s="17"/>
      <c r="AV7" s="19"/>
      <c r="AW7" s="19"/>
    </row>
    <row r="8" spans="1:49" x14ac:dyDescent="0.25">
      <c r="A8" s="130" t="s">
        <v>70</v>
      </c>
      <c r="B8" s="20">
        <f>'APM utregning'!B8</f>
        <v>23076.905426000001</v>
      </c>
      <c r="C8" s="20">
        <f>'APM utregning'!C8</f>
        <v>23076.905426000001</v>
      </c>
      <c r="D8" s="20">
        <f>'APM utregning'!D8</f>
        <v>22382.415581000001</v>
      </c>
      <c r="E8" s="20">
        <f>'APM utregning'!E8</f>
        <v>22382.415581000001</v>
      </c>
      <c r="F8" s="20">
        <v>21734.386421000007</v>
      </c>
      <c r="G8" s="20">
        <v>21734.386421000007</v>
      </c>
      <c r="H8" s="20">
        <f>'APM utregning'!H8</f>
        <v>21309.746222999998</v>
      </c>
      <c r="I8" s="20">
        <f>'APM utregning'!I8</f>
        <v>21309.746222999998</v>
      </c>
      <c r="J8" s="20">
        <f>'APM utregning'!J8</f>
        <v>20829.492364000002</v>
      </c>
      <c r="K8" s="20">
        <f>'APM utregning'!K8</f>
        <v>20829.492364000002</v>
      </c>
      <c r="L8" s="20">
        <f>'APM utregning'!L8</f>
        <v>20320.449167999999</v>
      </c>
      <c r="M8" s="20">
        <f>'APM utregning'!M8</f>
        <v>20320.449167999999</v>
      </c>
      <c r="N8" s="20">
        <f>'APM utregning'!N8</f>
        <v>19599.824253999999</v>
      </c>
      <c r="O8" s="20">
        <f>'APM utregning'!O8</f>
        <v>19599.824253999999</v>
      </c>
      <c r="P8" s="20">
        <v>20419.767711000004</v>
      </c>
      <c r="Q8" s="20">
        <v>20419.767711000004</v>
      </c>
      <c r="R8" s="20">
        <f>'APM utregning'!R8</f>
        <v>19904.064724</v>
      </c>
      <c r="S8" s="20">
        <f>'APM utregning'!S8</f>
        <v>19904.064724</v>
      </c>
      <c r="T8" s="20">
        <v>19449.809774000001</v>
      </c>
      <c r="U8" s="20">
        <v>19449.809774000001</v>
      </c>
      <c r="V8" s="20">
        <f>'APM utregning'!V8</f>
        <v>18673.417244999997</v>
      </c>
      <c r="W8" s="20">
        <f>'APM utregning'!W8</f>
        <v>18673.417244999997</v>
      </c>
      <c r="X8" s="20">
        <f>'APM utregning'!X8</f>
        <v>18685.631511</v>
      </c>
      <c r="Y8" s="20">
        <f>'APM utregning'!Y8</f>
        <v>18685.631511</v>
      </c>
      <c r="Z8" s="20">
        <f>'APM utregning'!Z8</f>
        <v>18650.075338999999</v>
      </c>
      <c r="AA8" s="20">
        <f>'APM utregning'!AA8</f>
        <v>18650.075338999999</v>
      </c>
      <c r="AB8" s="20">
        <v>17983.832307000004</v>
      </c>
      <c r="AC8" s="20">
        <v>17983.832307000004</v>
      </c>
      <c r="AD8" s="20">
        <v>17364.806264000003</v>
      </c>
      <c r="AE8" s="20">
        <v>17364.806264000003</v>
      </c>
      <c r="AF8" s="17">
        <v>17509.798303000003</v>
      </c>
      <c r="AG8" s="17">
        <v>17509.798303000003</v>
      </c>
      <c r="AH8" s="20">
        <v>16967.908790752499</v>
      </c>
      <c r="AI8" s="20">
        <v>16951.072582417499</v>
      </c>
      <c r="AJ8" s="20">
        <v>16482.052351450398</v>
      </c>
      <c r="AK8" s="20">
        <v>16473.507601450401</v>
      </c>
      <c r="AL8" s="20">
        <v>16006.741612000002</v>
      </c>
      <c r="AM8" s="20">
        <v>16006.741612000002</v>
      </c>
      <c r="AN8" s="20">
        <v>16249.298683999999</v>
      </c>
      <c r="AO8" s="20">
        <v>16249.298683999999</v>
      </c>
      <c r="AP8" s="20">
        <v>15868.606189497499</v>
      </c>
      <c r="AQ8" s="17">
        <v>15851.574022835001</v>
      </c>
      <c r="AR8" s="17">
        <v>15426.777326662501</v>
      </c>
      <c r="AS8" s="17">
        <v>15418.197732915</v>
      </c>
      <c r="AT8" s="17">
        <v>15009.085067747499</v>
      </c>
      <c r="AU8" s="17">
        <v>15009.085067747499</v>
      </c>
      <c r="AV8" s="17">
        <v>14853.613821999999</v>
      </c>
      <c r="AW8" s="17">
        <v>14853.613821999999</v>
      </c>
    </row>
    <row r="9" spans="1:49" x14ac:dyDescent="0.25">
      <c r="A9" s="131" t="s">
        <v>71</v>
      </c>
      <c r="B9" s="21">
        <f>'APM utregning'!B9</f>
        <v>1252.4524200000001</v>
      </c>
      <c r="C9" s="21">
        <f>'APM utregning'!C9</f>
        <v>1252.4524200000001</v>
      </c>
      <c r="D9" s="21">
        <f>'APM utregning'!D9</f>
        <v>1262.3052259999999</v>
      </c>
      <c r="E9" s="21">
        <f>'APM utregning'!E9</f>
        <v>1262.3052259999999</v>
      </c>
      <c r="F9" s="21">
        <v>1272.6162859999999</v>
      </c>
      <c r="G9" s="21">
        <v>1272.6162859999999</v>
      </c>
      <c r="H9" s="21">
        <f>'APM utregning'!H9</f>
        <v>1292.503999</v>
      </c>
      <c r="I9" s="21">
        <f>'APM utregning'!I9</f>
        <v>1292.503999</v>
      </c>
      <c r="J9" s="21">
        <f>'APM utregning'!J9</f>
        <v>1243.67551</v>
      </c>
      <c r="K9" s="21">
        <f>'APM utregning'!K9</f>
        <v>1243.67551</v>
      </c>
      <c r="L9" s="21">
        <f>'APM utregning'!L9</f>
        <v>1254.464931</v>
      </c>
      <c r="M9" s="21">
        <f>'APM utregning'!M9</f>
        <v>1254.464931</v>
      </c>
      <c r="N9" s="21">
        <f>'APM utregning'!N9</f>
        <v>1268.3853260000001</v>
      </c>
      <c r="O9" s="21">
        <f>'APM utregning'!O9</f>
        <v>1268.3853260000001</v>
      </c>
      <c r="P9" s="21">
        <v>1292.5040019999999</v>
      </c>
      <c r="Q9" s="21">
        <v>1292.5040019999999</v>
      </c>
      <c r="R9" s="21">
        <f>'APM utregning'!R9</f>
        <v>1003.563854</v>
      </c>
      <c r="S9" s="21">
        <f>'APM utregning'!S9</f>
        <v>1003.563854</v>
      </c>
      <c r="T9" s="21">
        <v>1013.401402</v>
      </c>
      <c r="U9" s="21">
        <v>1013.401402</v>
      </c>
      <c r="V9" s="21">
        <f>'APM utregning'!V9</f>
        <v>1023.082715</v>
      </c>
      <c r="W9" s="21">
        <f>'APM utregning'!W9</f>
        <v>1023.082715</v>
      </c>
      <c r="X9" s="21">
        <f>'APM utregning'!X9</f>
        <v>1042.5039999999999</v>
      </c>
      <c r="Y9" s="21">
        <f>'APM utregning'!Y9</f>
        <v>1042.5039999999999</v>
      </c>
      <c r="Z9" s="21">
        <f>'APM utregning'!Z9</f>
        <v>1309.5251740000001</v>
      </c>
      <c r="AA9" s="21">
        <f>'APM utregning'!AA9</f>
        <v>1309.5251740000001</v>
      </c>
      <c r="AB9" s="21">
        <f>1136.429845+0.07</f>
        <v>1136.4998449999998</v>
      </c>
      <c r="AC9" s="21">
        <v>1136.4298449999999</v>
      </c>
      <c r="AD9" s="21">
        <v>1305.706015</v>
      </c>
      <c r="AE9" s="21">
        <v>1305.706015</v>
      </c>
      <c r="AF9" s="18">
        <v>992.50400000000002</v>
      </c>
      <c r="AG9" s="18">
        <v>992.50400000000002</v>
      </c>
      <c r="AH9" s="21">
        <f>950+AH5</f>
        <v>975.06221875250003</v>
      </c>
      <c r="AI9" s="21">
        <f t="shared" ref="AI9:AM9" si="6">950+AI5</f>
        <v>958.22601041749999</v>
      </c>
      <c r="AJ9" s="21">
        <f t="shared" si="6"/>
        <v>966.83620833500004</v>
      </c>
      <c r="AK9" s="21">
        <f t="shared" si="6"/>
        <v>958.29145833500002</v>
      </c>
      <c r="AL9" s="21">
        <f t="shared" si="6"/>
        <v>958.54475000000002</v>
      </c>
      <c r="AM9" s="21">
        <f t="shared" si="6"/>
        <v>958.54475000000002</v>
      </c>
      <c r="AN9" s="21">
        <v>950</v>
      </c>
      <c r="AO9" s="21">
        <v>950</v>
      </c>
      <c r="AP9" s="21">
        <f t="shared" ref="AP9:AW9" si="7">950+AP5</f>
        <v>975.41793749750002</v>
      </c>
      <c r="AQ9" s="21">
        <f t="shared" si="7"/>
        <v>958.38577083500002</v>
      </c>
      <c r="AR9" s="21">
        <f t="shared" si="7"/>
        <v>967.0321666625</v>
      </c>
      <c r="AS9" s="21">
        <f t="shared" si="7"/>
        <v>958.45257291500002</v>
      </c>
      <c r="AT9" s="21">
        <f t="shared" si="7"/>
        <v>958.57959374749998</v>
      </c>
      <c r="AU9" s="21">
        <f t="shared" si="7"/>
        <v>958.57959374749998</v>
      </c>
      <c r="AV9" s="21">
        <f t="shared" si="7"/>
        <v>986.08072917499999</v>
      </c>
      <c r="AW9" s="21">
        <f t="shared" si="7"/>
        <v>958.86931249999998</v>
      </c>
    </row>
    <row r="10" spans="1:49" x14ac:dyDescent="0.25">
      <c r="A10" s="130" t="s">
        <v>72</v>
      </c>
      <c r="B10" s="20">
        <f t="shared" ref="B10:C10" si="8">B8-B9</f>
        <v>21824.453006</v>
      </c>
      <c r="C10" s="20">
        <f t="shared" si="8"/>
        <v>21824.453006</v>
      </c>
      <c r="D10" s="20">
        <f t="shared" ref="D10:E10" si="9">D8-D9</f>
        <v>21120.110355000001</v>
      </c>
      <c r="E10" s="20">
        <f t="shared" si="9"/>
        <v>21120.110355000001</v>
      </c>
      <c r="F10" s="20">
        <v>20461.770135000006</v>
      </c>
      <c r="G10" s="20">
        <v>20461.770135000006</v>
      </c>
      <c r="H10" s="20">
        <f t="shared" ref="H10:I10" si="10">H8-H9</f>
        <v>20017.242223999998</v>
      </c>
      <c r="I10" s="20">
        <f t="shared" si="10"/>
        <v>20017.242223999998</v>
      </c>
      <c r="J10" s="20">
        <f t="shared" ref="J10:K10" si="11">J8-J9</f>
        <v>19585.816854000001</v>
      </c>
      <c r="K10" s="20">
        <f t="shared" si="11"/>
        <v>19585.816854000001</v>
      </c>
      <c r="L10" s="20">
        <f t="shared" ref="L10:AW10" si="12">L8-L9</f>
        <v>19065.984237000001</v>
      </c>
      <c r="M10" s="20">
        <f t="shared" si="12"/>
        <v>19065.984237000001</v>
      </c>
      <c r="N10" s="20">
        <f t="shared" ref="N10:O10" si="13">N8-N9</f>
        <v>18331.438928</v>
      </c>
      <c r="O10" s="20">
        <f t="shared" si="13"/>
        <v>18331.438928</v>
      </c>
      <c r="P10" s="20">
        <v>19127.263709000003</v>
      </c>
      <c r="Q10" s="20">
        <v>19127.263709000003</v>
      </c>
      <c r="R10" s="20">
        <f t="shared" si="12"/>
        <v>18900.50087</v>
      </c>
      <c r="S10" s="20">
        <f t="shared" si="12"/>
        <v>18900.50087</v>
      </c>
      <c r="T10" s="20">
        <f t="shared" si="12"/>
        <v>18436.408372000002</v>
      </c>
      <c r="U10" s="20">
        <f t="shared" si="12"/>
        <v>18436.408372000002</v>
      </c>
      <c r="V10" s="20">
        <f t="shared" si="12"/>
        <v>17650.334529999996</v>
      </c>
      <c r="W10" s="20">
        <f t="shared" si="12"/>
        <v>17650.334529999996</v>
      </c>
      <c r="X10" s="20">
        <f t="shared" si="12"/>
        <v>17643.127510999999</v>
      </c>
      <c r="Y10" s="20">
        <f t="shared" si="12"/>
        <v>17643.127510999999</v>
      </c>
      <c r="Z10" s="20">
        <f t="shared" si="12"/>
        <v>17340.550165000001</v>
      </c>
      <c r="AA10" s="20">
        <f t="shared" si="12"/>
        <v>17340.550165000001</v>
      </c>
      <c r="AB10" s="20">
        <f t="shared" si="12"/>
        <v>16847.332462000006</v>
      </c>
      <c r="AC10" s="20">
        <f t="shared" si="12"/>
        <v>16847.402462000005</v>
      </c>
      <c r="AD10" s="20">
        <f t="shared" si="12"/>
        <v>16059.100249000003</v>
      </c>
      <c r="AE10" s="20">
        <f t="shared" si="12"/>
        <v>16059.100249000003</v>
      </c>
      <c r="AF10" s="20">
        <f t="shared" si="12"/>
        <v>16517.294303000002</v>
      </c>
      <c r="AG10" s="20">
        <f t="shared" si="12"/>
        <v>16517.294303000002</v>
      </c>
      <c r="AH10" s="20">
        <f t="shared" si="12"/>
        <v>15992.846571999999</v>
      </c>
      <c r="AI10" s="20">
        <f t="shared" si="12"/>
        <v>15992.846571999999</v>
      </c>
      <c r="AJ10" s="20">
        <f t="shared" si="12"/>
        <v>15515.216143115398</v>
      </c>
      <c r="AK10" s="20">
        <f t="shared" si="12"/>
        <v>15515.216143115402</v>
      </c>
      <c r="AL10" s="20">
        <f t="shared" si="12"/>
        <v>15048.196862000001</v>
      </c>
      <c r="AM10" s="20">
        <f t="shared" si="12"/>
        <v>15048.196862000001</v>
      </c>
      <c r="AN10" s="20">
        <f t="shared" si="12"/>
        <v>15299.298683999999</v>
      </c>
      <c r="AO10" s="20">
        <f t="shared" si="12"/>
        <v>15299.298683999999</v>
      </c>
      <c r="AP10" s="20">
        <f t="shared" si="12"/>
        <v>14893.188252</v>
      </c>
      <c r="AQ10" s="20">
        <f t="shared" si="12"/>
        <v>14893.188252</v>
      </c>
      <c r="AR10" s="20">
        <f t="shared" si="12"/>
        <v>14459.74516</v>
      </c>
      <c r="AS10" s="20">
        <f t="shared" si="12"/>
        <v>14459.745159999999</v>
      </c>
      <c r="AT10" s="20">
        <f t="shared" si="12"/>
        <v>14050.505474</v>
      </c>
      <c r="AU10" s="20">
        <f t="shared" si="12"/>
        <v>14050.505474</v>
      </c>
      <c r="AV10" s="20">
        <f t="shared" si="12"/>
        <v>13867.533092824999</v>
      </c>
      <c r="AW10" s="20">
        <f t="shared" si="12"/>
        <v>13894.7445095</v>
      </c>
    </row>
    <row r="11" spans="1:49" x14ac:dyDescent="0.25">
      <c r="A11" s="130"/>
      <c r="B11" s="20"/>
      <c r="C11" s="20"/>
      <c r="D11" s="20"/>
      <c r="E11" s="20"/>
      <c r="F11" s="20"/>
      <c r="G11" s="20"/>
      <c r="H11" s="20"/>
      <c r="I11" s="20"/>
      <c r="J11" s="20"/>
      <c r="K11" s="20"/>
      <c r="L11" s="62"/>
      <c r="M11" s="62"/>
      <c r="N11" s="20"/>
      <c r="O11" s="20"/>
      <c r="P11" s="20"/>
      <c r="Q11" s="20"/>
      <c r="R11" s="20"/>
      <c r="S11" s="20"/>
      <c r="T11" s="20"/>
      <c r="U11" s="20"/>
      <c r="V11" s="20"/>
      <c r="W11" s="20"/>
      <c r="X11" s="20"/>
      <c r="Y11" s="20"/>
      <c r="Z11" s="20"/>
      <c r="AA11" s="20"/>
      <c r="AB11" s="20"/>
      <c r="AC11" s="20"/>
      <c r="AD11" s="20"/>
      <c r="AE11" s="20"/>
      <c r="AF11" s="17"/>
      <c r="AG11" s="17"/>
      <c r="AH11" s="20"/>
      <c r="AI11" s="20"/>
      <c r="AJ11" s="20"/>
      <c r="AK11" s="20"/>
      <c r="AL11" s="20"/>
      <c r="AM11" s="20"/>
      <c r="AN11" s="20"/>
      <c r="AO11" s="20"/>
      <c r="AP11" s="20"/>
      <c r="AQ11" s="17"/>
      <c r="AR11" s="17"/>
      <c r="AS11" s="17"/>
      <c r="AT11" s="17"/>
      <c r="AU11" s="17"/>
      <c r="AV11" s="19"/>
      <c r="AW11" s="19"/>
    </row>
    <row r="12" spans="1:49" x14ac:dyDescent="0.25">
      <c r="A12" s="130" t="s">
        <v>73</v>
      </c>
      <c r="B12" s="20">
        <f>+'APM utregning'!B12</f>
        <v>20855.893930000002</v>
      </c>
      <c r="C12" s="20">
        <f>+'APM utregning'!C12</f>
        <v>21472.2816805</v>
      </c>
      <c r="D12" s="20">
        <f>+'APM utregning'!D12</f>
        <v>20533.040904666668</v>
      </c>
      <c r="E12" s="20">
        <f>+'APM utregning'!E12</f>
        <v>20790.940245000005</v>
      </c>
      <c r="F12" s="20">
        <v>20239.5061795</v>
      </c>
      <c r="G12" s="20">
        <v>20239.5061795</v>
      </c>
      <c r="H12" s="20">
        <f>+'APM utregning'!H12</f>
        <v>19250.120560750001</v>
      </c>
      <c r="I12" s="20">
        <f>+'APM utregning'!I12</f>
        <v>19801.529538999999</v>
      </c>
      <c r="J12" s="20">
        <f>+'APM utregning'!J12</f>
        <v>19027.625932000003</v>
      </c>
      <c r="K12" s="20">
        <f>+'APM utregning'!K12</f>
        <v>19325.900545500001</v>
      </c>
      <c r="L12" s="20">
        <f>+'APM utregning'!L12</f>
        <v>18841.562291333335</v>
      </c>
      <c r="M12" s="20">
        <f>+'APM utregning'!M12</f>
        <v>18698.7115825</v>
      </c>
      <c r="N12" s="20">
        <f>+'APM utregning'!N12</f>
        <v>18729.351318500001</v>
      </c>
      <c r="O12" s="20">
        <f>+'APM utregning'!O12</f>
        <v>18729.351318500001</v>
      </c>
      <c r="P12" s="20">
        <v>18351.526998399997</v>
      </c>
      <c r="Q12" s="20">
        <v>19013.882289500001</v>
      </c>
      <c r="R12" s="20">
        <f>'APM utregning'!R12</f>
        <v>18157.59282075</v>
      </c>
      <c r="S12" s="154">
        <f>(S10+T10)/2</f>
        <v>18668.454621000001</v>
      </c>
      <c r="T12" s="20">
        <f>'APM utregning'!T12</f>
        <v>17909.956804333331</v>
      </c>
      <c r="U12" s="20">
        <v>18043.371450999999</v>
      </c>
      <c r="V12" s="20">
        <f>(V10+X10)/2</f>
        <v>17646.731020499996</v>
      </c>
      <c r="W12" s="20">
        <f>(V10+Z10)/2</f>
        <v>17495.4423475</v>
      </c>
      <c r="X12" s="20">
        <f>+'APM utregning'!X12</f>
        <v>16881.480938000001</v>
      </c>
      <c r="Y12" s="20">
        <f>+'APM utregning'!Y12</f>
        <v>17491.838838</v>
      </c>
      <c r="Z12" s="20">
        <f>(Z10+AB10+AD10+AF10)/4</f>
        <v>16691.069294750003</v>
      </c>
      <c r="AA12" s="20">
        <f>(AA10+AB10)/2</f>
        <v>17093.941313500003</v>
      </c>
      <c r="AB12" s="20">
        <f>(AB10+AD10+AF10)/3</f>
        <v>16474.575671333336</v>
      </c>
      <c r="AC12" s="20">
        <f>(AC10+AD10)/2</f>
        <v>16453.251355500004</v>
      </c>
      <c r="AD12" s="20">
        <v>16288.197276000003</v>
      </c>
      <c r="AE12" s="20">
        <v>16288.197276000003</v>
      </c>
      <c r="AF12" s="17">
        <f>(AF10+AH10+AJ10+AL10+AN10)/5</f>
        <v>15674.57051282308</v>
      </c>
      <c r="AG12" s="17">
        <f>(AG10+AH10)/2</f>
        <v>16255.0704375</v>
      </c>
      <c r="AH12" s="20">
        <f>(AH10+AJ10+AL10+AN10)/4</f>
        <v>15463.889565278851</v>
      </c>
      <c r="AI12" s="20">
        <f>(AI10+AJ10)/2</f>
        <v>15754.031357557698</v>
      </c>
      <c r="AJ12" s="20">
        <f>(AJ10+AL10+AN10)/3</f>
        <v>15287.570563038467</v>
      </c>
      <c r="AK12" s="20">
        <f>(AK10+AL10)/2</f>
        <v>15281.706502557701</v>
      </c>
      <c r="AL12" s="20">
        <f>(AL10+AN10)/2</f>
        <v>15173.747772999999</v>
      </c>
      <c r="AM12" s="20">
        <f>(AM10+AN10)/2</f>
        <v>15173.747772999999</v>
      </c>
      <c r="AN12" s="20">
        <f>(AN10+AP10+AR10+AT10+AV10)/5</f>
        <v>14514.054132565001</v>
      </c>
      <c r="AO12" s="20">
        <f>(AO10+AP10)/2</f>
        <v>15096.243468000001</v>
      </c>
      <c r="AP12" s="20">
        <f>(AP10+AR10+AT10+AV10)/4</f>
        <v>14317.742994706248</v>
      </c>
      <c r="AQ12" s="20">
        <f>(AQ10+AR10)/2</f>
        <v>14676.466705999999</v>
      </c>
      <c r="AR12" s="17">
        <f>(AR10+AT10+AV10)/3</f>
        <v>14125.927908941667</v>
      </c>
      <c r="AS12" s="20">
        <f>(AS10+AT10)/2</f>
        <v>14255.125316999998</v>
      </c>
      <c r="AT12" s="17">
        <f>(AT10+AV10)/2</f>
        <v>13959.019283412499</v>
      </c>
      <c r="AU12" s="20">
        <f>(AU10+AV10)/2</f>
        <v>13959.019283412499</v>
      </c>
      <c r="AV12" s="19">
        <v>13119.126429</v>
      </c>
      <c r="AW12" s="19">
        <v>13679.268631000001</v>
      </c>
    </row>
    <row r="13" spans="1:49" x14ac:dyDescent="0.25">
      <c r="A13" s="130"/>
      <c r="B13" s="20"/>
      <c r="C13" s="20"/>
      <c r="D13" s="20"/>
      <c r="E13" s="20"/>
      <c r="F13" s="20"/>
      <c r="G13" s="20"/>
      <c r="H13" s="20"/>
      <c r="I13" s="20"/>
      <c r="J13" s="20"/>
      <c r="K13" s="20"/>
      <c r="L13" s="62"/>
      <c r="M13" s="62"/>
      <c r="N13" s="20"/>
      <c r="O13" s="20"/>
      <c r="P13" s="20"/>
      <c r="Q13" s="20"/>
      <c r="R13" s="20"/>
      <c r="S13" s="20"/>
      <c r="T13" s="20"/>
      <c r="U13" s="20"/>
      <c r="V13" s="20"/>
      <c r="W13" s="20"/>
      <c r="X13" s="20"/>
      <c r="Y13" s="20"/>
      <c r="Z13" s="20"/>
      <c r="AA13" s="20"/>
      <c r="AB13" s="20"/>
      <c r="AC13" s="20"/>
      <c r="AD13" s="20"/>
      <c r="AE13" s="20"/>
      <c r="AF13" s="17"/>
      <c r="AG13" s="17"/>
      <c r="AH13" s="20"/>
      <c r="AI13" s="20"/>
      <c r="AJ13" s="20"/>
      <c r="AK13" s="20"/>
      <c r="AL13" s="20"/>
      <c r="AM13" s="20"/>
      <c r="AN13" s="20"/>
      <c r="AO13" s="20"/>
      <c r="AP13" s="20"/>
      <c r="AQ13" s="17"/>
      <c r="AR13" s="17"/>
      <c r="AS13" s="17"/>
      <c r="AT13" s="17"/>
      <c r="AU13" s="17"/>
      <c r="AV13" s="19"/>
      <c r="AW13" s="19"/>
    </row>
    <row r="14" spans="1:49" x14ac:dyDescent="0.25">
      <c r="A14" s="130" t="s">
        <v>74</v>
      </c>
      <c r="B14" s="20">
        <f>+'APM utregning'!B14</f>
        <v>2878.3176166666672</v>
      </c>
      <c r="C14" s="20">
        <f>+'APM utregning'!C14</f>
        <v>2662.3233819999996</v>
      </c>
      <c r="D14" s="20">
        <f>+'APM utregning'!D14</f>
        <v>2986.3147340000005</v>
      </c>
      <c r="E14" s="20">
        <f>+'APM utregning'!E14</f>
        <v>2980.6325942399994</v>
      </c>
      <c r="F14" s="20">
        <v>2991.9968697599998</v>
      </c>
      <c r="G14" s="20">
        <v>2991.9968697599998</v>
      </c>
      <c r="H14" s="20">
        <f>+'APM utregning'!H14</f>
        <v>1919.2619020200002</v>
      </c>
      <c r="I14" s="20">
        <f>+'APM utregning'!I14</f>
        <v>1761.7427500000001</v>
      </c>
      <c r="J14" s="20">
        <f>+'APM utregning'!J14</f>
        <v>1971.7682846933321</v>
      </c>
      <c r="K14" s="20">
        <f>+'APM utregning'!K14</f>
        <v>2034.1837140000007</v>
      </c>
      <c r="L14" s="20">
        <f>+'APM utregning'!L14</f>
        <v>1940.5605720399999</v>
      </c>
      <c r="M14" s="20">
        <f>+'APM utregning'!M14</f>
        <v>2819.1119439999993</v>
      </c>
      <c r="N14" s="20">
        <f>N6*4</f>
        <v>1062.0092000799998</v>
      </c>
      <c r="O14" s="20">
        <f>O6*4</f>
        <v>1062.0092000799998</v>
      </c>
      <c r="P14" s="20">
        <v>2513.9257054500004</v>
      </c>
      <c r="Q14" s="20">
        <v>1343.5477370799997</v>
      </c>
      <c r="R14" s="20">
        <f>'APM utregning'!R14</f>
        <v>2904.0517013333342</v>
      </c>
      <c r="S14" s="20">
        <f>S6*4</f>
        <v>1913.1020680000004</v>
      </c>
      <c r="T14" s="20">
        <f>'APM utregning'!T14</f>
        <v>3399.5265119999999</v>
      </c>
      <c r="U14" s="20">
        <v>2691.5830119999991</v>
      </c>
      <c r="V14" s="20">
        <f>V6*4</f>
        <v>4107.4700199999997</v>
      </c>
      <c r="W14" s="20">
        <f>W6*4</f>
        <v>4107.4700199999997</v>
      </c>
      <c r="X14" s="20">
        <f>X6/4*4</f>
        <v>2052.2598220000004</v>
      </c>
      <c r="Y14" s="20">
        <f>Y6*4</f>
        <v>1566.4703434799994</v>
      </c>
      <c r="Z14" s="20">
        <f>Z6/3*4</f>
        <v>2214.1896495066676</v>
      </c>
      <c r="AA14" s="20">
        <f>AA6*4</f>
        <v>1888.8833091199999</v>
      </c>
      <c r="AB14" s="20">
        <f>AB6/2*4</f>
        <v>2378.772396939999</v>
      </c>
      <c r="AC14" s="20">
        <f>AC6*4</f>
        <v>2937.1160429999995</v>
      </c>
      <c r="AD14" s="20">
        <v>1820.4287548800005</v>
      </c>
      <c r="AE14" s="20">
        <v>1820.4287548800005</v>
      </c>
      <c r="AF14" s="17">
        <f>AF6</f>
        <v>1795.0915454174997</v>
      </c>
      <c r="AG14" s="17">
        <f>AG6*4</f>
        <v>2179.7842086799997</v>
      </c>
      <c r="AH14" s="20">
        <f>AH6/3*4</f>
        <v>1667.169476</v>
      </c>
      <c r="AI14" s="20">
        <f>AI6*4</f>
        <v>1965.1618419999993</v>
      </c>
      <c r="AJ14" s="20">
        <f>AJ6/2*4</f>
        <v>1518.101668</v>
      </c>
      <c r="AK14" s="20">
        <f>AK6*4</f>
        <v>1603.29377866</v>
      </c>
      <c r="AL14" s="20">
        <f>AL6*4</f>
        <v>1432.718224</v>
      </c>
      <c r="AM14" s="20">
        <f>AM6*4</f>
        <v>1432.126349019999</v>
      </c>
      <c r="AN14" s="20">
        <f>AN6</f>
        <v>1647.0769379949995</v>
      </c>
      <c r="AO14" s="20">
        <f>AO6*4</f>
        <v>1847.9806079800005</v>
      </c>
      <c r="AP14" s="20">
        <f>AP6/3*4</f>
        <v>1580.0700453333327</v>
      </c>
      <c r="AQ14" s="20">
        <f>AQ6*4</f>
        <v>1656.1028040000003</v>
      </c>
      <c r="AR14" s="20">
        <f>AR6/2*4</f>
        <v>1542.0536680000009</v>
      </c>
      <c r="AS14" s="20">
        <f>AS6*4</f>
        <v>1839.9077840000002</v>
      </c>
      <c r="AT14" s="20">
        <f>AT6*4</f>
        <v>1244.1995520000003</v>
      </c>
      <c r="AU14" s="20">
        <f>AU6*4</f>
        <v>1244.1995520000003</v>
      </c>
      <c r="AV14" s="20">
        <f>AV6</f>
        <v>1417.9498827250004</v>
      </c>
      <c r="AW14" s="20">
        <f>AW6*4</f>
        <v>1148.8140160000005</v>
      </c>
    </row>
    <row r="15" spans="1:49" x14ac:dyDescent="0.25">
      <c r="A15" s="131" t="s">
        <v>75</v>
      </c>
      <c r="B15" s="20">
        <f>+'APM utregning'!B15</f>
        <v>20855.893930000002</v>
      </c>
      <c r="C15" s="20">
        <f>+'APM utregning'!C15</f>
        <v>21472.2816805</v>
      </c>
      <c r="D15" s="20">
        <f>+'APM utregning'!D15</f>
        <v>20533.040904666668</v>
      </c>
      <c r="E15" s="20">
        <f>+'APM utregning'!E15</f>
        <v>20790.940245000005</v>
      </c>
      <c r="F15" s="20">
        <v>20239.5061795</v>
      </c>
      <c r="G15" s="20">
        <v>20239.5061795</v>
      </c>
      <c r="H15" s="20">
        <f>+'APM utregning'!H15</f>
        <v>19225.549190400001</v>
      </c>
      <c r="I15" s="20">
        <f>+'APM utregning'!I15</f>
        <v>19801.529538999999</v>
      </c>
      <c r="J15" s="20">
        <f>+'APM utregning'!J15</f>
        <v>19027.625932000003</v>
      </c>
      <c r="K15" s="20">
        <f>+'APM utregning'!K15</f>
        <v>19325.900545500001</v>
      </c>
      <c r="L15" s="20">
        <f>+'APM utregning'!L15</f>
        <v>18841.562291333335</v>
      </c>
      <c r="M15" s="20">
        <f>+'APM utregning'!M15</f>
        <v>18698.7115825</v>
      </c>
      <c r="N15" s="21">
        <f t="shared" ref="N15:O15" si="14">N12</f>
        <v>18729.351318500001</v>
      </c>
      <c r="O15" s="21">
        <f t="shared" si="14"/>
        <v>18729.351318500001</v>
      </c>
      <c r="P15" s="21">
        <v>18351.526998399997</v>
      </c>
      <c r="Q15" s="21">
        <v>19013.882289500001</v>
      </c>
      <c r="R15" s="21">
        <f>'APM utregning'!R15</f>
        <v>18157.59282075</v>
      </c>
      <c r="S15" s="21">
        <f t="shared" ref="S15" si="15">S12</f>
        <v>18668.454621000001</v>
      </c>
      <c r="T15" s="21">
        <v>17909.956804333331</v>
      </c>
      <c r="U15" s="21">
        <v>18043.371450999999</v>
      </c>
      <c r="V15" s="21">
        <f t="shared" ref="V15:W15" si="16">V12</f>
        <v>17646.731020499996</v>
      </c>
      <c r="W15" s="21">
        <f t="shared" si="16"/>
        <v>17495.4423475</v>
      </c>
      <c r="X15" s="21">
        <f t="shared" ref="X15" si="17">X12</f>
        <v>16881.480938000001</v>
      </c>
      <c r="Y15" s="21">
        <f t="shared" ref="Y15" si="18">Y12</f>
        <v>17491.838838</v>
      </c>
      <c r="Z15" s="21">
        <f t="shared" ref="Z15:AC15" si="19">Z12</f>
        <v>16691.069294750003</v>
      </c>
      <c r="AA15" s="21">
        <f t="shared" si="19"/>
        <v>17093.941313500003</v>
      </c>
      <c r="AB15" s="21">
        <f t="shared" si="19"/>
        <v>16474.575671333336</v>
      </c>
      <c r="AC15" s="21">
        <f t="shared" si="19"/>
        <v>16453.251355500004</v>
      </c>
      <c r="AD15" s="21">
        <v>16288.197276000003</v>
      </c>
      <c r="AE15" s="21">
        <v>16288.197276000003</v>
      </c>
      <c r="AF15" s="18">
        <f t="shared" ref="AF15:AK15" si="20">AF12</f>
        <v>15674.57051282308</v>
      </c>
      <c r="AG15" s="18">
        <f t="shared" si="20"/>
        <v>16255.0704375</v>
      </c>
      <c r="AH15" s="21">
        <f t="shared" si="20"/>
        <v>15463.889565278851</v>
      </c>
      <c r="AI15" s="21">
        <f t="shared" si="20"/>
        <v>15754.031357557698</v>
      </c>
      <c r="AJ15" s="21">
        <f t="shared" si="20"/>
        <v>15287.570563038467</v>
      </c>
      <c r="AK15" s="21">
        <f t="shared" si="20"/>
        <v>15281.706502557701</v>
      </c>
      <c r="AL15" s="21">
        <f t="shared" ref="AL15:AW15" si="21">AL12</f>
        <v>15173.747772999999</v>
      </c>
      <c r="AM15" s="21">
        <f t="shared" si="21"/>
        <v>15173.747772999999</v>
      </c>
      <c r="AN15" s="21">
        <f t="shared" si="21"/>
        <v>14514.054132565001</v>
      </c>
      <c r="AO15" s="21">
        <f t="shared" si="21"/>
        <v>15096.243468000001</v>
      </c>
      <c r="AP15" s="21">
        <f t="shared" si="21"/>
        <v>14317.742994706248</v>
      </c>
      <c r="AQ15" s="21">
        <f t="shared" si="21"/>
        <v>14676.466705999999</v>
      </c>
      <c r="AR15" s="21">
        <f t="shared" si="21"/>
        <v>14125.927908941667</v>
      </c>
      <c r="AS15" s="21">
        <f t="shared" si="21"/>
        <v>14255.125316999998</v>
      </c>
      <c r="AT15" s="21">
        <f t="shared" si="21"/>
        <v>13959.019283412499</v>
      </c>
      <c r="AU15" s="21">
        <f t="shared" si="21"/>
        <v>13959.019283412499</v>
      </c>
      <c r="AV15" s="21">
        <f t="shared" si="21"/>
        <v>13119.126429</v>
      </c>
      <c r="AW15" s="21">
        <f t="shared" si="21"/>
        <v>13679.268631000001</v>
      </c>
    </row>
    <row r="16" spans="1:49" ht="15.75" thickBot="1" x14ac:dyDescent="0.3">
      <c r="A16" s="16" t="s">
        <v>76</v>
      </c>
      <c r="B16" s="56">
        <f t="shared" ref="B16:C16" si="22">B14/B15</f>
        <v>0.13800979360210366</v>
      </c>
      <c r="C16" s="56">
        <f t="shared" si="22"/>
        <v>0.12398884392513265</v>
      </c>
      <c r="D16" s="56">
        <f t="shared" ref="D16:E16" si="23">D14/D15</f>
        <v>0.14543947717560349</v>
      </c>
      <c r="E16" s="56">
        <f t="shared" si="23"/>
        <v>0.14336208748215748</v>
      </c>
      <c r="F16" s="56">
        <v>0.14782953908186283</v>
      </c>
      <c r="G16" s="56">
        <v>0.14782953908186283</v>
      </c>
      <c r="H16" s="56">
        <f t="shared" ref="H16:I16" si="24">H14/H15</f>
        <v>9.9828716621440175E-2</v>
      </c>
      <c r="I16" s="56">
        <f t="shared" si="24"/>
        <v>8.8970033679982588E-2</v>
      </c>
      <c r="J16" s="56">
        <f t="shared" ref="J16:K16" si="25">J14/J15</f>
        <v>0.10362660542833567</v>
      </c>
      <c r="K16" s="56">
        <f t="shared" si="25"/>
        <v>0.10525686548012669</v>
      </c>
      <c r="L16" s="56">
        <f t="shared" ref="L16:M16" si="26">L14/L15</f>
        <v>0.1029936128456084</v>
      </c>
      <c r="M16" s="56">
        <f t="shared" si="26"/>
        <v>0.15076503702203672</v>
      </c>
      <c r="N16" s="56">
        <f t="shared" ref="N16:O16" si="27">N14/N15</f>
        <v>5.6702935516565141E-2</v>
      </c>
      <c r="O16" s="56">
        <f t="shared" si="27"/>
        <v>5.6702935516565141E-2</v>
      </c>
      <c r="P16" s="56">
        <v>0.13698727662658156</v>
      </c>
      <c r="Q16" s="56">
        <v>7.0661410259279051E-2</v>
      </c>
      <c r="R16" s="56">
        <f>'APM utregning'!R16</f>
        <v>0.15993594139938327</v>
      </c>
      <c r="S16" s="56">
        <f t="shared" ref="S16:T16" si="28">S14/S15</f>
        <v>0.10247779512761418</v>
      </c>
      <c r="T16" s="56">
        <f t="shared" si="28"/>
        <v>0.18981210000336132</v>
      </c>
      <c r="U16" s="56">
        <v>0.14917295358627816</v>
      </c>
      <c r="V16" s="56">
        <f t="shared" ref="V16:W16" si="29">V14/V15</f>
        <v>0.23276095811900804</v>
      </c>
      <c r="W16" s="56">
        <f t="shared" si="29"/>
        <v>0.23477371640088507</v>
      </c>
      <c r="X16" s="56">
        <f t="shared" ref="X16" si="30">X14/X15</f>
        <v>0.1215687077180764</v>
      </c>
      <c r="Y16" s="56">
        <f t="shared" ref="Y16" si="31">Y14/Y15</f>
        <v>8.9554354918759821E-2</v>
      </c>
      <c r="Z16" s="56">
        <f t="shared" ref="Z16:AC16" si="32">Z14/Z15</f>
        <v>0.13265714798770364</v>
      </c>
      <c r="AA16" s="56">
        <f t="shared" si="32"/>
        <v>0.11050016344845219</v>
      </c>
      <c r="AB16" s="56">
        <f t="shared" si="32"/>
        <v>0.14439051083295537</v>
      </c>
      <c r="AC16" s="56">
        <f t="shared" si="32"/>
        <v>0.17851280452347665</v>
      </c>
      <c r="AD16" s="56">
        <v>0.11176367304700616</v>
      </c>
      <c r="AE16" s="56">
        <v>0.11176367304700616</v>
      </c>
      <c r="AF16" s="55">
        <f>AF14/AF15</f>
        <v>0.11452253469713687</v>
      </c>
      <c r="AG16" s="55">
        <f t="shared" ref="AG16:AK16" si="33">AG14/AG15</f>
        <v>0.13409872427567571</v>
      </c>
      <c r="AH16" s="56">
        <f t="shared" si="33"/>
        <v>0.10781048771476641</v>
      </c>
      <c r="AI16" s="56">
        <f t="shared" si="33"/>
        <v>0.12474025202807852</v>
      </c>
      <c r="AJ16" s="56">
        <f t="shared" si="33"/>
        <v>9.9303003164570261E-2</v>
      </c>
      <c r="AK16" s="56">
        <f t="shared" si="33"/>
        <v>0.10491588608848472</v>
      </c>
      <c r="AL16" s="56">
        <f t="shared" ref="AL16:AW16" si="34">AL14/AL15</f>
        <v>9.442085405883463E-2</v>
      </c>
      <c r="AM16" s="56">
        <f t="shared" si="34"/>
        <v>9.4381847546478201E-2</v>
      </c>
      <c r="AN16" s="56">
        <f t="shared" si="34"/>
        <v>0.11348152094179349</v>
      </c>
      <c r="AO16" s="56">
        <f t="shared" si="34"/>
        <v>0.12241327532224988</v>
      </c>
      <c r="AP16" s="56">
        <f t="shared" si="34"/>
        <v>0.11035748063906006</v>
      </c>
      <c r="AQ16" s="56">
        <f t="shared" si="34"/>
        <v>0.11284070186477214</v>
      </c>
      <c r="AR16" s="56">
        <f t="shared" si="34"/>
        <v>0.10916476977231959</v>
      </c>
      <c r="AS16" s="56">
        <f t="shared" si="34"/>
        <v>0.12906991296707943</v>
      </c>
      <c r="AT16" s="56">
        <f t="shared" si="34"/>
        <v>8.9132304120998124E-2</v>
      </c>
      <c r="AU16" s="56">
        <f t="shared" si="34"/>
        <v>8.9132304120998124E-2</v>
      </c>
      <c r="AV16" s="56">
        <f t="shared" si="34"/>
        <v>0.10808264486197829</v>
      </c>
      <c r="AW16" s="56">
        <f t="shared" si="34"/>
        <v>8.3982122655048577E-2</v>
      </c>
    </row>
    <row r="17" spans="1:49" x14ac:dyDescent="0.25">
      <c r="B17" s="164"/>
      <c r="C17" s="164"/>
      <c r="D17" s="163"/>
      <c r="E17" s="163"/>
      <c r="F17" s="163"/>
      <c r="G17" s="163"/>
      <c r="H17" s="163"/>
      <c r="I17" s="163"/>
      <c r="J17" s="163"/>
      <c r="K17" s="164"/>
      <c r="L17" s="164"/>
      <c r="M17" s="164"/>
      <c r="N17" s="163"/>
      <c r="O17" s="163"/>
      <c r="P17" s="163"/>
      <c r="Q17" s="163"/>
      <c r="R17" s="163"/>
      <c r="S17" s="164"/>
      <c r="T17" s="164"/>
      <c r="U17" s="163"/>
      <c r="V17" s="164"/>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row>
    <row r="18" spans="1:49" x14ac:dyDescent="0.25">
      <c r="D18" s="88"/>
      <c r="E18" s="88"/>
      <c r="F18" s="88"/>
      <c r="G18" s="88"/>
      <c r="H18" s="88"/>
      <c r="I18" s="88"/>
      <c r="J18" s="88"/>
      <c r="P18" s="88"/>
      <c r="Q18" s="88"/>
      <c r="T18" s="88"/>
      <c r="V18" s="88"/>
      <c r="W18" s="88"/>
      <c r="X18" s="88"/>
      <c r="Y18" s="88"/>
      <c r="Z18" s="88"/>
      <c r="AB18" s="88"/>
      <c r="AC18" s="88"/>
      <c r="AD18" s="88"/>
      <c r="AE18" s="88"/>
    </row>
    <row r="19" spans="1:49" x14ac:dyDescent="0.25">
      <c r="A19" s="132" t="s">
        <v>77</v>
      </c>
      <c r="B19" s="87">
        <f>'APM utregning'!B19</f>
        <v>0.63953153964985376</v>
      </c>
      <c r="C19" s="87"/>
      <c r="D19" s="87">
        <f>'APM utregning'!D19</f>
        <v>0.63953176795849465</v>
      </c>
      <c r="E19" s="87"/>
      <c r="F19" s="87">
        <v>0.63953192617556831</v>
      </c>
      <c r="G19" s="87"/>
      <c r="H19" s="87">
        <f>'APM utregning'!H19</f>
        <v>0.63953210596049925</v>
      </c>
      <c r="I19" s="87"/>
      <c r="J19" s="87">
        <f>'APM utregning'!J19</f>
        <v>0.63953208858948796</v>
      </c>
      <c r="K19" s="65"/>
      <c r="L19" s="87">
        <f>'APM utregning'!L19</f>
        <v>0.63953228299405873</v>
      </c>
      <c r="M19" s="65"/>
      <c r="N19" s="87">
        <f>'APM utregning'!N19</f>
        <v>0.63953255936274622</v>
      </c>
      <c r="O19" s="87"/>
      <c r="P19" s="87">
        <v>0.63953309032043071</v>
      </c>
      <c r="Q19" s="87"/>
      <c r="R19" s="87">
        <f>'APM utregning'!R19</f>
        <v>0.63953308635252815</v>
      </c>
      <c r="S19" s="87"/>
      <c r="T19" s="87">
        <v>0.63953272901145786</v>
      </c>
      <c r="U19" s="87"/>
      <c r="V19" s="87">
        <f>'APM utregning'!V19</f>
        <v>0.63953308726153268</v>
      </c>
      <c r="W19" s="87"/>
      <c r="X19" s="87">
        <f>'APM utregning'!X19</f>
        <v>0.63953424400540748</v>
      </c>
      <c r="Y19" s="87"/>
      <c r="Z19" s="87">
        <f>'APM utregning'!Z19</f>
        <v>0.63953460622927494</v>
      </c>
      <c r="AA19" s="87"/>
      <c r="AB19" s="87">
        <v>0.63949999999999996</v>
      </c>
      <c r="AC19" s="87"/>
      <c r="AD19" s="87">
        <v>0.63949999999999996</v>
      </c>
      <c r="AE19" s="87"/>
      <c r="AF19" s="26">
        <v>0.63949999999999996</v>
      </c>
      <c r="AG19" s="26"/>
      <c r="AH19" s="26">
        <v>0.63949999999999996</v>
      </c>
      <c r="AI19" s="26"/>
      <c r="AJ19" s="26">
        <v>0.63949999999999996</v>
      </c>
      <c r="AK19" s="26"/>
      <c r="AL19" s="26">
        <v>0.63949999999999996</v>
      </c>
      <c r="AM19" s="26"/>
      <c r="AN19" s="26">
        <v>0.63949999999999996</v>
      </c>
      <c r="AO19" s="26"/>
      <c r="AP19" s="23">
        <v>0.63956838636193558</v>
      </c>
      <c r="AR19" s="23">
        <v>0.63956838636193558</v>
      </c>
      <c r="AT19" s="23">
        <v>0.63956838636193558</v>
      </c>
      <c r="AV19" s="23">
        <v>0.63956452367169381</v>
      </c>
    </row>
    <row r="20" spans="1:49" x14ac:dyDescent="0.25">
      <c r="A20" s="132" t="s">
        <v>78</v>
      </c>
      <c r="B20" s="76">
        <f>'APM utregning'!B20</f>
        <v>239.13271800000001</v>
      </c>
      <c r="C20" s="76"/>
      <c r="D20" s="76">
        <f>'APM utregning'!D20</f>
        <v>239.13271800000001</v>
      </c>
      <c r="E20" s="76"/>
      <c r="F20" s="76">
        <v>239.13271800000001</v>
      </c>
      <c r="G20" s="76"/>
      <c r="H20" s="76">
        <f>'APM utregning'!H20</f>
        <v>239.13271800000001</v>
      </c>
      <c r="I20" s="76"/>
      <c r="J20" s="76">
        <f>'APM utregning'!J20</f>
        <v>189.30649</v>
      </c>
      <c r="K20" s="66"/>
      <c r="L20" s="76">
        <f>'APM utregning'!L20</f>
        <v>189.30649</v>
      </c>
      <c r="M20" s="66"/>
      <c r="N20" s="76">
        <f>'APM utregning'!N20</f>
        <v>189.30649</v>
      </c>
      <c r="O20" s="76"/>
      <c r="P20" s="76">
        <v>189.30649</v>
      </c>
      <c r="Q20" s="76"/>
      <c r="R20" s="76">
        <f>'APM utregning'!R20</f>
        <v>155.47383300000001</v>
      </c>
      <c r="S20" s="76"/>
      <c r="T20" s="76">
        <v>155.47383300000001</v>
      </c>
      <c r="U20" s="76"/>
      <c r="V20" s="76">
        <f>'APM utregning'!V20</f>
        <v>155.47383300000001</v>
      </c>
      <c r="W20" s="76"/>
      <c r="X20" s="76">
        <f>'APM utregning'!X20</f>
        <v>155.47383300000001</v>
      </c>
      <c r="Y20" s="76"/>
      <c r="Z20" s="76">
        <f>'APM utregning'!Z20</f>
        <v>126.145752</v>
      </c>
      <c r="AA20" s="76"/>
      <c r="AB20" s="76">
        <v>126.145752</v>
      </c>
      <c r="AC20" s="76"/>
      <c r="AD20" s="76">
        <v>126.145752</v>
      </c>
      <c r="AE20" s="76"/>
      <c r="AF20" s="19">
        <v>126.145752</v>
      </c>
      <c r="AG20" s="19"/>
      <c r="AH20" s="19">
        <v>139.03655800000001</v>
      </c>
      <c r="AI20" s="19"/>
      <c r="AJ20" s="19">
        <v>139.03655800000001</v>
      </c>
      <c r="AK20" s="19"/>
      <c r="AL20" s="19">
        <v>139.03655800000001</v>
      </c>
      <c r="AM20" s="19"/>
      <c r="AN20" s="19">
        <v>139.03655800000001</v>
      </c>
      <c r="AO20" s="19"/>
      <c r="AP20" s="19">
        <v>232.549859</v>
      </c>
      <c r="AQ20" s="19"/>
      <c r="AR20" s="19">
        <v>232.549859</v>
      </c>
      <c r="AS20" s="19"/>
      <c r="AT20" s="19">
        <v>289.83471900000001</v>
      </c>
      <c r="AU20" s="19"/>
      <c r="AV20" s="19">
        <v>289.83471900000001</v>
      </c>
    </row>
    <row r="21" spans="1:49" x14ac:dyDescent="0.25">
      <c r="A21" s="132" t="s">
        <v>79</v>
      </c>
      <c r="B21" s="76">
        <f>'APM utregning'!B21</f>
        <v>4439.8006727476004</v>
      </c>
      <c r="C21" s="76"/>
      <c r="D21" s="76">
        <f>'APM utregning'!D21</f>
        <v>3758.27693</v>
      </c>
      <c r="E21" s="76"/>
      <c r="F21" s="76">
        <v>3050.0547569999999</v>
      </c>
      <c r="G21" s="76"/>
      <c r="H21" s="76">
        <f>'APM utregning'!H21</f>
        <v>2366.159991</v>
      </c>
      <c r="I21" s="76"/>
      <c r="J21" s="76">
        <f>'APM utregning'!J21</f>
        <v>3256.7551515899831</v>
      </c>
      <c r="K21" s="66"/>
      <c r="L21" s="76">
        <f>'APM utregning'!L21</f>
        <v>2764.8662269999995</v>
      </c>
      <c r="M21" s="66"/>
      <c r="N21" s="76">
        <f>'APM utregning'!N21</f>
        <v>2050.018247</v>
      </c>
      <c r="O21" s="76"/>
      <c r="P21" s="76">
        <v>1826.727844</v>
      </c>
      <c r="Q21" s="76"/>
      <c r="R21" s="76">
        <f>'APM utregning'!R21</f>
        <v>3760.7976989999997</v>
      </c>
      <c r="S21" s="76"/>
      <c r="T21" s="76">
        <v>3294.5596700000001</v>
      </c>
      <c r="U21" s="76"/>
      <c r="V21" s="76">
        <f>'APM utregning'!V21</f>
        <v>2641.3693649999996</v>
      </c>
      <c r="W21" s="76"/>
      <c r="X21" s="76">
        <f>'APM utregning'!X21</f>
        <v>1608.2590980000002</v>
      </c>
      <c r="Y21" s="76"/>
      <c r="Z21" s="76">
        <f>'APM utregning'!Z21</f>
        <v>3197.8652599999996</v>
      </c>
      <c r="AA21" s="76"/>
      <c r="AB21" s="76">
        <v>2711.966719</v>
      </c>
      <c r="AC21" s="76"/>
      <c r="AD21" s="76">
        <v>1981.3340816217726</v>
      </c>
      <c r="AE21" s="76"/>
      <c r="AF21" s="19">
        <v>1546.6467709999997</v>
      </c>
      <c r="AG21" s="19"/>
      <c r="AH21" s="19">
        <f>1891.111873+3.651389</f>
        <v>1894.7632620000002</v>
      </c>
      <c r="AI21" s="19"/>
      <c r="AJ21" s="19">
        <f>3.699139+1901.636422</f>
        <v>1905.3355610000001</v>
      </c>
      <c r="AK21" s="19"/>
      <c r="AL21" s="19">
        <f>3.762917+1921.46862452958</f>
        <v>1925.23154152958</v>
      </c>
      <c r="AM21" s="19"/>
      <c r="AN21" s="19">
        <v>1656.3721639999999</v>
      </c>
      <c r="AO21" s="19"/>
      <c r="AP21" s="19">
        <f>3.842917+1678.69830042076</f>
        <v>1682.5412174207599</v>
      </c>
      <c r="AQ21" s="19"/>
      <c r="AR21" s="19">
        <f>3.685028+1680.74499610025</f>
        <v>1684.4300241002502</v>
      </c>
      <c r="AS21" s="19"/>
      <c r="AT21" s="19">
        <f>3.793069+1705.13252024665</f>
        <v>1708.9255892466501</v>
      </c>
      <c r="AU21" s="19"/>
      <c r="AV21" s="19">
        <v>1597.0129869999998</v>
      </c>
    </row>
    <row r="22" spans="1:49" x14ac:dyDescent="0.25">
      <c r="A22" s="132" t="s">
        <v>144</v>
      </c>
      <c r="B22" s="76">
        <f t="shared" ref="B22" si="35">129836443-B23-B24</f>
        <v>129387296</v>
      </c>
      <c r="C22" s="76">
        <f>B22</f>
        <v>129387296</v>
      </c>
      <c r="D22" s="76">
        <f t="shared" ref="D22:J22" si="36">129836443-D23-D24</f>
        <v>129363668</v>
      </c>
      <c r="E22" s="76">
        <f>D22</f>
        <v>129363668</v>
      </c>
      <c r="F22" s="76">
        <v>129219894</v>
      </c>
      <c r="G22" s="76">
        <v>129219894</v>
      </c>
      <c r="H22" s="76">
        <f t="shared" ref="H22" si="37">129836443-H23-H24</f>
        <v>129390824</v>
      </c>
      <c r="I22" s="76">
        <f>H22</f>
        <v>129390824</v>
      </c>
      <c r="J22" s="76">
        <f t="shared" si="36"/>
        <v>129437898</v>
      </c>
      <c r="K22" s="76">
        <f>J22</f>
        <v>129437898</v>
      </c>
      <c r="L22" s="76">
        <f t="shared" ref="L22:N22" si="38">129836443-L23-L24</f>
        <v>129386673</v>
      </c>
      <c r="M22" s="76">
        <f>L22</f>
        <v>129386673</v>
      </c>
      <c r="N22" s="76">
        <f t="shared" si="38"/>
        <v>129218754</v>
      </c>
      <c r="O22" s="76">
        <f>N22</f>
        <v>129218754</v>
      </c>
      <c r="P22" s="76">
        <v>129303983</v>
      </c>
      <c r="Q22" s="76">
        <v>129303983</v>
      </c>
      <c r="R22" s="76">
        <f>'APM utregning'!R22</f>
        <v>129481331</v>
      </c>
      <c r="S22" s="76">
        <f>R22</f>
        <v>129481331</v>
      </c>
      <c r="T22" s="76">
        <v>129663705</v>
      </c>
      <c r="U22" s="76">
        <v>129663705</v>
      </c>
      <c r="V22" s="76">
        <f>'APM utregning'!V22</f>
        <v>129409079</v>
      </c>
      <c r="W22" s="76">
        <f>V22</f>
        <v>129409079</v>
      </c>
      <c r="X22" s="76">
        <f t="shared" ref="X22" si="39">129836443-X23-X24</f>
        <v>129623739</v>
      </c>
      <c r="Y22" s="76">
        <f>X22</f>
        <v>129623739</v>
      </c>
      <c r="Z22" s="76">
        <f t="shared" ref="Z22" si="40">129836443-Z23-Z24</f>
        <v>129441739</v>
      </c>
      <c r="AA22" s="76">
        <f>Z22</f>
        <v>129441739</v>
      </c>
      <c r="AB22" s="76">
        <f t="shared" ref="AB22:AC22" si="41">129836443-AB23-AB24</f>
        <v>129305183</v>
      </c>
      <c r="AC22" s="76">
        <f t="shared" si="41"/>
        <v>129305183</v>
      </c>
      <c r="AD22" s="76">
        <v>129309239</v>
      </c>
      <c r="AE22" s="76">
        <v>129309239</v>
      </c>
      <c r="AF22" s="19">
        <f t="shared" ref="AF22:AL22" si="42">129836443-AF23-AF24</f>
        <v>129379137</v>
      </c>
      <c r="AG22" s="19">
        <f t="shared" si="42"/>
        <v>129379137</v>
      </c>
      <c r="AH22" s="19">
        <f t="shared" si="42"/>
        <v>129402711</v>
      </c>
      <c r="AI22" s="19">
        <f t="shared" si="42"/>
        <v>129402711</v>
      </c>
      <c r="AJ22" s="19">
        <f t="shared" si="42"/>
        <v>129536890</v>
      </c>
      <c r="AK22" s="19">
        <f t="shared" si="42"/>
        <v>129536890</v>
      </c>
      <c r="AL22" s="19">
        <f t="shared" si="42"/>
        <v>129483846</v>
      </c>
      <c r="AM22" s="19">
        <f t="shared" ref="AM22:AO22" si="43">129836443-AM23-AM24</f>
        <v>129483846</v>
      </c>
      <c r="AN22" s="19">
        <f t="shared" si="43"/>
        <v>129636564</v>
      </c>
      <c r="AO22" s="19">
        <f t="shared" si="43"/>
        <v>129636564</v>
      </c>
      <c r="AP22" s="19">
        <f t="shared" ref="AP22:AW22" si="44">129836443-AP23-AP24</f>
        <v>129661718</v>
      </c>
      <c r="AQ22" s="19">
        <f t="shared" si="44"/>
        <v>129661718</v>
      </c>
      <c r="AR22" s="19">
        <f t="shared" si="44"/>
        <v>129466693</v>
      </c>
      <c r="AS22" s="19">
        <f t="shared" si="44"/>
        <v>129466693</v>
      </c>
      <c r="AT22" s="19">
        <f t="shared" si="44"/>
        <v>129470619</v>
      </c>
      <c r="AU22" s="19">
        <f t="shared" si="44"/>
        <v>129470619</v>
      </c>
      <c r="AV22" s="19">
        <f t="shared" si="44"/>
        <v>129432210</v>
      </c>
      <c r="AW22" s="19">
        <f t="shared" si="44"/>
        <v>129432210</v>
      </c>
    </row>
    <row r="23" spans="1:49" x14ac:dyDescent="0.25">
      <c r="A23" s="132" t="s">
        <v>140</v>
      </c>
      <c r="B23" s="76">
        <f>'APM utregning'!B23</f>
        <v>606</v>
      </c>
      <c r="C23" s="76">
        <f>'APM utregning'!C23</f>
        <v>606</v>
      </c>
      <c r="D23" s="76">
        <f>'APM utregning'!D23</f>
        <v>606</v>
      </c>
      <c r="E23" s="76">
        <f>'APM utregning'!E23</f>
        <v>606</v>
      </c>
      <c r="F23" s="76">
        <v>631</v>
      </c>
      <c r="G23" s="76">
        <v>631</v>
      </c>
      <c r="H23" s="76">
        <f>'APM utregning'!H23</f>
        <v>695</v>
      </c>
      <c r="I23" s="76">
        <f>'APM utregning'!I23</f>
        <v>695</v>
      </c>
      <c r="J23" s="76">
        <f>'APM utregning'!J23</f>
        <v>695</v>
      </c>
      <c r="K23" s="76">
        <f>'APM utregning'!K23</f>
        <v>695</v>
      </c>
      <c r="L23" s="76">
        <f>'APM utregning'!L23</f>
        <v>695</v>
      </c>
      <c r="M23" s="76">
        <f>'APM utregning'!M23</f>
        <v>695</v>
      </c>
      <c r="N23" s="76">
        <f>'APM utregning'!N23</f>
        <v>695</v>
      </c>
      <c r="O23" s="76">
        <f>'APM utregning'!O23</f>
        <v>695</v>
      </c>
      <c r="P23" s="76">
        <v>625</v>
      </c>
      <c r="Q23" s="76">
        <v>625</v>
      </c>
      <c r="R23" s="76">
        <f>'APM utregning'!R23</f>
        <v>625</v>
      </c>
      <c r="S23" s="76">
        <f>'APM utregning'!S23</f>
        <v>625</v>
      </c>
      <c r="T23" s="76">
        <v>876</v>
      </c>
      <c r="U23" s="76">
        <v>876</v>
      </c>
      <c r="V23" s="76">
        <f>'APM utregning'!V23</f>
        <v>812</v>
      </c>
      <c r="W23" s="76">
        <f>'APM utregning'!W23</f>
        <v>812</v>
      </c>
      <c r="X23" s="76">
        <f>'APM utregning'!X23</f>
        <v>620</v>
      </c>
      <c r="Y23" s="76">
        <f>'APM utregning'!Y23</f>
        <v>620</v>
      </c>
      <c r="Z23" s="76">
        <f>'APM utregning'!Z23</f>
        <v>620</v>
      </c>
      <c r="AA23" s="76">
        <f>'APM utregning'!AA23</f>
        <v>620</v>
      </c>
      <c r="AB23" s="76">
        <v>620</v>
      </c>
      <c r="AC23" s="76">
        <v>620</v>
      </c>
      <c r="AD23" s="76">
        <v>620</v>
      </c>
      <c r="AE23" s="76">
        <v>620</v>
      </c>
      <c r="AF23" s="19">
        <v>1995</v>
      </c>
      <c r="AG23" s="19">
        <v>1995</v>
      </c>
      <c r="AH23" s="19">
        <v>2820</v>
      </c>
      <c r="AI23" s="19">
        <v>2820</v>
      </c>
      <c r="AJ23" s="19">
        <v>2820</v>
      </c>
      <c r="AK23" s="19">
        <v>2820</v>
      </c>
      <c r="AL23" s="19">
        <v>2737</v>
      </c>
      <c r="AM23" s="19">
        <v>2737</v>
      </c>
      <c r="AN23" s="19">
        <v>4240</v>
      </c>
      <c r="AO23" s="19">
        <v>4240</v>
      </c>
      <c r="AP23" s="19">
        <v>4240</v>
      </c>
      <c r="AQ23" s="19">
        <v>4240</v>
      </c>
      <c r="AR23" s="19">
        <v>4240</v>
      </c>
      <c r="AS23" s="19">
        <v>4240</v>
      </c>
      <c r="AT23" s="19">
        <v>4061</v>
      </c>
      <c r="AU23" s="19">
        <v>4061</v>
      </c>
      <c r="AV23" s="19">
        <v>6431</v>
      </c>
      <c r="AW23" s="19">
        <v>6431</v>
      </c>
    </row>
    <row r="24" spans="1:49" x14ac:dyDescent="0.25">
      <c r="A24" s="132" t="s">
        <v>141</v>
      </c>
      <c r="B24" s="76">
        <f>'APM utregning'!B24</f>
        <v>448541</v>
      </c>
      <c r="C24" s="76">
        <f>'APM utregning'!C24</f>
        <v>448541</v>
      </c>
      <c r="D24" s="76">
        <f>'APM utregning'!D24</f>
        <v>472169</v>
      </c>
      <c r="E24" s="76">
        <f>'APM utregning'!E24</f>
        <v>472169</v>
      </c>
      <c r="F24" s="76">
        <v>615918</v>
      </c>
      <c r="G24" s="76">
        <v>615918</v>
      </c>
      <c r="H24" s="76">
        <f>'APM utregning'!H24</f>
        <v>444924</v>
      </c>
      <c r="I24" s="76">
        <f>'APM utregning'!I24</f>
        <v>444924</v>
      </c>
      <c r="J24" s="76">
        <f>'APM utregning'!J24</f>
        <v>397850</v>
      </c>
      <c r="K24" s="76">
        <f>'APM utregning'!K24</f>
        <v>397850</v>
      </c>
      <c r="L24" s="76">
        <f>'APM utregning'!L24</f>
        <v>449075</v>
      </c>
      <c r="M24" s="76">
        <f>'APM utregning'!M24</f>
        <v>449075</v>
      </c>
      <c r="N24" s="76">
        <f>'APM utregning'!N24</f>
        <v>616994</v>
      </c>
      <c r="O24" s="76">
        <f>'APM utregning'!O24</f>
        <v>616994</v>
      </c>
      <c r="P24" s="76">
        <v>531835</v>
      </c>
      <c r="Q24" s="76">
        <v>531835</v>
      </c>
      <c r="R24" s="76">
        <f>'APM utregning'!R24</f>
        <v>354487</v>
      </c>
      <c r="S24" s="76">
        <f>'APM utregning'!S24</f>
        <v>354487</v>
      </c>
      <c r="T24" s="76">
        <v>171862</v>
      </c>
      <c r="U24" s="76">
        <v>171862</v>
      </c>
      <c r="V24" s="76">
        <f>'APM utregning'!V24</f>
        <v>426552</v>
      </c>
      <c r="W24" s="76">
        <f>'APM utregning'!W24</f>
        <v>426552</v>
      </c>
      <c r="X24" s="76">
        <f>'APM utregning'!X24</f>
        <v>212084</v>
      </c>
      <c r="Y24" s="76">
        <f>'APM utregning'!Y24</f>
        <v>212084</v>
      </c>
      <c r="Z24" s="76">
        <f>'APM utregning'!Z24</f>
        <v>394084</v>
      </c>
      <c r="AA24" s="76">
        <f>'APM utregning'!AA24</f>
        <v>394084</v>
      </c>
      <c r="AB24" s="76">
        <v>530640</v>
      </c>
      <c r="AC24" s="76">
        <v>530640</v>
      </c>
      <c r="AD24" s="76">
        <v>526584</v>
      </c>
      <c r="AE24" s="76">
        <v>526584</v>
      </c>
      <c r="AF24" s="19">
        <v>455311</v>
      </c>
      <c r="AG24" s="19">
        <v>455311</v>
      </c>
      <c r="AH24" s="19">
        <v>430912</v>
      </c>
      <c r="AI24" s="19">
        <v>430912</v>
      </c>
      <c r="AJ24" s="19">
        <v>296733</v>
      </c>
      <c r="AK24" s="19">
        <v>296733</v>
      </c>
      <c r="AL24" s="19">
        <v>349860</v>
      </c>
      <c r="AM24" s="19">
        <v>349860</v>
      </c>
      <c r="AN24" s="19">
        <v>195639</v>
      </c>
      <c r="AO24" s="19">
        <v>195639</v>
      </c>
      <c r="AP24" s="19">
        <v>170485</v>
      </c>
      <c r="AQ24" s="19">
        <v>170485</v>
      </c>
      <c r="AR24" s="19">
        <v>365510</v>
      </c>
      <c r="AS24" s="19">
        <v>365510</v>
      </c>
      <c r="AT24" s="19">
        <v>361763</v>
      </c>
      <c r="AU24" s="19">
        <v>361763</v>
      </c>
      <c r="AV24" s="19">
        <v>397802</v>
      </c>
      <c r="AW24" s="19">
        <v>397802</v>
      </c>
    </row>
    <row r="25" spans="1:49" x14ac:dyDescent="0.25">
      <c r="A25" s="132" t="s">
        <v>119</v>
      </c>
      <c r="B25" s="76">
        <f>'APM utregning'!B25</f>
        <v>129340420.5</v>
      </c>
      <c r="C25" s="76">
        <f>'APM utregning'!C25</f>
        <v>129375482</v>
      </c>
      <c r="D25" s="76">
        <f>'APM utregning'!D25</f>
        <v>129324795.33333333</v>
      </c>
      <c r="E25" s="76">
        <f>'APM utregning'!E25</f>
        <v>129291781</v>
      </c>
      <c r="F25" s="76">
        <v>129305359</v>
      </c>
      <c r="G25" s="76">
        <v>129305359</v>
      </c>
      <c r="H25" s="76">
        <f>'APM utregning'!H25</f>
        <v>129358537.25</v>
      </c>
      <c r="I25" s="76">
        <f>'APM utregning'!I25</f>
        <v>129414361</v>
      </c>
      <c r="J25" s="76">
        <f>'APM utregning'!J25</f>
        <v>129336827</v>
      </c>
      <c r="K25" s="76">
        <f>'APM utregning'!K25</f>
        <v>129412285.5</v>
      </c>
      <c r="L25" s="76">
        <f>'APM utregning'!L25</f>
        <v>129303136.66666667</v>
      </c>
      <c r="M25" s="76">
        <f>'APM utregning'!M25</f>
        <v>129302713.5</v>
      </c>
      <c r="N25" s="76">
        <f>(N22+R22)/2</f>
        <v>129350042.5</v>
      </c>
      <c r="O25" s="76">
        <f>(O22+U22)/2</f>
        <v>129441229.5</v>
      </c>
      <c r="P25" s="76">
        <v>129488449</v>
      </c>
      <c r="Q25" s="76">
        <v>129392657</v>
      </c>
      <c r="R25" s="76">
        <f>+'APM utregning'!R25</f>
        <v>129544463.5</v>
      </c>
      <c r="S25" s="76">
        <f>+'APM utregning'!S25</f>
        <v>129572518</v>
      </c>
      <c r="T25" s="76">
        <v>129565507.66666667</v>
      </c>
      <c r="U25" s="76">
        <v>129536392</v>
      </c>
      <c r="V25" s="76">
        <f>+'APM utregning'!V25</f>
        <v>129516409</v>
      </c>
      <c r="W25" s="76">
        <f>+'APM utregning'!W25</f>
        <v>129516409</v>
      </c>
      <c r="X25" s="76">
        <f>(X22+AB22+AD22+AF22+AH22)/5</f>
        <v>129404001.8</v>
      </c>
      <c r="Y25" s="76">
        <f>(Y22+AC22)/2</f>
        <v>129464461</v>
      </c>
      <c r="Z25" s="76">
        <f>(Z22+AB22+AD22+AF22)/4</f>
        <v>129358824.5</v>
      </c>
      <c r="AA25" s="76">
        <f>(AA22+AC22)/2</f>
        <v>129373461</v>
      </c>
      <c r="AB25" s="76">
        <f>(AB22+AD22+AF22)/3</f>
        <v>129331186.33333333</v>
      </c>
      <c r="AC25" s="76">
        <f>(AC22+AE22)/2</f>
        <v>129307211</v>
      </c>
      <c r="AD25" s="76">
        <v>129344188</v>
      </c>
      <c r="AE25" s="76">
        <v>129344188</v>
      </c>
      <c r="AF25" s="19">
        <f>(AF22+AH22+AJ22+AL22+AN22)/5</f>
        <v>129487829.59999999</v>
      </c>
      <c r="AG25" s="19">
        <f>(AG22+AI22)/2</f>
        <v>129390924</v>
      </c>
      <c r="AH25" s="19">
        <f>(AH22+AJ22+AL22+AN22)/4</f>
        <v>129515002.75</v>
      </c>
      <c r="AI25" s="19">
        <f>(AI22+AK22)/2</f>
        <v>129469800.5</v>
      </c>
      <c r="AJ25" s="19">
        <f>(AJ22+AL22+AN22)/3</f>
        <v>129552433.33333333</v>
      </c>
      <c r="AK25" s="19">
        <f>(AK22+AM22)/2</f>
        <v>129510368</v>
      </c>
      <c r="AL25" s="19">
        <f>(AL22+AN22)/2</f>
        <v>129560205</v>
      </c>
      <c r="AM25" s="19">
        <f>(AM22+AO22)/2</f>
        <v>129560205</v>
      </c>
      <c r="AN25" s="19">
        <f>(AN22+AP22+AR22+AT22+AV22)/5</f>
        <v>129533560.8</v>
      </c>
      <c r="AO25" s="19">
        <f>(AO22+AQ22)/2</f>
        <v>129649141</v>
      </c>
      <c r="AP25" s="19">
        <f>(AP22+AR22+AT22+AV22)/4</f>
        <v>129507810</v>
      </c>
      <c r="AQ25" s="19">
        <f>(AQ22+AS22)/2</f>
        <v>129564205.5</v>
      </c>
      <c r="AR25" s="19">
        <f>(AR22+AT22+AV22)/3</f>
        <v>129456507.33333333</v>
      </c>
      <c r="AS25" s="19">
        <f>(AS22+AU22)/2</f>
        <v>129468656</v>
      </c>
      <c r="AT25" s="19">
        <f>(AT22+AV22)/2</f>
        <v>129451414.5</v>
      </c>
      <c r="AU25" s="19">
        <f>(AU22+AW22)/2</f>
        <v>129451414.5</v>
      </c>
      <c r="AV25" s="19">
        <v>129608423.5</v>
      </c>
      <c r="AW25" s="19">
        <v>129460084</v>
      </c>
    </row>
    <row r="26" spans="1:49" x14ac:dyDescent="0.25">
      <c r="B26" s="76"/>
      <c r="C26" s="76"/>
      <c r="D26" s="76"/>
      <c r="E26" s="76"/>
      <c r="F26" s="76"/>
      <c r="G26" s="76"/>
      <c r="H26" s="76"/>
      <c r="I26" s="76"/>
      <c r="J26" s="66"/>
      <c r="K26" s="66"/>
      <c r="L26" s="66"/>
      <c r="M26" s="66"/>
      <c r="N26" s="76"/>
      <c r="O26" s="76"/>
      <c r="P26" s="76"/>
      <c r="Q26" s="76"/>
      <c r="R26" s="76"/>
      <c r="S26" s="76"/>
      <c r="T26" s="76"/>
      <c r="U26" s="76"/>
      <c r="V26" s="76"/>
      <c r="W26" s="66"/>
      <c r="X26" s="76"/>
      <c r="Y26" s="66"/>
      <c r="Z26" s="76"/>
      <c r="AA26" s="76"/>
      <c r="AB26" s="76"/>
      <c r="AC26" s="76"/>
      <c r="AD26" s="76"/>
      <c r="AE26" s="76"/>
      <c r="AF26" s="19"/>
      <c r="AG26" s="19"/>
      <c r="AH26" s="19"/>
      <c r="AI26" s="19"/>
      <c r="AJ26" s="19"/>
      <c r="AK26" s="19"/>
      <c r="AL26" s="19"/>
      <c r="AM26" s="19"/>
      <c r="AN26" s="19"/>
      <c r="AO26" s="19"/>
      <c r="AP26" s="19"/>
      <c r="AQ26" s="19"/>
      <c r="AR26" s="19"/>
      <c r="AS26" s="19"/>
      <c r="AT26" s="19"/>
      <c r="AU26" s="19"/>
      <c r="AV26" s="19"/>
    </row>
    <row r="27" spans="1:49" x14ac:dyDescent="0.25">
      <c r="A27" s="132" t="s">
        <v>72</v>
      </c>
      <c r="B27" s="76">
        <f>B10</f>
        <v>21824.453006</v>
      </c>
      <c r="C27" s="76"/>
      <c r="D27" s="76">
        <f>D10</f>
        <v>21120.110355000001</v>
      </c>
      <c r="E27" s="76"/>
      <c r="F27" s="76">
        <v>20461.770135000006</v>
      </c>
      <c r="G27" s="76"/>
      <c r="H27" s="76">
        <f>H10</f>
        <v>20017.242223999998</v>
      </c>
      <c r="I27" s="76"/>
      <c r="J27" s="76">
        <f>J10</f>
        <v>19585.816854000001</v>
      </c>
      <c r="K27" s="66"/>
      <c r="L27" s="76">
        <f>L10</f>
        <v>19065.984237000001</v>
      </c>
      <c r="M27" s="66"/>
      <c r="N27" s="76">
        <f>N10</f>
        <v>18331.438928</v>
      </c>
      <c r="O27" s="76"/>
      <c r="P27" s="76">
        <v>19127.263709000003</v>
      </c>
      <c r="Q27" s="76"/>
      <c r="R27" s="76">
        <f>R10</f>
        <v>18900.50087</v>
      </c>
      <c r="S27" s="76"/>
      <c r="T27" s="76">
        <v>18436.408372000002</v>
      </c>
      <c r="U27" s="76"/>
      <c r="V27" s="76">
        <f>V10</f>
        <v>17650.334529999996</v>
      </c>
      <c r="W27" s="66"/>
      <c r="X27" s="76">
        <f>X10</f>
        <v>17643.127510999999</v>
      </c>
      <c r="Y27" s="66"/>
      <c r="Z27" s="76">
        <f>Z10</f>
        <v>17340.550165000001</v>
      </c>
      <c r="AA27" s="76"/>
      <c r="AB27" s="76">
        <f>AB10</f>
        <v>16847.332462000006</v>
      </c>
      <c r="AC27" s="66"/>
      <c r="AD27" s="76">
        <v>16059.100249000003</v>
      </c>
      <c r="AE27" s="66"/>
      <c r="AF27" s="19">
        <f>AF10</f>
        <v>16517.294303000002</v>
      </c>
      <c r="AG27" s="19"/>
      <c r="AH27" s="19">
        <f>AH10</f>
        <v>15992.846571999999</v>
      </c>
      <c r="AI27" s="19"/>
      <c r="AJ27" s="19">
        <f>AJ10</f>
        <v>15515.216143115398</v>
      </c>
      <c r="AK27" s="19"/>
      <c r="AL27" s="19">
        <f>AL10</f>
        <v>15048.196862000001</v>
      </c>
      <c r="AM27" s="19"/>
      <c r="AN27" s="19">
        <f>AN10</f>
        <v>15299.298683999999</v>
      </c>
      <c r="AO27" s="19"/>
      <c r="AP27" s="19">
        <f>AP10</f>
        <v>14893.188252</v>
      </c>
      <c r="AQ27" s="19"/>
      <c r="AR27" s="19">
        <f>AR10</f>
        <v>14459.74516</v>
      </c>
      <c r="AS27" s="19"/>
      <c r="AT27" s="19">
        <f>AT10</f>
        <v>14050.505474</v>
      </c>
      <c r="AU27" s="19"/>
      <c r="AV27" s="19">
        <f>AV10</f>
        <v>13867.533092824999</v>
      </c>
    </row>
    <row r="28" spans="1:49" x14ac:dyDescent="0.25">
      <c r="A28" s="132" t="s">
        <v>80</v>
      </c>
      <c r="B28" s="76">
        <f>'APM utregning'!B28</f>
        <v>847.6834012523999</v>
      </c>
      <c r="C28" s="76"/>
      <c r="D28" s="76">
        <f>'APM utregning'!D28</f>
        <v>829.009637</v>
      </c>
      <c r="E28" s="76"/>
      <c r="F28" s="76">
        <v>890.737302</v>
      </c>
      <c r="G28" s="76"/>
      <c r="H28" s="76">
        <f>'APM utregning'!H28</f>
        <v>838.43611999999996</v>
      </c>
      <c r="I28" s="76"/>
      <c r="J28" s="76">
        <f>'APM utregning'!J28</f>
        <v>800.34789941001679</v>
      </c>
      <c r="K28" s="66"/>
      <c r="L28" s="76">
        <f>'APM utregning'!L28</f>
        <v>767.68258800000001</v>
      </c>
      <c r="M28" s="66"/>
      <c r="N28" s="76">
        <f>'APM utregning'!N28</f>
        <v>760.33048399999996</v>
      </c>
      <c r="O28" s="76"/>
      <c r="P28" s="76">
        <v>761.23548500000004</v>
      </c>
      <c r="Q28" s="76"/>
      <c r="R28" s="76">
        <f>'APM utregning'!R28</f>
        <v>792.152693</v>
      </c>
      <c r="S28" s="76"/>
      <c r="T28" s="76">
        <v>780.91752399999996</v>
      </c>
      <c r="U28" s="76"/>
      <c r="V28" s="76">
        <f>'APM utregning'!V28</f>
        <v>664.67071199999998</v>
      </c>
      <c r="W28" s="66"/>
      <c r="X28" s="76">
        <f>'APM utregning'!X28</f>
        <v>637.38453400000003</v>
      </c>
      <c r="Y28" s="66"/>
      <c r="Z28" s="76">
        <f>'APM utregning'!Z28</f>
        <v>622.93236100000001</v>
      </c>
      <c r="AA28" s="76"/>
      <c r="AB28" s="76">
        <v>621.08580099999995</v>
      </c>
      <c r="AC28" s="76"/>
      <c r="AD28" s="76">
        <v>571.94522383803439</v>
      </c>
      <c r="AE28" s="76"/>
      <c r="AF28" s="19">
        <v>564.92959399999995</v>
      </c>
      <c r="AG28" s="19"/>
      <c r="AH28" s="19">
        <v>515.54237899999998</v>
      </c>
      <c r="AI28" s="19"/>
      <c r="AJ28" s="19">
        <v>513.735636</v>
      </c>
      <c r="AK28" s="19"/>
      <c r="AL28" s="19">
        <v>443.28066447042352</v>
      </c>
      <c r="AM28" s="19"/>
      <c r="AN28" s="19">
        <v>425.04569099999998</v>
      </c>
      <c r="AO28" s="19"/>
      <c r="AP28" s="19">
        <v>411.48454857923542</v>
      </c>
      <c r="AQ28" s="19"/>
      <c r="AR28" s="19">
        <v>402.75929389975136</v>
      </c>
      <c r="AS28" s="19"/>
      <c r="AT28" s="19">
        <v>372.4311167533462</v>
      </c>
      <c r="AU28" s="19"/>
      <c r="AV28" s="19">
        <v>318.26908900000001</v>
      </c>
    </row>
    <row r="29" spans="1:49" x14ac:dyDescent="0.25">
      <c r="A29" s="132" t="s">
        <v>81</v>
      </c>
      <c r="B29" s="76">
        <f>'APM utregning'!B29</f>
        <v>226.083269</v>
      </c>
      <c r="C29" s="76"/>
      <c r="D29" s="76">
        <f>'APM utregning'!D29</f>
        <v>226.083269</v>
      </c>
      <c r="E29" s="76"/>
      <c r="F29" s="76">
        <v>226.083269</v>
      </c>
      <c r="G29" s="76"/>
      <c r="H29" s="76">
        <f>'APM utregning'!H29</f>
        <v>320.89187800000002</v>
      </c>
      <c r="I29" s="76"/>
      <c r="J29" s="76">
        <f>'APM utregning'!J29</f>
        <v>0</v>
      </c>
      <c r="K29" s="66"/>
      <c r="L29" s="76">
        <f>'APM utregning'!L29</f>
        <v>0</v>
      </c>
      <c r="M29" s="66"/>
      <c r="N29" s="76">
        <f>'APM utregning'!N29</f>
        <v>0</v>
      </c>
      <c r="O29" s="76"/>
      <c r="P29" s="76">
        <v>473.71711299999998</v>
      </c>
      <c r="Q29" s="76"/>
      <c r="R29" s="76">
        <f>'APM utregning'!R29</f>
        <v>0</v>
      </c>
      <c r="S29" s="76"/>
      <c r="T29" s="76">
        <v>0</v>
      </c>
      <c r="U29" s="76"/>
      <c r="V29" s="76">
        <f>'APM utregning'!V29</f>
        <v>0</v>
      </c>
      <c r="W29" s="66"/>
      <c r="X29" s="76">
        <f>'APM utregning'!X29</f>
        <v>372.78673099999997</v>
      </c>
      <c r="Y29" s="66"/>
      <c r="Z29" s="76"/>
      <c r="AA29" s="76"/>
      <c r="AB29" s="76"/>
      <c r="AC29" s="76"/>
      <c r="AD29" s="76"/>
      <c r="AE29" s="76"/>
      <c r="AF29" s="19">
        <v>321.868717</v>
      </c>
      <c r="AG29" s="19"/>
      <c r="AH29" s="19">
        <v>0</v>
      </c>
      <c r="AI29" s="19"/>
      <c r="AJ29" s="19">
        <v>0</v>
      </c>
      <c r="AK29" s="19"/>
      <c r="AL29" s="19">
        <v>0</v>
      </c>
      <c r="AM29" s="19"/>
      <c r="AN29" s="19">
        <v>219.51398599999999</v>
      </c>
      <c r="AO29" s="19"/>
      <c r="AP29" s="19">
        <v>0</v>
      </c>
      <c r="AQ29" s="19"/>
      <c r="AR29" s="19">
        <v>0</v>
      </c>
      <c r="AS29" s="19"/>
      <c r="AT29" s="19">
        <v>0</v>
      </c>
      <c r="AU29" s="19"/>
      <c r="AV29" s="19">
        <v>40</v>
      </c>
    </row>
    <row r="30" spans="1:49" x14ac:dyDescent="0.25">
      <c r="A30" s="132" t="s">
        <v>82</v>
      </c>
      <c r="B30" s="76">
        <f>'APM utregning'!B30</f>
        <v>5663.8148460000002</v>
      </c>
      <c r="C30" s="76"/>
      <c r="D30" s="76">
        <f>'APM utregning'!D30</f>
        <v>5663.8148460000002</v>
      </c>
      <c r="E30" s="76"/>
      <c r="F30" s="76">
        <v>5663.8148460000002</v>
      </c>
      <c r="G30" s="76"/>
      <c r="H30" s="76">
        <f>'APM utregning'!H30</f>
        <v>5663.8148460000002</v>
      </c>
      <c r="I30" s="76"/>
      <c r="J30" s="76">
        <f>'APM utregning'!J30</f>
        <v>5540.8788670000004</v>
      </c>
      <c r="K30" s="66"/>
      <c r="L30" s="76">
        <f>'APM utregning'!L30</f>
        <v>5540.8788670000004</v>
      </c>
      <c r="M30" s="66"/>
      <c r="N30" s="76">
        <f>'APM utregning'!N30</f>
        <v>5540.8788670000004</v>
      </c>
      <c r="O30" s="76"/>
      <c r="P30" s="76">
        <v>5431.5607890000001</v>
      </c>
      <c r="Q30" s="76"/>
      <c r="R30" s="76">
        <f>'APM utregning'!R30</f>
        <v>5125.6049469999998</v>
      </c>
      <c r="S30" s="76"/>
      <c r="T30" s="76">
        <v>5125.6049469999998</v>
      </c>
      <c r="U30" s="76"/>
      <c r="V30" s="76">
        <f>'APM utregning'!V30</f>
        <v>5125.6049469999998</v>
      </c>
      <c r="W30" s="66"/>
      <c r="X30" s="76">
        <f>'APM utregning'!X30</f>
        <v>5125.6049469999998</v>
      </c>
      <c r="Y30" s="66"/>
      <c r="Z30" s="76">
        <f>'APM utregning'!Z30</f>
        <v>4831.197032</v>
      </c>
      <c r="AA30" s="76"/>
      <c r="AB30" s="76">
        <v>4831.1970330000004</v>
      </c>
      <c r="AC30" s="76"/>
      <c r="AD30" s="76">
        <v>4831.1970330000004</v>
      </c>
      <c r="AE30" s="76"/>
      <c r="AF30" s="19">
        <v>4831.1970330000004</v>
      </c>
      <c r="AG30" s="19"/>
      <c r="AH30" s="19">
        <v>4497.6340479999999</v>
      </c>
      <c r="AI30" s="19"/>
      <c r="AJ30" s="19">
        <v>4497.6340479999999</v>
      </c>
      <c r="AK30" s="19"/>
      <c r="AL30" s="19">
        <v>4497.6340479999999</v>
      </c>
      <c r="AM30" s="19"/>
      <c r="AN30" s="19">
        <f>4497.634048+1.427523</f>
        <v>4499.0615710000002</v>
      </c>
      <c r="AO30" s="19"/>
      <c r="AP30" s="19">
        <v>4104.7686400000002</v>
      </c>
      <c r="AQ30" s="19"/>
      <c r="AR30" s="19">
        <v>4104.7686400000002</v>
      </c>
      <c r="AS30" s="19"/>
      <c r="AT30" s="19">
        <v>4104.7686400000002</v>
      </c>
      <c r="AU30" s="19"/>
      <c r="AV30" s="19">
        <f>1.366954+4104.768641</f>
        <v>4106.1355949999997</v>
      </c>
    </row>
    <row r="31" spans="1:49" ht="30" x14ac:dyDescent="0.25">
      <c r="A31" s="133" t="s">
        <v>83</v>
      </c>
      <c r="B31" s="76">
        <f>B20*(1-B19)</f>
        <v>86.199802676805703</v>
      </c>
      <c r="C31" s="76"/>
      <c r="D31" s="76">
        <f>D20*(1-D19)</f>
        <v>86.199748080739866</v>
      </c>
      <c r="E31" s="76"/>
      <c r="F31" s="76">
        <v>86.199710245861013</v>
      </c>
      <c r="G31" s="76"/>
      <c r="H31" s="76">
        <f>H20*(1-H19)</f>
        <v>86.199667253401813</v>
      </c>
      <c r="I31" s="76"/>
      <c r="J31" s="76">
        <f>J20*(1-J19)</f>
        <v>68.238915066754984</v>
      </c>
      <c r="K31" s="66"/>
      <c r="L31" s="76">
        <f>L20*(1-L19)</f>
        <v>68.238878264708049</v>
      </c>
      <c r="M31" s="66"/>
      <c r="N31" s="76">
        <f>N20*(1-N19)</f>
        <v>68.238825946321882</v>
      </c>
      <c r="O31" s="76"/>
      <c r="P31" s="76">
        <v>68.238725432586293</v>
      </c>
      <c r="Q31" s="76"/>
      <c r="R31" s="76">
        <f>R20*(1-R19)</f>
        <v>56.043172734452462</v>
      </c>
      <c r="S31" s="76"/>
      <c r="T31" s="76">
        <v>56.04322829163835</v>
      </c>
      <c r="U31" s="76"/>
      <c r="V31" s="76">
        <f>V20*(1-V19)</f>
        <v>56.043172593126044</v>
      </c>
      <c r="W31" s="66"/>
      <c r="X31" s="76">
        <f>X20*(1-X19)</f>
        <v>56.042992749722032</v>
      </c>
      <c r="Y31" s="66"/>
      <c r="Z31" s="76">
        <f>Z20*(1-Z19)</f>
        <v>45.471178167184227</v>
      </c>
      <c r="AA31" s="76"/>
      <c r="AB31" s="76">
        <f>AB20*(1-AB19)</f>
        <v>45.475543596000009</v>
      </c>
      <c r="AC31" s="66"/>
      <c r="AD31" s="76">
        <v>45.475543596000009</v>
      </c>
      <c r="AE31" s="66"/>
      <c r="AF31" s="19">
        <f>AF20*(1-AF19)</f>
        <v>45.475543596000009</v>
      </c>
      <c r="AG31" s="19"/>
      <c r="AH31" s="19">
        <f>AH20*(1-AH19)</f>
        <v>50.122679159000008</v>
      </c>
      <c r="AI31" s="19"/>
      <c r="AJ31" s="19">
        <f>AJ20*(1-AJ19)</f>
        <v>50.122679159000008</v>
      </c>
      <c r="AK31" s="19"/>
      <c r="AL31" s="19">
        <f>AL20*(1-AL19)</f>
        <v>50.122679159000008</v>
      </c>
      <c r="AM31" s="19"/>
      <c r="AN31" s="19">
        <f>AN20*(1-AN19)</f>
        <v>50.122679159000008</v>
      </c>
      <c r="AO31" s="19"/>
      <c r="AP31" s="19">
        <f>AP20*(1-AP19)</f>
        <v>83.818320930674361</v>
      </c>
      <c r="AQ31" s="19"/>
      <c r="AR31" s="19">
        <f>AR20*(1-AR19)</f>
        <v>83.818320930674361</v>
      </c>
      <c r="AS31" s="19"/>
      <c r="AT31" s="19">
        <f>AT20*(1-AT19)</f>
        <v>104.46559545750497</v>
      </c>
      <c r="AU31" s="19"/>
      <c r="AV31" s="19">
        <f>AV20*(1-AV19)</f>
        <v>104.46671499924578</v>
      </c>
    </row>
    <row r="32" spans="1:49" ht="30" x14ac:dyDescent="0.25">
      <c r="A32" s="134" t="s">
        <v>84</v>
      </c>
      <c r="B32" s="21">
        <f>B21*(1-B19)</f>
        <v>1600.408112766871</v>
      </c>
      <c r="C32" s="21"/>
      <c r="D32" s="21">
        <f>D21*(1-D19)</f>
        <v>1354.7394404794763</v>
      </c>
      <c r="E32" s="21"/>
      <c r="F32" s="21">
        <v>1099.447363314835</v>
      </c>
      <c r="G32" s="21"/>
      <c r="H32" s="21">
        <f>H21*(1-H19)</f>
        <v>852.92470891629409</v>
      </c>
      <c r="I32" s="21"/>
      <c r="J32" s="21">
        <f>J21*(1-J19)</f>
        <v>1173.9557274690667</v>
      </c>
      <c r="K32" s="63"/>
      <c r="L32" s="21">
        <f>L21*(1-L19)</f>
        <v>996.64501667352044</v>
      </c>
      <c r="M32" s="63"/>
      <c r="N32" s="21">
        <f>N21*(1-N19)</f>
        <v>738.96483075575952</v>
      </c>
      <c r="O32" s="21"/>
      <c r="P32" s="21">
        <v>658.47494075230236</v>
      </c>
      <c r="Q32" s="21"/>
      <c r="R32" s="21">
        <f>R21*(1-R19)</f>
        <v>1355.6431394110436</v>
      </c>
      <c r="S32" s="21"/>
      <c r="T32" s="21">
        <v>1187.580933353812</v>
      </c>
      <c r="U32" s="21"/>
      <c r="V32" s="21">
        <f>V21*(1-V19)</f>
        <v>952.12626040351563</v>
      </c>
      <c r="W32" s="63"/>
      <c r="X32" s="21">
        <f>X21*(1-X19)</f>
        <v>579.72233159575148</v>
      </c>
      <c r="Y32" s="63"/>
      <c r="Z32" s="21">
        <f>Z21*(1-Z19)</f>
        <v>1152.7197601716218</v>
      </c>
      <c r="AA32" s="21"/>
      <c r="AB32" s="21">
        <f>AB21*(1-AB19)</f>
        <v>977.66400219950015</v>
      </c>
      <c r="AC32" s="63"/>
      <c r="AD32" s="21">
        <v>714.27093642464911</v>
      </c>
      <c r="AE32" s="63"/>
      <c r="AF32" s="18">
        <f>AF21*(1-AF19)</f>
        <v>557.56616094549997</v>
      </c>
      <c r="AG32" s="18"/>
      <c r="AH32" s="18">
        <f>AH21*(1-AH19)</f>
        <v>683.06215595100014</v>
      </c>
      <c r="AI32" s="18"/>
      <c r="AJ32" s="18">
        <f>AJ21*(1-AJ19)</f>
        <v>686.87346974050013</v>
      </c>
      <c r="AK32" s="18"/>
      <c r="AL32" s="18">
        <f>AL21*(1-AL19)</f>
        <v>694.04597072141371</v>
      </c>
      <c r="AM32" s="18"/>
      <c r="AN32" s="18">
        <f>AN21*(1-AN19)</f>
        <v>597.12216512200007</v>
      </c>
      <c r="AO32" s="18"/>
      <c r="AP32" s="18">
        <f>AP21*(1-AP19)</f>
        <v>606.44104600751791</v>
      </c>
      <c r="AQ32" s="18"/>
      <c r="AR32" s="18">
        <f>AR21*(1-AR19)</f>
        <v>607.12183164685689</v>
      </c>
      <c r="AS32" s="18"/>
      <c r="AT32" s="18">
        <f>AT21*(1-AT19)</f>
        <v>615.9508077195502</v>
      </c>
      <c r="AU32" s="18"/>
      <c r="AV32" s="18">
        <f>AV21*(1-AV19)</f>
        <v>575.62013667183601</v>
      </c>
      <c r="AW32" s="28"/>
    </row>
    <row r="33" spans="1:49" x14ac:dyDescent="0.25">
      <c r="A33" s="132" t="s">
        <v>85</v>
      </c>
      <c r="B33" s="76">
        <f>B27-B28-B29-B30-B31-B32</f>
        <v>13400.263574303923</v>
      </c>
      <c r="C33" s="76"/>
      <c r="D33" s="76">
        <f>D27-D28-D29-D30-D31-D32</f>
        <v>12960.263414439785</v>
      </c>
      <c r="E33" s="76"/>
      <c r="F33" s="76">
        <v>12495.487644439308</v>
      </c>
      <c r="G33" s="76"/>
      <c r="H33" s="76">
        <f>H27-H28-H29-H30-H31-H32</f>
        <v>12254.975003830303</v>
      </c>
      <c r="I33" s="76"/>
      <c r="J33" s="76">
        <f>J27-J28-J29-J30-J31-J32</f>
        <v>12002.395445054164</v>
      </c>
      <c r="K33" s="66"/>
      <c r="L33" s="76">
        <f>L27-L28-L29-L30-L31-L32</f>
        <v>11692.538887061772</v>
      </c>
      <c r="M33" s="66"/>
      <c r="N33" s="76">
        <f>N27-N28-N29-N30-N31-N32</f>
        <v>11223.02592029792</v>
      </c>
      <c r="O33" s="76"/>
      <c r="P33" s="76">
        <v>11734.036655815115</v>
      </c>
      <c r="Q33" s="76"/>
      <c r="R33" s="76">
        <f>R27-R28-R29-R30-R31-R32</f>
        <v>11571.056917854503</v>
      </c>
      <c r="S33" s="76"/>
      <c r="T33" s="76">
        <v>11286.26173935455</v>
      </c>
      <c r="U33" s="76"/>
      <c r="V33" s="76">
        <f>V27-V28-V29-V30-V31-V32</f>
        <v>10851.889438003354</v>
      </c>
      <c r="W33" s="66"/>
      <c r="X33" s="76">
        <f>X27-X28-X29-X30-X31-X32</f>
        <v>10871.585974654525</v>
      </c>
      <c r="Y33" s="66"/>
      <c r="Z33" s="76">
        <f>Z27-Z28-Z29-Z30-Z31-Z32</f>
        <v>10688.229833661195</v>
      </c>
      <c r="AA33" s="76"/>
      <c r="AB33" s="76">
        <f>AB27-AB28-AB29-AB30-AB31-AB32</f>
        <v>10371.910082204506</v>
      </c>
      <c r="AC33" s="66"/>
      <c r="AD33" s="76">
        <v>9896.211512141319</v>
      </c>
      <c r="AE33" s="66"/>
      <c r="AF33" s="19">
        <f>AF27-AF28-AF29-AF30-AF31-AF32</f>
        <v>10196.257254458504</v>
      </c>
      <c r="AG33" s="19"/>
      <c r="AH33" s="19">
        <f>AH27-AH28-AH29-AH30-AH31-AH32</f>
        <v>10246.485309889998</v>
      </c>
      <c r="AI33" s="19"/>
      <c r="AJ33" s="19">
        <f>AJ27-AJ28-AJ29-AJ30-AJ31-AJ32</f>
        <v>9766.8503102158993</v>
      </c>
      <c r="AK33" s="19"/>
      <c r="AL33" s="19">
        <f>AL27-AL28-AL29-AL30-AL31-AL32</f>
        <v>9363.1134996491637</v>
      </c>
      <c r="AM33" s="19"/>
      <c r="AN33" s="19">
        <f>AN27-AN28-AN29-AN30-AN31-AN32</f>
        <v>9508.4325917189999</v>
      </c>
      <c r="AO33" s="19"/>
      <c r="AP33" s="19">
        <f>AP27-AP28-AP29-AP30-AP31-AP32</f>
        <v>9686.6756964825727</v>
      </c>
      <c r="AQ33" s="19"/>
      <c r="AR33" s="19">
        <f>AR27-AR28-AR29-AR30-AR31-AR32</f>
        <v>9261.2770735227186</v>
      </c>
      <c r="AS33" s="19"/>
      <c r="AT33" s="19">
        <f>AT27-AT28-AT29-AT30-AT31-AT32</f>
        <v>8852.8893140695982</v>
      </c>
      <c r="AU33" s="19"/>
      <c r="AV33" s="19">
        <f>AV27-AV28-AV29-AV30-AV31-AV32</f>
        <v>8723.0415571539179</v>
      </c>
    </row>
    <row r="34" spans="1:49" x14ac:dyDescent="0.25">
      <c r="A34" s="135" t="s">
        <v>86</v>
      </c>
      <c r="B34" s="21">
        <f>B22</f>
        <v>129387296</v>
      </c>
      <c r="C34" s="97"/>
      <c r="D34" s="21">
        <f>D22</f>
        <v>129363668</v>
      </c>
      <c r="E34" s="97"/>
      <c r="F34" s="21">
        <v>129219894</v>
      </c>
      <c r="G34" s="97"/>
      <c r="H34" s="21">
        <f>H22</f>
        <v>129390824</v>
      </c>
      <c r="I34" s="97"/>
      <c r="J34" s="21">
        <f>J22</f>
        <v>129437898</v>
      </c>
      <c r="K34" s="67"/>
      <c r="L34" s="21">
        <f>L22</f>
        <v>129386673</v>
      </c>
      <c r="M34" s="67"/>
      <c r="N34" s="21">
        <f>N22</f>
        <v>129218754</v>
      </c>
      <c r="O34" s="97"/>
      <c r="P34" s="97">
        <v>129303983</v>
      </c>
      <c r="Q34" s="97"/>
      <c r="R34" s="21">
        <f>R22</f>
        <v>129481331</v>
      </c>
      <c r="S34" s="97"/>
      <c r="T34" s="21">
        <v>129663705</v>
      </c>
      <c r="U34" s="97"/>
      <c r="V34" s="21">
        <f>V22</f>
        <v>129409079</v>
      </c>
      <c r="W34" s="67"/>
      <c r="X34" s="21">
        <f>X22</f>
        <v>129623739</v>
      </c>
      <c r="Y34" s="67"/>
      <c r="Z34" s="21">
        <f>Z22</f>
        <v>129441739</v>
      </c>
      <c r="AA34" s="97"/>
      <c r="AB34" s="21">
        <f>AB22</f>
        <v>129305183</v>
      </c>
      <c r="AC34" s="67"/>
      <c r="AD34" s="21">
        <v>129309239</v>
      </c>
      <c r="AE34" s="67"/>
      <c r="AF34" s="18">
        <f>AF22</f>
        <v>129379137</v>
      </c>
      <c r="AG34" s="28"/>
      <c r="AH34" s="18">
        <f>AH22</f>
        <v>129402711</v>
      </c>
      <c r="AI34" s="28"/>
      <c r="AJ34" s="18">
        <f>AJ22</f>
        <v>129536890</v>
      </c>
      <c r="AK34" s="28"/>
      <c r="AL34" s="18">
        <f>AL22</f>
        <v>129483846</v>
      </c>
      <c r="AM34" s="28"/>
      <c r="AN34" s="18">
        <f>AN22</f>
        <v>129636564</v>
      </c>
      <c r="AO34" s="28"/>
      <c r="AP34" s="18">
        <f>AP22</f>
        <v>129661718</v>
      </c>
      <c r="AQ34" s="28"/>
      <c r="AR34" s="18">
        <f>AR22</f>
        <v>129466693</v>
      </c>
      <c r="AS34" s="28"/>
      <c r="AT34" s="18">
        <f>AT22</f>
        <v>129470619</v>
      </c>
      <c r="AU34" s="28"/>
      <c r="AV34" s="18">
        <f>AV22</f>
        <v>129432210</v>
      </c>
      <c r="AW34" s="28"/>
    </row>
    <row r="35" spans="1:49" ht="15.75" thickBot="1" x14ac:dyDescent="0.3">
      <c r="A35" s="31" t="s">
        <v>96</v>
      </c>
      <c r="B35" s="77">
        <f>B33*1000000/B34</f>
        <v>103.56707334160475</v>
      </c>
      <c r="C35" s="68"/>
      <c r="D35" s="77">
        <f>D33*1000000/D34</f>
        <v>100.18472431100041</v>
      </c>
      <c r="E35" s="98"/>
      <c r="F35" s="178">
        <v>96.699411039907744</v>
      </c>
      <c r="G35" s="98"/>
      <c r="H35" s="77">
        <f>H33*1000000/H34</f>
        <v>94.712860038902789</v>
      </c>
      <c r="I35" s="98"/>
      <c r="J35" s="77">
        <f>J33*1000000/J34</f>
        <v>92.727057766761362</v>
      </c>
      <c r="K35" s="68"/>
      <c r="L35" s="77">
        <f>L33*1000000/L34</f>
        <v>90.368958533015004</v>
      </c>
      <c r="M35" s="68"/>
      <c r="N35" s="77">
        <f>N33*1000000/N34</f>
        <v>86.852918580981836</v>
      </c>
      <c r="O35" s="98"/>
      <c r="P35" s="98">
        <v>90.747681421500488</v>
      </c>
      <c r="Q35" s="98"/>
      <c r="R35" s="77">
        <f>R33*1000000/R34</f>
        <v>89.364673876070242</v>
      </c>
      <c r="S35" s="98"/>
      <c r="T35" s="77">
        <v>87.042567072678892</v>
      </c>
      <c r="U35" s="98"/>
      <c r="V35" s="77">
        <f>V33*1000000/V34</f>
        <v>83.857249598409979</v>
      </c>
      <c r="W35" s="68"/>
      <c r="X35" s="77">
        <f>X33*1000000/X34</f>
        <v>83.870331611515411</v>
      </c>
      <c r="Y35" s="68"/>
      <c r="Z35" s="77">
        <f>Z33*1000000/Z34</f>
        <v>82.571741667200513</v>
      </c>
      <c r="AA35" s="98"/>
      <c r="AB35" s="77">
        <f>AB33*1000000/AB34</f>
        <v>80.212639907903039</v>
      </c>
      <c r="AC35" s="68"/>
      <c r="AD35" s="77">
        <v>76.531356836314842</v>
      </c>
      <c r="AE35" s="68"/>
      <c r="AF35" s="32">
        <f>AF33*1000000/AF34</f>
        <v>78.809130211299092</v>
      </c>
      <c r="AG35" s="31"/>
      <c r="AH35" s="32">
        <f>AH33*1000000/AH34</f>
        <v>79.182926159019956</v>
      </c>
      <c r="AI35" s="31"/>
      <c r="AJ35" s="32">
        <f>AJ33*1000000/AJ34</f>
        <v>75.398215212793033</v>
      </c>
      <c r="AK35" s="31"/>
      <c r="AL35" s="32">
        <f>AL33*1000000/AL34</f>
        <v>72.311054922242306</v>
      </c>
      <c r="AM35" s="31"/>
      <c r="AN35" s="32">
        <f>AN33*1000000/AN34</f>
        <v>73.346842112530837</v>
      </c>
      <c r="AO35" s="31"/>
      <c r="AP35" s="32">
        <f>AP33*1000000/AP34</f>
        <v>74.707290986863001</v>
      </c>
      <c r="AQ35" s="31"/>
      <c r="AR35" s="32">
        <f>AR33*1000000/AR34</f>
        <v>71.534051414464713</v>
      </c>
      <c r="AS35" s="31"/>
      <c r="AT35" s="32">
        <f>AT33*1000000/AT34</f>
        <v>68.377593174785062</v>
      </c>
      <c r="AU35" s="31"/>
      <c r="AV35" s="32">
        <f>AV33*1000000/AV34</f>
        <v>67.394673684038281</v>
      </c>
      <c r="AW35" s="30"/>
    </row>
    <row r="36" spans="1:49" x14ac:dyDescent="0.25">
      <c r="B36" s="69"/>
      <c r="C36" s="69"/>
      <c r="D36" s="69"/>
      <c r="E36" s="69"/>
      <c r="F36" s="69"/>
      <c r="G36" s="69"/>
      <c r="H36" s="69"/>
      <c r="I36" s="69"/>
      <c r="J36" s="69"/>
      <c r="K36" s="69"/>
      <c r="L36" s="69"/>
      <c r="M36" s="6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row>
    <row r="37" spans="1:49" x14ac:dyDescent="0.25">
      <c r="A37" s="138"/>
      <c r="B37" s="70"/>
      <c r="D37" s="70"/>
      <c r="J37" s="70"/>
      <c r="L37" s="70"/>
      <c r="N37" s="90"/>
      <c r="P37" s="88"/>
      <c r="Q37" s="88"/>
      <c r="R37" s="70"/>
      <c r="T37" s="90"/>
      <c r="V37" s="90"/>
      <c r="X37" s="90"/>
      <c r="Z37" s="70"/>
      <c r="AB37" s="90"/>
      <c r="AC37" s="88"/>
      <c r="AD37" s="90"/>
      <c r="AE37" s="88"/>
      <c r="AF37" s="14"/>
    </row>
    <row r="38" spans="1:49" x14ac:dyDescent="0.25">
      <c r="A38" s="136" t="s">
        <v>145</v>
      </c>
      <c r="B38" s="20">
        <f>'APM utregning'!B38</f>
        <v>1308.2760599655035</v>
      </c>
      <c r="C38" s="76">
        <f>'APM utregning'!C38</f>
        <v>415.95455811342123</v>
      </c>
      <c r="D38" s="20">
        <f>'APM utregning'!D38</f>
        <v>892.32043510740209</v>
      </c>
      <c r="E38" s="76">
        <f>'APM utregning'!E38</f>
        <v>453.22482336881012</v>
      </c>
      <c r="F38" s="76">
        <v>439.0940485076008</v>
      </c>
      <c r="G38" s="76">
        <v>439.09232076888657</v>
      </c>
      <c r="H38" s="76">
        <f>'APM utregning'!H38</f>
        <v>1146.9111447099383</v>
      </c>
      <c r="I38" s="76">
        <f>'APM utregning'!I38</f>
        <v>257.24302416237487</v>
      </c>
      <c r="J38" s="20">
        <f>'APM utregning'!J38</f>
        <v>889.66701122768302</v>
      </c>
      <c r="K38" s="76">
        <f>'APM utregning'!K38</f>
        <v>304.31915974738365</v>
      </c>
      <c r="L38" s="20">
        <f>'APM utregning'!L38</f>
        <v>585.34675533487462</v>
      </c>
      <c r="M38" s="76">
        <f>'APM utregning'!M38</f>
        <v>423.0310298804838</v>
      </c>
      <c r="N38" s="20">
        <f>'APM utregning'!N38</f>
        <v>162.31389503061243</v>
      </c>
      <c r="O38" s="76">
        <f>'APM utregning'!O38</f>
        <v>162.31389503061243</v>
      </c>
      <c r="P38" s="76">
        <v>1571.7073726198244</v>
      </c>
      <c r="Q38" s="76">
        <v>206.89561061564788</v>
      </c>
      <c r="R38" s="20">
        <f>'APM utregning'!R38</f>
        <v>1364.8105659117602</v>
      </c>
      <c r="S38" s="76">
        <f>'APM utregning'!S38</f>
        <v>298.54655800430584</v>
      </c>
      <c r="T38" s="20">
        <v>1066.2616938953097</v>
      </c>
      <c r="U38" s="76">
        <v>415.97339308004308</v>
      </c>
      <c r="V38" s="20">
        <f>'APM utregning'!V38</f>
        <v>650.28650740382852</v>
      </c>
      <c r="W38" s="76">
        <f>'APM utregning'!W38</f>
        <v>650.28650740382852</v>
      </c>
      <c r="X38" s="20">
        <f>'APM utregning'!X38</f>
        <v>1290.5823132118744</v>
      </c>
      <c r="Y38" s="76">
        <f>'APM utregning'!Y38</f>
        <v>246.74759338141706</v>
      </c>
      <c r="Z38" s="20">
        <f>'APM utregning'!Z38</f>
        <v>1043.7519966862378</v>
      </c>
      <c r="AA38" s="76">
        <f>'APM utregning'!AA38</f>
        <v>300.77242862879785</v>
      </c>
      <c r="AB38" s="20">
        <v>743.09561149928913</v>
      </c>
      <c r="AC38" s="76">
        <v>457.35036390332363</v>
      </c>
      <c r="AD38" s="20">
        <v>285.51289331699206</v>
      </c>
      <c r="AE38" s="76">
        <v>285.51289331699206</v>
      </c>
      <c r="AF38" s="17">
        <v>1127.798624544118</v>
      </c>
      <c r="AG38" s="19">
        <v>340.55942061903244</v>
      </c>
      <c r="AH38" s="19">
        <v>787.34958428150003</v>
      </c>
      <c r="AI38" s="19">
        <v>313.0856250137499</v>
      </c>
      <c r="AJ38" s="19">
        <v>474.24105717399993</v>
      </c>
      <c r="AK38" s="19">
        <v>249.20846373734918</v>
      </c>
      <c r="AL38" s="19">
        <v>224.91835957209179</v>
      </c>
      <c r="AM38" s="19">
        <v>224.9073780064906</v>
      </c>
      <c r="AN38" s="19">
        <v>1026.970835408302</v>
      </c>
      <c r="AO38" s="19">
        <v>286.57281439623256</v>
      </c>
      <c r="AP38" s="19">
        <v>740.45848847497552</v>
      </c>
      <c r="AQ38" s="19">
        <v>259.19796399937474</v>
      </c>
      <c r="AR38" s="19">
        <v>481.26052511516997</v>
      </c>
      <c r="AS38" s="19">
        <v>287.38064719324177</v>
      </c>
      <c r="AT38" s="19">
        <v>193.87987792192789</v>
      </c>
      <c r="AU38" s="19">
        <v>193.87987792192789</v>
      </c>
      <c r="AV38" s="19">
        <v>901.7337411579532</v>
      </c>
      <c r="AW38" s="19">
        <v>185.71536351095801</v>
      </c>
    </row>
    <row r="39" spans="1:49" x14ac:dyDescent="0.25">
      <c r="A39" s="135" t="s">
        <v>146</v>
      </c>
      <c r="B39" s="78">
        <f>B25</f>
        <v>129340420.5</v>
      </c>
      <c r="C39" s="78">
        <f t="shared" ref="C39" si="45">C25</f>
        <v>129375482</v>
      </c>
      <c r="D39" s="78">
        <f>D25</f>
        <v>129324795.33333333</v>
      </c>
      <c r="E39" s="78">
        <f t="shared" ref="E39:K39" si="46">E25</f>
        <v>129291781</v>
      </c>
      <c r="F39" s="78">
        <v>129305359</v>
      </c>
      <c r="G39" s="78">
        <v>129305359</v>
      </c>
      <c r="H39" s="78">
        <f>H25</f>
        <v>129358537.25</v>
      </c>
      <c r="I39" s="78">
        <f t="shared" ref="I39" si="47">I25</f>
        <v>129414361</v>
      </c>
      <c r="J39" s="78">
        <f>J25</f>
        <v>129336827</v>
      </c>
      <c r="K39" s="78">
        <f t="shared" si="46"/>
        <v>129412285.5</v>
      </c>
      <c r="L39" s="78">
        <f>L25</f>
        <v>129303136.66666667</v>
      </c>
      <c r="M39" s="78">
        <f t="shared" ref="M39:O39" si="48">M25</f>
        <v>129302713.5</v>
      </c>
      <c r="N39" s="78">
        <f>N25</f>
        <v>129350042.5</v>
      </c>
      <c r="O39" s="78">
        <f t="shared" si="48"/>
        <v>129441229.5</v>
      </c>
      <c r="P39" s="78">
        <v>129488449</v>
      </c>
      <c r="Q39" s="78">
        <v>129392657</v>
      </c>
      <c r="R39" s="78">
        <f>R25</f>
        <v>129544463.5</v>
      </c>
      <c r="S39" s="78">
        <f t="shared" ref="S39:Y39" si="49">S25</f>
        <v>129572518</v>
      </c>
      <c r="T39" s="78">
        <v>129565507.66666667</v>
      </c>
      <c r="U39" s="78">
        <v>129536392</v>
      </c>
      <c r="V39" s="78">
        <f>V25</f>
        <v>129516409</v>
      </c>
      <c r="W39" s="78">
        <f t="shared" ref="W39" si="50">W25</f>
        <v>129516409</v>
      </c>
      <c r="X39" s="78">
        <f>X25</f>
        <v>129404001.8</v>
      </c>
      <c r="Y39" s="78">
        <f t="shared" si="49"/>
        <v>129464461</v>
      </c>
      <c r="Z39" s="78">
        <f>Z25</f>
        <v>129358824.5</v>
      </c>
      <c r="AA39" s="78">
        <f t="shared" ref="AA39:AC39" si="51">AA25</f>
        <v>129373461</v>
      </c>
      <c r="AB39" s="78">
        <f>AB25</f>
        <v>129331186.33333333</v>
      </c>
      <c r="AC39" s="78">
        <f t="shared" si="51"/>
        <v>129307211</v>
      </c>
      <c r="AD39" s="78">
        <v>129344188</v>
      </c>
      <c r="AE39" s="78">
        <v>129344188</v>
      </c>
      <c r="AF39" s="33">
        <f>AF25</f>
        <v>129487829.59999999</v>
      </c>
      <c r="AG39" s="33">
        <f t="shared" ref="AG39:AL39" si="52">AG25</f>
        <v>129390924</v>
      </c>
      <c r="AH39" s="33">
        <f t="shared" si="52"/>
        <v>129515002.75</v>
      </c>
      <c r="AI39" s="33">
        <f t="shared" si="52"/>
        <v>129469800.5</v>
      </c>
      <c r="AJ39" s="33">
        <f t="shared" si="52"/>
        <v>129552433.33333333</v>
      </c>
      <c r="AK39" s="33">
        <f t="shared" si="52"/>
        <v>129510368</v>
      </c>
      <c r="AL39" s="33">
        <f t="shared" si="52"/>
        <v>129560205</v>
      </c>
      <c r="AM39" s="33">
        <f t="shared" ref="AM39:AW39" si="53">AM25</f>
        <v>129560205</v>
      </c>
      <c r="AN39" s="33">
        <f t="shared" si="53"/>
        <v>129533560.8</v>
      </c>
      <c r="AO39" s="33">
        <f t="shared" si="53"/>
        <v>129649141</v>
      </c>
      <c r="AP39" s="33">
        <f t="shared" si="53"/>
        <v>129507810</v>
      </c>
      <c r="AQ39" s="33">
        <f t="shared" si="53"/>
        <v>129564205.5</v>
      </c>
      <c r="AR39" s="33">
        <f t="shared" si="53"/>
        <v>129456507.33333333</v>
      </c>
      <c r="AS39" s="33">
        <f t="shared" si="53"/>
        <v>129468656</v>
      </c>
      <c r="AT39" s="33">
        <f t="shared" si="53"/>
        <v>129451414.5</v>
      </c>
      <c r="AU39" s="33">
        <f t="shared" si="53"/>
        <v>129451414.5</v>
      </c>
      <c r="AV39" s="33">
        <f t="shared" si="53"/>
        <v>129608423.5</v>
      </c>
      <c r="AW39" s="33">
        <f t="shared" si="53"/>
        <v>129460084</v>
      </c>
    </row>
    <row r="40" spans="1:49" s="41" customFormat="1" x14ac:dyDescent="0.25">
      <c r="A40" s="136" t="s">
        <v>87</v>
      </c>
      <c r="B40" s="79">
        <f t="shared" ref="B40:C40" si="54">B38*1000000/B39</f>
        <v>10.114982268559297</v>
      </c>
      <c r="C40" s="79">
        <f t="shared" si="54"/>
        <v>3.2150957173896457</v>
      </c>
      <c r="D40" s="79">
        <f t="shared" ref="D40:E40" si="55">D38*1000000/D39</f>
        <v>6.8998403036900644</v>
      </c>
      <c r="E40" s="79">
        <f t="shared" si="55"/>
        <v>3.5054418762226667</v>
      </c>
      <c r="F40" s="79">
        <v>3.3957915735542006</v>
      </c>
      <c r="G40" s="79">
        <v>3.3957782118596227</v>
      </c>
      <c r="H40" s="79">
        <f t="shared" ref="H40:I40" si="56">H38*1000000/H39</f>
        <v>8.8661418804806278</v>
      </c>
      <c r="I40" s="79">
        <f t="shared" si="56"/>
        <v>1.9877471261661204</v>
      </c>
      <c r="J40" s="79">
        <f t="shared" ref="J40:K40" si="57">J38*1000000/J39</f>
        <v>6.8786828304337719</v>
      </c>
      <c r="K40" s="79">
        <f t="shared" si="57"/>
        <v>2.3515476801264255</v>
      </c>
      <c r="L40" s="79">
        <f t="shared" ref="L40:M40" si="58">L38*1000000/L39</f>
        <v>4.5269339199701903</v>
      </c>
      <c r="M40" s="79">
        <f t="shared" si="58"/>
        <v>3.271633041796016</v>
      </c>
      <c r="N40" s="79">
        <f t="shared" ref="N40:O40" si="59">N38*1000000/N39</f>
        <v>1.2548422241965049</v>
      </c>
      <c r="O40" s="79">
        <f t="shared" si="59"/>
        <v>1.2539582299827616</v>
      </c>
      <c r="P40" s="79">
        <v>12.137819124081288</v>
      </c>
      <c r="Q40" s="79">
        <v>1.5989748986733294</v>
      </c>
      <c r="R40" s="79">
        <f t="shared" ref="R40:S40" si="60">R38*1000000/R39</f>
        <v>10.535460405158576</v>
      </c>
      <c r="S40" s="79">
        <f t="shared" si="60"/>
        <v>2.3040885722719833</v>
      </c>
      <c r="T40" s="79">
        <v>8.2295181263711203</v>
      </c>
      <c r="U40" s="79">
        <v>3.2112473310206378</v>
      </c>
      <c r="V40" s="79">
        <f t="shared" ref="V40:W40" si="61">V38*1000000/V39</f>
        <v>5.0208812336962527</v>
      </c>
      <c r="W40" s="79">
        <f t="shared" si="61"/>
        <v>5.0208812336962527</v>
      </c>
      <c r="X40" s="79">
        <f t="shared" ref="X40" si="62">X38*1000000/X39</f>
        <v>9.9732797692495669</v>
      </c>
      <c r="Y40" s="79">
        <f t="shared" ref="Y40" si="63">Y38*1000000/Y39</f>
        <v>1.9059098649583615</v>
      </c>
      <c r="Z40" s="79">
        <f t="shared" ref="Z40:AC40" si="64">Z38*1000000/Z39</f>
        <v>8.0686570917799099</v>
      </c>
      <c r="AA40" s="79">
        <f t="shared" si="64"/>
        <v>2.3248386980139446</v>
      </c>
      <c r="AB40" s="79">
        <f t="shared" si="64"/>
        <v>5.7456800062442985</v>
      </c>
      <c r="AC40" s="79">
        <f t="shared" si="64"/>
        <v>3.5369285314128667</v>
      </c>
      <c r="AD40" s="79">
        <v>2.2073886560484035</v>
      </c>
      <c r="AE40" s="79">
        <v>2.2073886560484035</v>
      </c>
      <c r="AF40" s="42">
        <f t="shared" ref="AF40:AK40" si="65">AF38*1000000/AF39</f>
        <v>8.709688223426042</v>
      </c>
      <c r="AG40" s="42">
        <f t="shared" si="65"/>
        <v>2.6320193881530085</v>
      </c>
      <c r="AH40" s="42">
        <f t="shared" si="65"/>
        <v>6.0792152844354552</v>
      </c>
      <c r="AI40" s="42">
        <f t="shared" si="65"/>
        <v>2.418213543271428</v>
      </c>
      <c r="AJ40" s="42">
        <f t="shared" si="65"/>
        <v>3.6606109586054343</v>
      </c>
      <c r="AK40" s="42">
        <f t="shared" si="65"/>
        <v>1.9242356236479012</v>
      </c>
      <c r="AL40" s="42">
        <f>AL38*1000000/AL39</f>
        <v>1.7360142303888126</v>
      </c>
      <c r="AM40" s="42">
        <f t="shared" ref="AM40:AW40" si="66">(AM38*1000000)/AM39</f>
        <v>1.735929470059812</v>
      </c>
      <c r="AN40" s="42">
        <f t="shared" si="66"/>
        <v>7.9282220689813858</v>
      </c>
      <c r="AO40" s="42">
        <f t="shared" si="66"/>
        <v>2.2103718712354024</v>
      </c>
      <c r="AP40" s="42">
        <f t="shared" si="66"/>
        <v>5.7174813509314646</v>
      </c>
      <c r="AQ40" s="42">
        <f t="shared" si="66"/>
        <v>2.0005368226440807</v>
      </c>
      <c r="AR40" s="42">
        <f t="shared" si="66"/>
        <v>3.7175460317030486</v>
      </c>
      <c r="AS40" s="42">
        <f t="shared" si="66"/>
        <v>2.2196928281486277</v>
      </c>
      <c r="AT40" s="42">
        <f t="shared" si="66"/>
        <v>1.4977038193887631</v>
      </c>
      <c r="AU40" s="42">
        <f t="shared" si="66"/>
        <v>1.4977038193887631</v>
      </c>
      <c r="AV40" s="42">
        <f t="shared" si="66"/>
        <v>6.9573698746359129</v>
      </c>
      <c r="AW40" s="42">
        <f t="shared" si="66"/>
        <v>1.4345376410458532</v>
      </c>
    </row>
    <row r="41" spans="1:49" s="14" customFormat="1" x14ac:dyDescent="0.25">
      <c r="A41" s="137"/>
      <c r="B41" s="90"/>
      <c r="C41" s="90"/>
      <c r="D41" s="70"/>
      <c r="E41" s="70"/>
      <c r="F41" s="70"/>
      <c r="G41" s="70"/>
      <c r="H41" s="70"/>
      <c r="I41" s="70"/>
      <c r="J41" s="90"/>
      <c r="K41" s="90"/>
      <c r="L41" s="70"/>
      <c r="M41" s="70"/>
      <c r="N41" s="90"/>
      <c r="O41" s="90"/>
      <c r="P41" s="90"/>
      <c r="Q41" s="90"/>
      <c r="R41" s="90"/>
      <c r="S41" s="90"/>
      <c r="T41" s="90"/>
      <c r="U41" s="90"/>
      <c r="V41" s="90"/>
      <c r="W41" s="90"/>
      <c r="X41" s="90"/>
      <c r="Y41" s="90"/>
      <c r="Z41" s="90"/>
      <c r="AA41" s="90"/>
      <c r="AB41" s="90"/>
      <c r="AC41" s="90"/>
      <c r="AD41" s="90"/>
      <c r="AE41" s="90"/>
    </row>
    <row r="42" spans="1:49" x14ac:dyDescent="0.25">
      <c r="A42" s="132" t="s">
        <v>97</v>
      </c>
      <c r="B42" s="88">
        <f>'APM utregning'!B42</f>
        <v>129.80000000000001</v>
      </c>
      <c r="C42" s="88">
        <f>'APM utregning'!C42</f>
        <v>129.80000000000001</v>
      </c>
      <c r="D42" s="88">
        <f>'APM utregning'!D42</f>
        <v>119.2</v>
      </c>
      <c r="E42" s="88">
        <f>'APM utregning'!E42</f>
        <v>119.2</v>
      </c>
      <c r="F42" s="88">
        <v>107.4</v>
      </c>
      <c r="G42" s="88">
        <v>107.4</v>
      </c>
      <c r="H42" s="88">
        <f>'APM utregning'!H42</f>
        <v>97.6</v>
      </c>
      <c r="I42" s="88">
        <f>'APM utregning'!I42</f>
        <v>97.6</v>
      </c>
      <c r="J42" s="88">
        <f>'APM utregning'!J42</f>
        <v>84.3</v>
      </c>
      <c r="K42" s="88">
        <f>'APM utregning'!K42</f>
        <v>84.3</v>
      </c>
      <c r="L42" s="88">
        <f>'APM utregning'!L42</f>
        <v>78.3</v>
      </c>
      <c r="M42" s="88">
        <f>'APM utregning'!M42</f>
        <v>78.3</v>
      </c>
      <c r="N42" s="88">
        <f>'APM utregning'!N42</f>
        <v>67.599999999999994</v>
      </c>
      <c r="O42" s="88">
        <f>'APM utregning'!O42</f>
        <v>67.599999999999994</v>
      </c>
      <c r="P42" s="88">
        <v>100.2</v>
      </c>
      <c r="Q42" s="88">
        <v>100.2</v>
      </c>
      <c r="R42" s="88">
        <f>'APM utregning'!R42</f>
        <v>98.5</v>
      </c>
      <c r="S42" s="88">
        <f>'APM utregning'!S42</f>
        <v>98.5</v>
      </c>
      <c r="T42" s="88">
        <v>97.7</v>
      </c>
      <c r="U42" s="88">
        <v>97.7</v>
      </c>
      <c r="V42" s="88">
        <f>'APM utregning'!V42</f>
        <v>87.4</v>
      </c>
      <c r="W42" s="88">
        <f>'APM utregning'!W42</f>
        <v>87.4</v>
      </c>
      <c r="X42" s="88">
        <f>'APM utregning'!X42</f>
        <v>84.2</v>
      </c>
      <c r="Y42" s="88">
        <f>'APM utregning'!Y42</f>
        <v>84.2</v>
      </c>
      <c r="Z42" s="88">
        <f>'APM utregning'!Z42</f>
        <v>90.9</v>
      </c>
      <c r="AA42" s="88">
        <f>'APM utregning'!AA42</f>
        <v>90.9</v>
      </c>
      <c r="AB42" s="88">
        <v>84.5</v>
      </c>
      <c r="AC42" s="88">
        <v>84.5</v>
      </c>
      <c r="AD42" s="88">
        <v>80.900000000000006</v>
      </c>
      <c r="AE42" s="88">
        <v>80.900000000000006</v>
      </c>
      <c r="AF42">
        <v>82.25</v>
      </c>
      <c r="AG42">
        <v>82.25</v>
      </c>
      <c r="AH42">
        <v>81.25</v>
      </c>
      <c r="AI42">
        <v>81.25</v>
      </c>
      <c r="AJ42">
        <v>71.75</v>
      </c>
      <c r="AK42">
        <v>71.75</v>
      </c>
      <c r="AL42">
        <v>66.5</v>
      </c>
      <c r="AM42">
        <v>66.5</v>
      </c>
      <c r="AN42">
        <v>64.75</v>
      </c>
      <c r="AO42">
        <v>64.75</v>
      </c>
      <c r="AP42">
        <v>55.75</v>
      </c>
      <c r="AQ42">
        <v>55.75</v>
      </c>
      <c r="AR42">
        <v>46.7</v>
      </c>
      <c r="AS42">
        <v>46.7</v>
      </c>
      <c r="AT42">
        <v>52.75</v>
      </c>
      <c r="AU42">
        <v>52.75</v>
      </c>
      <c r="AV42">
        <v>50.5</v>
      </c>
      <c r="AW42">
        <v>50.5</v>
      </c>
    </row>
    <row r="43" spans="1:49" x14ac:dyDescent="0.25">
      <c r="A43" s="136" t="s">
        <v>98</v>
      </c>
      <c r="B43" s="75">
        <f>'APM utregning'!B43</f>
        <v>13.48664302474573</v>
      </c>
      <c r="C43" s="75">
        <f>'APM utregning'!C43</f>
        <v>12.860382869558583</v>
      </c>
      <c r="D43" s="75">
        <f>'APM utregning'!D43</f>
        <v>13.799680607380129</v>
      </c>
      <c r="E43" s="75">
        <f>'APM utregning'!E43</f>
        <v>14.021767504890667</v>
      </c>
      <c r="F43" s="75">
        <v>13.583166294216802</v>
      </c>
      <c r="G43" s="75">
        <v>13.583112847438491</v>
      </c>
      <c r="H43" s="75">
        <f>'APM utregning'!H43</f>
        <v>8.8668897654386196</v>
      </c>
      <c r="I43" s="75">
        <f>'APM utregning'!I43</f>
        <v>7.9509885046644815</v>
      </c>
      <c r="J43" s="75">
        <f>'APM utregning'!J43</f>
        <v>9.1715771072450298</v>
      </c>
      <c r="K43" s="75">
        <f>'APM utregning'!K43</f>
        <v>9.4061907205057018</v>
      </c>
      <c r="L43" s="75">
        <f>'APM utregning'!L43</f>
        <v>9.0538678399403807</v>
      </c>
      <c r="M43" s="75">
        <f>'APM utregning'!M43</f>
        <v>13.086532167184064</v>
      </c>
      <c r="N43" s="80">
        <f>N40*4</f>
        <v>5.0193688967860197</v>
      </c>
      <c r="O43" s="80">
        <f>O40*4</f>
        <v>5.0158329199310465</v>
      </c>
      <c r="P43" s="80">
        <v>12.137819124081288</v>
      </c>
      <c r="Q43" s="80">
        <v>6.3958995946933177</v>
      </c>
      <c r="R43" s="75">
        <f>'APM utregning'!R43</f>
        <v>14.047280540211434</v>
      </c>
      <c r="S43" s="80">
        <f>S40*4</f>
        <v>9.2163542890879331</v>
      </c>
      <c r="T43" s="75">
        <v>16.459036252742241</v>
      </c>
      <c r="U43" s="80">
        <v>12.844989324082551</v>
      </c>
      <c r="V43" s="80">
        <f>V40*4</f>
        <v>20.083524934785011</v>
      </c>
      <c r="W43" s="80">
        <f>W40*4</f>
        <v>20.083524934785011</v>
      </c>
      <c r="X43" s="80">
        <f>X40/4*4</f>
        <v>9.9732797692495669</v>
      </c>
      <c r="Y43" s="156">
        <f>'APM utregning'!Y43</f>
        <v>7.6196209633586784</v>
      </c>
      <c r="Z43" s="80">
        <f>Z40/3*4</f>
        <v>10.758209455706547</v>
      </c>
      <c r="AA43" s="80">
        <f>AA40*4</f>
        <v>9.2993547920557784</v>
      </c>
      <c r="AB43" s="80">
        <f>AB40/2*4</f>
        <v>11.491360012488597</v>
      </c>
      <c r="AC43" s="80">
        <f>AC40*4</f>
        <v>14.147714125651467</v>
      </c>
      <c r="AD43" s="80">
        <v>8.829554624193614</v>
      </c>
      <c r="AE43" s="80">
        <v>8.829554624193614</v>
      </c>
      <c r="AF43" s="25">
        <f>AF40/4*4</f>
        <v>8.709688223426042</v>
      </c>
      <c r="AG43" s="25">
        <f>AG40*4</f>
        <v>10.528077552612034</v>
      </c>
      <c r="AH43" s="25">
        <f>AH40/3*4</f>
        <v>8.1056203792472736</v>
      </c>
      <c r="AI43" s="25">
        <f>AI40*4</f>
        <v>9.672854173085712</v>
      </c>
      <c r="AJ43" s="25">
        <f>AJ40/2*4</f>
        <v>7.3212219172108686</v>
      </c>
      <c r="AK43" s="25">
        <f>AK40*4</f>
        <v>7.696942494591605</v>
      </c>
      <c r="AL43" s="25">
        <f>AL40*4</f>
        <v>6.9440569215552506</v>
      </c>
      <c r="AM43" s="25">
        <f>AM40*4</f>
        <v>6.9437178802392481</v>
      </c>
      <c r="AN43" s="25">
        <f>AN40/4*4</f>
        <v>7.9282220689813858</v>
      </c>
      <c r="AO43" s="25">
        <f>AO40*4</f>
        <v>8.8414874849416094</v>
      </c>
      <c r="AP43" s="25">
        <f>AP40/3*4</f>
        <v>7.6233084679086192</v>
      </c>
      <c r="AQ43" s="25">
        <f>AQ40*4</f>
        <v>8.0021472905763229</v>
      </c>
      <c r="AR43" s="25">
        <f>AR40/2*4</f>
        <v>7.4350920634060973</v>
      </c>
      <c r="AS43" s="25">
        <f>AS40*4</f>
        <v>8.8787713125945107</v>
      </c>
      <c r="AT43" s="25">
        <f>AT40/1*4</f>
        <v>5.9908152775550523</v>
      </c>
      <c r="AU43" s="25">
        <f>AU40*4</f>
        <v>5.9908152775550523</v>
      </c>
      <c r="AV43" s="25">
        <f>AV40/4*4</f>
        <v>6.9573698746359129</v>
      </c>
      <c r="AW43" s="25">
        <f>AW40*4</f>
        <v>5.738150564183413</v>
      </c>
    </row>
    <row r="44" spans="1:49" s="3" customFormat="1" ht="15.75" thickBot="1" x14ac:dyDescent="0.3">
      <c r="A44" s="39" t="s">
        <v>99</v>
      </c>
      <c r="B44" s="81">
        <f t="shared" ref="B44:C44" si="67">B42/B43</f>
        <v>9.6243371876781172</v>
      </c>
      <c r="C44" s="81">
        <f t="shared" si="67"/>
        <v>10.09301210675816</v>
      </c>
      <c r="D44" s="81">
        <f t="shared" ref="D44:E44" si="68">D42/D43</f>
        <v>8.6378810779324358</v>
      </c>
      <c r="E44" s="81">
        <f t="shared" si="68"/>
        <v>8.5010680685173323</v>
      </c>
      <c r="F44" s="81">
        <v>7.90684569957204</v>
      </c>
      <c r="G44" s="81">
        <v>7.9068768113969945</v>
      </c>
      <c r="H44" s="81">
        <f t="shared" ref="H44:I44" si="69">H42/H43</f>
        <v>11.007241838104886</v>
      </c>
      <c r="I44" s="81">
        <f t="shared" si="69"/>
        <v>12.275203258405233</v>
      </c>
      <c r="J44" s="81">
        <f t="shared" ref="J44:K44" si="70">J42/J43</f>
        <v>9.1914399251365104</v>
      </c>
      <c r="K44" s="81">
        <f t="shared" si="70"/>
        <v>8.9621827267678249</v>
      </c>
      <c r="L44" s="81">
        <f t="shared" ref="L44:M44" si="71">L42/L43</f>
        <v>8.648237569206179</v>
      </c>
      <c r="M44" s="81">
        <f t="shared" si="71"/>
        <v>5.9832504898697279</v>
      </c>
      <c r="N44" s="81">
        <f t="shared" ref="N44:O44" si="72">N42/N43</f>
        <v>13.467828603569131</v>
      </c>
      <c r="O44" s="81">
        <f t="shared" si="72"/>
        <v>13.477322925048568</v>
      </c>
      <c r="P44" s="81">
        <v>8.2551897483135495</v>
      </c>
      <c r="Q44" s="81">
        <v>15.666287207375177</v>
      </c>
      <c r="R44" s="81">
        <f t="shared" ref="R44:S44" si="73">R42/R43</f>
        <v>7.012033376712032</v>
      </c>
      <c r="S44" s="81">
        <f t="shared" si="73"/>
        <v>10.687523169180135</v>
      </c>
      <c r="T44" s="81">
        <v>5.9359490130366659</v>
      </c>
      <c r="U44" s="81">
        <v>7.6060787233840843</v>
      </c>
      <c r="V44" s="81">
        <f t="shared" ref="V44:W44" si="74">V42/V43</f>
        <v>4.3518257021018112</v>
      </c>
      <c r="W44" s="81">
        <f t="shared" si="74"/>
        <v>4.3518257021018112</v>
      </c>
      <c r="X44" s="81">
        <f t="shared" ref="X44" si="75">X42/X43</f>
        <v>8.4425587116900438</v>
      </c>
      <c r="Y44" s="81">
        <f t="shared" ref="Y44" si="76">Y42/Y43</f>
        <v>11.050418440090647</v>
      </c>
      <c r="Z44" s="81">
        <f t="shared" ref="Z44:AC44" si="77">Z42/Z43</f>
        <v>8.4493614271270143</v>
      </c>
      <c r="AA44" s="81">
        <f t="shared" si="77"/>
        <v>9.7748717015995297</v>
      </c>
      <c r="AB44" s="81">
        <f t="shared" si="77"/>
        <v>7.3533506833105013</v>
      </c>
      <c r="AC44" s="81">
        <f t="shared" si="77"/>
        <v>5.9726963133070079</v>
      </c>
      <c r="AD44" s="81">
        <v>9.1624100470852969</v>
      </c>
      <c r="AE44" s="81">
        <v>9.1624100470852969</v>
      </c>
      <c r="AF44" s="40">
        <f>AF42/AF43</f>
        <v>9.4435068041558612</v>
      </c>
      <c r="AG44" s="40">
        <f t="shared" ref="AG44:AL44" si="78">AG42/AG43</f>
        <v>7.8124424510525792</v>
      </c>
      <c r="AH44" s="40">
        <f t="shared" si="78"/>
        <v>10.023908867978006</v>
      </c>
      <c r="AI44" s="40">
        <f t="shared" si="78"/>
        <v>8.3997958147735261</v>
      </c>
      <c r="AJ44" s="40">
        <f t="shared" si="78"/>
        <v>9.8002766220388331</v>
      </c>
      <c r="AK44" s="40">
        <f t="shared" si="78"/>
        <v>9.3218833387954287</v>
      </c>
      <c r="AL44" s="40">
        <f t="shared" si="78"/>
        <v>9.5765344021843202</v>
      </c>
      <c r="AM44" s="40">
        <f t="shared" ref="AM44:AW44" si="79">AM42/AM43</f>
        <v>9.5770019961854675</v>
      </c>
      <c r="AN44" s="40">
        <f t="shared" si="79"/>
        <v>8.1670265333926313</v>
      </c>
      <c r="AO44" s="40">
        <f t="shared" si="79"/>
        <v>7.3234283383060879</v>
      </c>
      <c r="AP44" s="40">
        <f t="shared" si="79"/>
        <v>7.3130977494466354</v>
      </c>
      <c r="AQ44" s="40">
        <f t="shared" si="79"/>
        <v>6.9668800105258786</v>
      </c>
      <c r="AR44" s="40">
        <f t="shared" si="79"/>
        <v>6.2810251173414819</v>
      </c>
      <c r="AS44" s="40">
        <f t="shared" si="79"/>
        <v>5.2597367761636331</v>
      </c>
      <c r="AT44" s="40">
        <f t="shared" si="79"/>
        <v>8.805145469537516</v>
      </c>
      <c r="AU44" s="40">
        <f t="shared" si="79"/>
        <v>8.805145469537516</v>
      </c>
      <c r="AV44" s="40">
        <f t="shared" si="79"/>
        <v>7.2584900486755739</v>
      </c>
      <c r="AW44" s="40">
        <f t="shared" si="79"/>
        <v>8.8007450196954835</v>
      </c>
    </row>
    <row r="45" spans="1:49" x14ac:dyDescent="0.25">
      <c r="B45" s="80"/>
      <c r="C45" s="80"/>
      <c r="D45" s="71"/>
      <c r="E45" s="71"/>
      <c r="F45" s="71"/>
      <c r="G45" s="71"/>
      <c r="H45" s="71"/>
      <c r="I45" s="71"/>
      <c r="J45" s="71"/>
      <c r="K45" s="71"/>
      <c r="L45" s="71"/>
      <c r="M45" s="71"/>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row>
    <row r="46" spans="1:49" x14ac:dyDescent="0.25">
      <c r="B46" s="88"/>
      <c r="C46" s="80"/>
      <c r="E46" s="71"/>
      <c r="F46" s="71"/>
      <c r="G46" s="71"/>
      <c r="H46" s="80"/>
      <c r="I46" s="71"/>
      <c r="K46" s="71"/>
      <c r="M46" s="71"/>
      <c r="O46" s="80"/>
      <c r="P46" s="80"/>
      <c r="Q46" s="80"/>
      <c r="S46" s="71"/>
      <c r="T46" s="88"/>
      <c r="U46" s="80"/>
      <c r="V46" s="88"/>
      <c r="W46" s="80"/>
      <c r="X46" s="88"/>
      <c r="Y46" s="80"/>
      <c r="Z46" s="88"/>
      <c r="AA46" s="80"/>
      <c r="AB46" s="88"/>
      <c r="AC46" s="80"/>
      <c r="AD46" s="88"/>
      <c r="AE46" s="80"/>
      <c r="AG46" s="25"/>
      <c r="AH46" s="25"/>
    </row>
    <row r="47" spans="1:49" x14ac:dyDescent="0.25">
      <c r="A47" s="132" t="s">
        <v>97</v>
      </c>
      <c r="B47" s="75">
        <f>B42</f>
        <v>129.80000000000001</v>
      </c>
      <c r="C47" s="88"/>
      <c r="D47" s="75">
        <f>D42</f>
        <v>119.2</v>
      </c>
      <c r="F47" s="75">
        <v>107.4</v>
      </c>
      <c r="H47" s="88">
        <f>H42</f>
        <v>97.6</v>
      </c>
      <c r="J47" s="75">
        <f>J42</f>
        <v>84.3</v>
      </c>
      <c r="L47" s="75">
        <f>L42</f>
        <v>78.3</v>
      </c>
      <c r="N47" s="75">
        <f>N42</f>
        <v>67.599999999999994</v>
      </c>
      <c r="P47" s="75">
        <v>100.2</v>
      </c>
      <c r="Q47" s="88"/>
      <c r="R47" s="75">
        <f>R42</f>
        <v>98.5</v>
      </c>
      <c r="T47" s="75">
        <v>97.7</v>
      </c>
      <c r="V47" s="75">
        <f>V42</f>
        <v>87.4</v>
      </c>
      <c r="W47" s="88"/>
      <c r="X47" s="75">
        <f>X42</f>
        <v>84.2</v>
      </c>
      <c r="Y47" s="88"/>
      <c r="Z47" s="75">
        <f>Z42</f>
        <v>90.9</v>
      </c>
      <c r="AA47" s="88"/>
      <c r="AB47" s="75">
        <f>AB42</f>
        <v>84.5</v>
      </c>
      <c r="AC47" s="64"/>
      <c r="AD47" s="75">
        <v>80.900000000000006</v>
      </c>
      <c r="AE47" s="64"/>
      <c r="AF47" s="37">
        <f>AF42</f>
        <v>82.25</v>
      </c>
      <c r="AH47" s="37">
        <f>AH42</f>
        <v>81.25</v>
      </c>
      <c r="AJ47" s="37">
        <f>AJ42</f>
        <v>71.75</v>
      </c>
      <c r="AL47" s="37">
        <f>AL42</f>
        <v>66.5</v>
      </c>
      <c r="AN47" s="37">
        <f>AN42</f>
        <v>64.75</v>
      </c>
      <c r="AP47" s="37">
        <f>AP42</f>
        <v>55.75</v>
      </c>
      <c r="AR47" s="37">
        <f>AR42</f>
        <v>46.7</v>
      </c>
      <c r="AT47" s="37">
        <f>AT42</f>
        <v>52.75</v>
      </c>
      <c r="AV47" s="37">
        <f>AV42</f>
        <v>50.5</v>
      </c>
    </row>
    <row r="48" spans="1:49" x14ac:dyDescent="0.25">
      <c r="A48" s="135" t="s">
        <v>100</v>
      </c>
      <c r="B48" s="82">
        <f>B35</f>
        <v>103.56707334160475</v>
      </c>
      <c r="C48" s="97"/>
      <c r="D48" s="82">
        <f>D35</f>
        <v>100.18472431100041</v>
      </c>
      <c r="E48" s="67"/>
      <c r="F48" s="176">
        <v>96.699411039907744</v>
      </c>
      <c r="G48" s="67"/>
      <c r="H48" s="176">
        <f>H35</f>
        <v>94.712860038902789</v>
      </c>
      <c r="I48" s="67"/>
      <c r="J48" s="82">
        <f>J35</f>
        <v>92.727057766761362</v>
      </c>
      <c r="K48" s="67"/>
      <c r="L48" s="82">
        <f>L35</f>
        <v>90.368958533015004</v>
      </c>
      <c r="M48" s="67"/>
      <c r="N48" s="82">
        <f>N35</f>
        <v>86.852918580981836</v>
      </c>
      <c r="O48" s="97"/>
      <c r="P48" s="176">
        <v>90.747681421500488</v>
      </c>
      <c r="Q48" s="97"/>
      <c r="R48" s="82">
        <f>R35</f>
        <v>89.364673876070242</v>
      </c>
      <c r="S48" s="67"/>
      <c r="T48" s="82">
        <v>87.042567072678892</v>
      </c>
      <c r="U48" s="97"/>
      <c r="V48" s="82">
        <f>V35</f>
        <v>83.857249598409979</v>
      </c>
      <c r="W48" s="97"/>
      <c r="X48" s="82">
        <f>X35</f>
        <v>83.870331611515411</v>
      </c>
      <c r="Y48" s="97"/>
      <c r="Z48" s="82">
        <f>Z35</f>
        <v>82.571741667200513</v>
      </c>
      <c r="AA48" s="97"/>
      <c r="AB48" s="82">
        <f>AB35</f>
        <v>80.212639907903039</v>
      </c>
      <c r="AC48" s="67"/>
      <c r="AD48" s="82">
        <v>76.531356836314842</v>
      </c>
      <c r="AE48" s="67"/>
      <c r="AF48" s="38">
        <f>AF35</f>
        <v>78.809130211299092</v>
      </c>
      <c r="AG48" s="28"/>
      <c r="AH48" s="38">
        <f>AH35</f>
        <v>79.182926159019956</v>
      </c>
      <c r="AI48" s="28"/>
      <c r="AJ48" s="38">
        <f>AJ35</f>
        <v>75.398215212793033</v>
      </c>
      <c r="AK48" s="28"/>
      <c r="AL48" s="38">
        <f>AL35</f>
        <v>72.311054922242306</v>
      </c>
      <c r="AM48" s="28"/>
      <c r="AN48" s="38">
        <f>AN35</f>
        <v>73.346842112530837</v>
      </c>
      <c r="AO48" s="28"/>
      <c r="AP48" s="38">
        <f>AP35</f>
        <v>74.707290986863001</v>
      </c>
      <c r="AQ48" s="28"/>
      <c r="AR48" s="38">
        <f>AR35</f>
        <v>71.534051414464713</v>
      </c>
      <c r="AS48" s="28"/>
      <c r="AT48" s="38">
        <f>AT35</f>
        <v>68.377593174785062</v>
      </c>
      <c r="AU48" s="28"/>
      <c r="AV48" s="38">
        <f>AV35</f>
        <v>67.394673684038281</v>
      </c>
      <c r="AW48" s="28"/>
    </row>
    <row r="49" spans="1:49" s="3" customFormat="1" ht="15.75" thickBot="1" x14ac:dyDescent="0.3">
      <c r="A49" s="39" t="s">
        <v>95</v>
      </c>
      <c r="B49" s="81">
        <f>B47/B48</f>
        <v>1.2532940809466422</v>
      </c>
      <c r="C49" s="99"/>
      <c r="D49" s="81">
        <f>D47/D48</f>
        <v>1.1898021461831951</v>
      </c>
      <c r="E49" s="72"/>
      <c r="F49" s="177">
        <v>1.1106582640475042</v>
      </c>
      <c r="G49" s="72"/>
      <c r="H49" s="177">
        <f>H47/H48</f>
        <v>1.0304830828665856</v>
      </c>
      <c r="I49" s="72"/>
      <c r="J49" s="81">
        <f>J47/J48</f>
        <v>0.90911975458168692</v>
      </c>
      <c r="K49" s="72"/>
      <c r="L49" s="81">
        <f>L47/L48</f>
        <v>0.86644796256442658</v>
      </c>
      <c r="M49" s="72"/>
      <c r="N49" s="81">
        <f>N47/N48</f>
        <v>0.7783273274457625</v>
      </c>
      <c r="O49" s="99"/>
      <c r="P49" s="177">
        <v>1.1041604416822048</v>
      </c>
      <c r="Q49" s="99"/>
      <c r="R49" s="81">
        <f>R47/R48</f>
        <v>1.1022252499527778</v>
      </c>
      <c r="S49" s="72"/>
      <c r="T49" s="81">
        <v>1.1224393223423932</v>
      </c>
      <c r="U49" s="99"/>
      <c r="V49" s="81">
        <f>V47/V48</f>
        <v>1.0422473956462459</v>
      </c>
      <c r="W49" s="99"/>
      <c r="X49" s="81">
        <f>X47/X48</f>
        <v>1.0039306913678558</v>
      </c>
      <c r="Y49" s="99"/>
      <c r="Z49" s="81">
        <f>Z47/Z48</f>
        <v>1.1008608776397855</v>
      </c>
      <c r="AA49" s="99"/>
      <c r="AB49" s="81">
        <f>AB47/AB48</f>
        <v>1.0534499312953611</v>
      </c>
      <c r="AC49" s="72"/>
      <c r="AD49" s="81">
        <v>1.0570830486257916</v>
      </c>
      <c r="AE49" s="72"/>
      <c r="AF49" s="40">
        <f>AF47/AF48</f>
        <v>1.0436608014766235</v>
      </c>
      <c r="AG49" s="39"/>
      <c r="AH49" s="40">
        <f>AH47/AH48</f>
        <v>1.0261050448783469</v>
      </c>
      <c r="AI49" s="39"/>
      <c r="AJ49" s="40">
        <f>AJ47/AJ48</f>
        <v>0.95161403751406004</v>
      </c>
      <c r="AK49" s="39"/>
      <c r="AL49" s="40">
        <f>AL47/AL48</f>
        <v>0.91963808399018565</v>
      </c>
      <c r="AM49" s="39"/>
      <c r="AN49" s="40">
        <f>AN47/AN48</f>
        <v>0.88279192580177734</v>
      </c>
      <c r="AO49" s="39"/>
      <c r="AP49" s="40">
        <f>AP47/AP48</f>
        <v>0.7462457715111559</v>
      </c>
      <c r="AQ49" s="39"/>
      <c r="AR49" s="40">
        <f>AR47/AR48</f>
        <v>0.65283594423336289</v>
      </c>
      <c r="AS49" s="39"/>
      <c r="AT49" s="40">
        <f>AT47/AT48</f>
        <v>0.77145154649070191</v>
      </c>
      <c r="AU49" s="39"/>
      <c r="AV49" s="40">
        <f>AV47/AV48</f>
        <v>0.74931737538719467</v>
      </c>
      <c r="AW49" s="31"/>
    </row>
    <row r="50" spans="1:49" x14ac:dyDescent="0.25">
      <c r="B50" s="80"/>
      <c r="C50" s="80"/>
      <c r="D50" s="71"/>
      <c r="E50" s="71"/>
      <c r="F50" s="71"/>
      <c r="G50" s="71"/>
      <c r="H50" s="80"/>
      <c r="I50" s="71"/>
      <c r="J50" s="80"/>
      <c r="K50" s="71"/>
      <c r="L50" s="71"/>
      <c r="M50" s="71"/>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row>
    <row r="51" spans="1:49" x14ac:dyDescent="0.25">
      <c r="B51" s="80"/>
      <c r="C51" s="88"/>
      <c r="D51" s="71"/>
      <c r="H51" s="88"/>
      <c r="J51" s="71"/>
      <c r="L51" s="71"/>
      <c r="N51" s="80"/>
      <c r="P51" s="88"/>
      <c r="Q51" s="88"/>
      <c r="R51" s="80"/>
      <c r="T51" s="80"/>
      <c r="V51" s="80"/>
      <c r="W51" s="88"/>
      <c r="X51" s="80"/>
      <c r="Y51" s="88"/>
      <c r="Z51" s="80"/>
      <c r="AA51" s="88"/>
      <c r="AB51" s="80"/>
      <c r="AC51" s="88"/>
      <c r="AD51" s="80"/>
      <c r="AE51" s="88"/>
      <c r="AF51" s="25"/>
      <c r="AH51" s="25"/>
    </row>
    <row r="52" spans="1:49" x14ac:dyDescent="0.25">
      <c r="A52" s="132" t="s">
        <v>101</v>
      </c>
      <c r="B52" s="76">
        <f>'APM utregning'!B52</f>
        <v>2228.2802630000001</v>
      </c>
      <c r="C52" s="76">
        <f>'APM utregning'!C52</f>
        <v>697.7204119999999</v>
      </c>
      <c r="D52" s="76">
        <f>'APM utregning'!D52</f>
        <v>1530.559851</v>
      </c>
      <c r="E52" s="76">
        <f>'APM utregning'!E52</f>
        <v>734.80103800000006</v>
      </c>
      <c r="F52" s="76">
        <v>806.43896300000006</v>
      </c>
      <c r="G52" s="76">
        <v>806.43896300000006</v>
      </c>
      <c r="H52" s="76">
        <f>'APM utregning'!H52</f>
        <v>2952.3644990000003</v>
      </c>
      <c r="I52" s="76">
        <f>'APM utregning'!I52</f>
        <v>845.1568850000001</v>
      </c>
      <c r="J52" s="76">
        <f>'APM utregning'!J52</f>
        <v>2107.2076139999999</v>
      </c>
      <c r="K52" s="76">
        <f>'APM utregning'!K52</f>
        <v>684.73588999999993</v>
      </c>
      <c r="L52" s="76">
        <f>'APM utregning'!L52</f>
        <v>1422.471724</v>
      </c>
      <c r="M52" s="76">
        <f>'APM utregning'!M52</f>
        <v>706.370991</v>
      </c>
      <c r="N52" s="76">
        <f>'APM utregning'!N52</f>
        <v>716.10073299999999</v>
      </c>
      <c r="O52" s="76">
        <f>'APM utregning'!O52</f>
        <v>716.10073299999999</v>
      </c>
      <c r="P52" s="76">
        <v>2797.258785</v>
      </c>
      <c r="Q52" s="76">
        <v>720.15128600000003</v>
      </c>
      <c r="R52" s="76">
        <f>'APM utregning'!R52</f>
        <v>2077.1074979999999</v>
      </c>
      <c r="S52" s="76">
        <f>'APM utregning'!S52</f>
        <v>672.834293</v>
      </c>
      <c r="T52" s="76">
        <v>1404.273205</v>
      </c>
      <c r="U52" s="76">
        <v>700.58071500000005</v>
      </c>
      <c r="V52" s="76">
        <f>'APM utregning'!V52</f>
        <v>703.69249000000002</v>
      </c>
      <c r="W52" s="76">
        <f>'APM utregning'!W52</f>
        <v>703.69249000000002</v>
      </c>
      <c r="X52" s="76">
        <f>'APM utregning'!X52</f>
        <v>2623.6103659999999</v>
      </c>
      <c r="Y52" s="76">
        <f>'APM utregning'!Y52</f>
        <v>701.31806899999992</v>
      </c>
      <c r="Z52" s="76">
        <f>'APM utregning'!Z52</f>
        <v>1922.2922959999999</v>
      </c>
      <c r="AA52" s="76">
        <f>'APM utregning'!AA52</f>
        <v>616.12509399999999</v>
      </c>
      <c r="AB52" s="76">
        <v>1306.4319580000001</v>
      </c>
      <c r="AC52" s="76">
        <v>661.49480500000004</v>
      </c>
      <c r="AD52" s="76">
        <v>644.93715199999997</v>
      </c>
      <c r="AE52" s="76">
        <v>644.93715199999997</v>
      </c>
      <c r="AF52" s="19">
        <v>2368.5877519999999</v>
      </c>
      <c r="AG52" s="19">
        <v>617.58055300000001</v>
      </c>
      <c r="AH52" s="19">
        <v>1751.0071990000001</v>
      </c>
      <c r="AI52" s="19">
        <v>582.04224199999999</v>
      </c>
      <c r="AJ52" s="19">
        <v>1168.9649570000001</v>
      </c>
      <c r="AK52" s="19">
        <v>597.78408300000001</v>
      </c>
      <c r="AL52" s="19">
        <v>571.18087400000002</v>
      </c>
      <c r="AM52" s="19">
        <v>571.18087400000002</v>
      </c>
      <c r="AN52" s="19">
        <v>2002.9072039999999</v>
      </c>
      <c r="AO52" s="19">
        <v>482.28972299999998</v>
      </c>
      <c r="AP52" s="19">
        <v>1520.617483</v>
      </c>
      <c r="AQ52" s="19">
        <v>504.19142500000004</v>
      </c>
      <c r="AR52" s="19">
        <v>1016.426059</v>
      </c>
      <c r="AS52" s="19">
        <v>527.52153899999996</v>
      </c>
      <c r="AT52" s="19">
        <v>488.90452000000005</v>
      </c>
      <c r="AU52" s="19">
        <v>488.90452000000005</v>
      </c>
      <c r="AV52" s="19">
        <v>1930.957969</v>
      </c>
      <c r="AW52" s="19">
        <v>515.04630799999995</v>
      </c>
    </row>
    <row r="53" spans="1:49" x14ac:dyDescent="0.25">
      <c r="A53" s="135" t="s">
        <v>102</v>
      </c>
      <c r="B53" s="21">
        <f>'APM utregning'!B53</f>
        <v>5042.0853750000006</v>
      </c>
      <c r="C53" s="21">
        <f>'APM utregning'!C53</f>
        <v>1578.2147789999999</v>
      </c>
      <c r="D53" s="21">
        <f>'APM utregning'!D53</f>
        <v>3463.8705960000002</v>
      </c>
      <c r="E53" s="21">
        <f>'APM utregning'!E53</f>
        <v>1715.7975269999999</v>
      </c>
      <c r="F53" s="21">
        <v>1766.1193129999999</v>
      </c>
      <c r="G53" s="21">
        <v>1766.1193129999999</v>
      </c>
      <c r="H53" s="21">
        <f>'APM utregning'!H53</f>
        <v>6281.3918190000004</v>
      </c>
      <c r="I53" s="21">
        <f>'APM utregning'!I53</f>
        <v>1641.8665150000002</v>
      </c>
      <c r="J53" s="21">
        <f>'APM utregning'!J53</f>
        <v>4639.5253049999992</v>
      </c>
      <c r="K53" s="21">
        <f>'APM utregning'!K53</f>
        <v>1537.5390560000001</v>
      </c>
      <c r="L53" s="21">
        <f>'APM utregning'!L53</f>
        <v>3101.9862499999999</v>
      </c>
      <c r="M53" s="21">
        <f>'APM utregning'!M53</f>
        <v>1721.2793439999998</v>
      </c>
      <c r="N53" s="21">
        <f>'APM utregning'!N53</f>
        <v>1380.7069059999999</v>
      </c>
      <c r="O53" s="21">
        <f>'APM utregning'!O53</f>
        <v>1380.7069059999999</v>
      </c>
      <c r="P53" s="21">
        <v>6177.6133090000003</v>
      </c>
      <c r="Q53" s="21">
        <v>1292.255619</v>
      </c>
      <c r="R53" s="21">
        <f>'APM utregning'!R53</f>
        <v>4886.4244600000002</v>
      </c>
      <c r="S53" s="21">
        <f>'APM utregning'!S53</f>
        <v>1352.9258070000001</v>
      </c>
      <c r="T53" s="21">
        <v>3533.4986519999998</v>
      </c>
      <c r="U53" s="21">
        <v>1607.1431499999999</v>
      </c>
      <c r="V53" s="21">
        <f>'APM utregning'!V53</f>
        <v>1926.355503</v>
      </c>
      <c r="W53" s="21">
        <f>'APM utregning'!W53</f>
        <v>1926.355503</v>
      </c>
      <c r="X53" s="21">
        <f>'APM utregning'!X53</f>
        <v>5336.5588399999997</v>
      </c>
      <c r="Y53" s="21">
        <f>'APM utregning'!Y53</f>
        <v>1281.6760009999998</v>
      </c>
      <c r="Z53" s="21">
        <f>'APM utregning'!Z53</f>
        <v>4054.8828380000004</v>
      </c>
      <c r="AA53" s="21">
        <f>'APM utregning'!AA53</f>
        <v>1277.288407</v>
      </c>
      <c r="AB53" s="21">
        <v>2927.98362</v>
      </c>
      <c r="AC53" s="21">
        <v>1638.4772889999999</v>
      </c>
      <c r="AD53" s="21">
        <v>1289.506331</v>
      </c>
      <c r="AE53" s="21">
        <v>1289.506331</v>
      </c>
      <c r="AF53" s="18">
        <v>4989.1087959999995</v>
      </c>
      <c r="AG53" s="18">
        <v>1373.9951959999999</v>
      </c>
      <c r="AH53" s="18">
        <v>3615.1135992300001</v>
      </c>
      <c r="AI53" s="18">
        <v>1287.1926378899998</v>
      </c>
      <c r="AJ53" s="18">
        <v>2327.9209613399998</v>
      </c>
      <c r="AK53" s="18">
        <v>1201.657406</v>
      </c>
      <c r="AL53" s="18">
        <v>1126.26355734</v>
      </c>
      <c r="AM53" s="18">
        <v>1126.26355734</v>
      </c>
      <c r="AN53" s="18">
        <v>4547.2791503199996</v>
      </c>
      <c r="AO53" s="18">
        <v>1145.80299199</v>
      </c>
      <c r="AP53" s="18">
        <v>3401.47615933</v>
      </c>
      <c r="AQ53" s="18">
        <v>1145.35657167</v>
      </c>
      <c r="AR53" s="18">
        <v>2256.1195886599999</v>
      </c>
      <c r="AS53" s="18">
        <v>1202.59558556</v>
      </c>
      <c r="AT53" s="18">
        <v>1053.5240030999998</v>
      </c>
      <c r="AU53" s="18">
        <v>1053.5240030999998</v>
      </c>
      <c r="AV53" s="18">
        <v>3923.6984788999998</v>
      </c>
      <c r="AW53" s="18">
        <v>970.61289667000005</v>
      </c>
    </row>
    <row r="54" spans="1:49" s="3" customFormat="1" ht="15.75" thickBot="1" x14ac:dyDescent="0.3">
      <c r="A54" s="45" t="s">
        <v>88</v>
      </c>
      <c r="B54" s="83">
        <f>B52/B53</f>
        <v>0.44193624210498417</v>
      </c>
      <c r="C54" s="83">
        <f t="shared" ref="C54" si="80">C52/C53</f>
        <v>0.44209471441022408</v>
      </c>
      <c r="D54" s="83">
        <f>D52/D53</f>
        <v>0.44186403867611451</v>
      </c>
      <c r="E54" s="83">
        <f t="shared" ref="E54:K54" si="81">E52/E53</f>
        <v>0.42825626359583863</v>
      </c>
      <c r="F54" s="83">
        <v>0.45661635488836316</v>
      </c>
      <c r="G54" s="83">
        <v>0.45661635488836316</v>
      </c>
      <c r="H54" s="83">
        <f>H52/H53</f>
        <v>0.47001756681849816</v>
      </c>
      <c r="I54" s="83">
        <f t="shared" ref="I54" si="82">I52/I53</f>
        <v>0.514753713093418</v>
      </c>
      <c r="J54" s="83">
        <f>J52/J53</f>
        <v>0.45418603746574465</v>
      </c>
      <c r="K54" s="83">
        <f t="shared" si="81"/>
        <v>0.44534536363673344</v>
      </c>
      <c r="L54" s="83">
        <f>L52/L53</f>
        <v>0.4585680300807265</v>
      </c>
      <c r="M54" s="83">
        <f t="shared" ref="M54:O54" si="83">M52/M53</f>
        <v>0.41037556946363962</v>
      </c>
      <c r="N54" s="83">
        <f>N52/N53</f>
        <v>0.51864789687667434</v>
      </c>
      <c r="O54" s="83">
        <f t="shared" si="83"/>
        <v>0.51864789687667434</v>
      </c>
      <c r="P54" s="83">
        <v>0.45280574310547217</v>
      </c>
      <c r="Q54" s="83">
        <v>0.5572823792844348</v>
      </c>
      <c r="R54" s="83">
        <f>R52/R53</f>
        <v>0.42507717350448915</v>
      </c>
      <c r="S54" s="83">
        <f t="shared" ref="S54:Y54" si="84">S52/S53</f>
        <v>0.49731795307530857</v>
      </c>
      <c r="T54" s="83">
        <v>0.39741721825906617</v>
      </c>
      <c r="U54" s="83">
        <v>0.43591680989960357</v>
      </c>
      <c r="V54" s="83">
        <f>V52/V53</f>
        <v>0.36529731345232386</v>
      </c>
      <c r="W54" s="83">
        <f t="shared" ref="W54" si="85">W52/W53</f>
        <v>0.36529731345232386</v>
      </c>
      <c r="X54" s="83">
        <f>X52/X53</f>
        <v>0.49162961463758548</v>
      </c>
      <c r="Y54" s="83">
        <f t="shared" si="84"/>
        <v>0.54718826634251694</v>
      </c>
      <c r="Z54" s="83">
        <f>Z52/Z53</f>
        <v>0.47406851758709179</v>
      </c>
      <c r="AA54" s="83">
        <f t="shared" ref="AA54:AC54" si="86">AA52/AA53</f>
        <v>0.48236959689245812</v>
      </c>
      <c r="AB54" s="83">
        <f>AB52/AB53</f>
        <v>0.44618827409970285</v>
      </c>
      <c r="AC54" s="83">
        <f t="shared" si="86"/>
        <v>0.40372534269530547</v>
      </c>
      <c r="AD54" s="83">
        <v>0.50014267979580784</v>
      </c>
      <c r="AE54" s="83">
        <v>0.50014267979580784</v>
      </c>
      <c r="AF54" s="43">
        <f>AF52/AF53</f>
        <v>0.47475167386588296</v>
      </c>
      <c r="AG54" s="43">
        <f t="shared" ref="AG54:AL54" si="87">AG52/AG53</f>
        <v>0.44947795654447109</v>
      </c>
      <c r="AH54" s="43">
        <f t="shared" si="87"/>
        <v>0.48435744851087259</v>
      </c>
      <c r="AI54" s="43">
        <f t="shared" si="87"/>
        <v>0.45217959213478648</v>
      </c>
      <c r="AJ54" s="43">
        <f t="shared" si="87"/>
        <v>0.50214976213243923</v>
      </c>
      <c r="AK54" s="43">
        <f t="shared" si="87"/>
        <v>0.49746631611905529</v>
      </c>
      <c r="AL54" s="43">
        <f t="shared" si="87"/>
        <v>0.50714672447451847</v>
      </c>
      <c r="AM54" s="43">
        <f t="shared" ref="AM54:AW54" si="88">AM52/AM53</f>
        <v>0.50714672447451847</v>
      </c>
      <c r="AN54" s="43">
        <f t="shared" si="88"/>
        <v>0.44046277736414136</v>
      </c>
      <c r="AO54" s="43">
        <f t="shared" si="88"/>
        <v>0.4209185404223566</v>
      </c>
      <c r="AP54" s="43">
        <f t="shared" si="88"/>
        <v>0.44704634451988073</v>
      </c>
      <c r="AQ54" s="43">
        <f t="shared" si="88"/>
        <v>0.44020476895230809</v>
      </c>
      <c r="AR54" s="43">
        <f t="shared" si="88"/>
        <v>0.45051958420506261</v>
      </c>
      <c r="AS54" s="43">
        <f t="shared" si="88"/>
        <v>0.43865248245889293</v>
      </c>
      <c r="AT54" s="43">
        <f t="shared" si="88"/>
        <v>0.46406585759925351</v>
      </c>
      <c r="AU54" s="43">
        <f t="shared" si="88"/>
        <v>0.46406585759925351</v>
      </c>
      <c r="AV54" s="43">
        <f t="shared" si="88"/>
        <v>0.49212700195590459</v>
      </c>
      <c r="AW54" s="43">
        <f t="shared" si="88"/>
        <v>0.53064028900402216</v>
      </c>
    </row>
    <row r="55" spans="1:49" x14ac:dyDescent="0.25">
      <c r="B55" s="165"/>
      <c r="C55" s="165"/>
      <c r="D55" s="179"/>
      <c r="E55" s="179"/>
      <c r="F55" s="179"/>
      <c r="G55" s="179"/>
      <c r="H55" s="165"/>
      <c r="I55" s="179"/>
      <c r="J55" s="179"/>
      <c r="K55" s="179"/>
      <c r="L55" s="179"/>
      <c r="M55" s="179"/>
      <c r="N55" s="165"/>
      <c r="O55" s="165"/>
      <c r="P55" s="165"/>
      <c r="Q55" s="165"/>
      <c r="R55" s="165"/>
      <c r="S55" s="165"/>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c r="AP55" s="165"/>
      <c r="AQ55" s="165"/>
      <c r="AR55" s="165"/>
      <c r="AS55" s="165"/>
      <c r="AT55" s="165"/>
      <c r="AU55" s="165"/>
      <c r="AV55" s="165"/>
      <c r="AW55" s="165"/>
    </row>
    <row r="56" spans="1:49" x14ac:dyDescent="0.25">
      <c r="B56" s="88"/>
      <c r="C56" s="88"/>
      <c r="D56" s="88"/>
      <c r="H56" s="88"/>
      <c r="J56" s="88"/>
      <c r="P56" s="88"/>
      <c r="Q56" s="88"/>
      <c r="R56" s="88"/>
      <c r="T56" s="88"/>
      <c r="V56" s="88"/>
      <c r="W56" s="88"/>
      <c r="X56" s="88"/>
      <c r="Y56" s="88"/>
      <c r="Z56" s="88"/>
      <c r="AA56" s="88"/>
      <c r="AB56" s="88"/>
      <c r="AC56" s="88"/>
      <c r="AD56" s="88"/>
      <c r="AE56" s="88"/>
    </row>
    <row r="57" spans="1:49" x14ac:dyDescent="0.25">
      <c r="A57" s="129" t="s">
        <v>92</v>
      </c>
      <c r="B57" s="76">
        <f>'APM utregning'!B57</f>
        <v>109691.31679</v>
      </c>
      <c r="C57" s="76"/>
      <c r="D57" s="76">
        <f>'APM utregning'!D57</f>
        <v>110133.112289</v>
      </c>
      <c r="E57" s="66"/>
      <c r="F57" s="76">
        <v>102390.106266</v>
      </c>
      <c r="G57" s="66"/>
      <c r="H57" s="76">
        <f>'APM utregning'!H57</f>
        <v>97528.676624999993</v>
      </c>
      <c r="I57" s="66"/>
      <c r="J57" s="76">
        <f>'APM utregning'!J57</f>
        <v>95390.930225999997</v>
      </c>
      <c r="K57" s="66"/>
      <c r="L57" s="76">
        <f>'APM utregning'!L57</f>
        <v>94288.926968999993</v>
      </c>
      <c r="M57" s="66"/>
      <c r="N57" s="76">
        <f>'APM utregning'!N57</f>
        <v>88152.276947999999</v>
      </c>
      <c r="O57" s="76"/>
      <c r="P57" s="76">
        <v>85917.240877999997</v>
      </c>
      <c r="Q57" s="76"/>
      <c r="R57" s="76">
        <f>'APM utregning'!R57</f>
        <v>83640.578953999997</v>
      </c>
      <c r="S57" s="66"/>
      <c r="T57" s="76">
        <v>86552.932446999999</v>
      </c>
      <c r="U57" s="76"/>
      <c r="V57" s="76">
        <f>'APM utregning'!V57</f>
        <v>81111.200612999994</v>
      </c>
      <c r="W57" s="76"/>
      <c r="X57" s="76">
        <f>'APM utregning'!X57</f>
        <v>80615.336571000007</v>
      </c>
      <c r="Y57" s="76"/>
      <c r="Z57" s="76">
        <f>'APM utregning'!Z57</f>
        <v>77529.465574000002</v>
      </c>
      <c r="AA57" s="76"/>
      <c r="AB57" s="76">
        <v>80342.802729000003</v>
      </c>
      <c r="AC57" s="76"/>
      <c r="AD57" s="76">
        <v>75937.394352000003</v>
      </c>
      <c r="AE57" s="76"/>
      <c r="AF57" s="19">
        <v>76475.738796999998</v>
      </c>
      <c r="AG57" s="19"/>
      <c r="AH57" s="19">
        <v>73085.602178999994</v>
      </c>
      <c r="AI57" s="19"/>
      <c r="AJ57" s="19">
        <v>75558.622663999995</v>
      </c>
      <c r="AK57" s="19"/>
      <c r="AL57" s="19">
        <v>70175.667711000002</v>
      </c>
      <c r="AM57" s="19"/>
      <c r="AN57" s="19">
        <v>67167.748563000001</v>
      </c>
      <c r="AO57" s="19"/>
      <c r="AP57" s="19">
        <v>66289.870962000001</v>
      </c>
      <c r="AQ57" s="19"/>
      <c r="AR57" s="19">
        <v>67030.936042000001</v>
      </c>
      <c r="AS57" s="19"/>
      <c r="AT57" s="19">
        <v>63850.715055000001</v>
      </c>
      <c r="AU57" s="19"/>
      <c r="AV57" s="19">
        <v>64089.773975999997</v>
      </c>
      <c r="AW57" s="19"/>
    </row>
    <row r="58" spans="1:49" ht="30" x14ac:dyDescent="0.25">
      <c r="A58" s="168" t="s">
        <v>93</v>
      </c>
      <c r="B58" s="21">
        <f>'APM utregning'!B58</f>
        <v>191975.66068308055</v>
      </c>
      <c r="C58" s="21"/>
      <c r="D58" s="21">
        <f>'APM utregning'!D58</f>
        <v>189015.33059410029</v>
      </c>
      <c r="E58" s="63"/>
      <c r="F58" s="21">
        <v>185341.97921875055</v>
      </c>
      <c r="G58" s="63"/>
      <c r="H58" s="21">
        <f>'APM utregning'!H58</f>
        <v>182801.32446267045</v>
      </c>
      <c r="I58" s="63"/>
      <c r="J58" s="21">
        <f>'APM utregning'!J58</f>
        <v>179422.8107928402</v>
      </c>
      <c r="K58" s="63"/>
      <c r="L58" s="21">
        <f>'APM utregning'!L58</f>
        <v>175099.6848236009</v>
      </c>
      <c r="M58" s="63"/>
      <c r="N58" s="21">
        <f>'APM utregning'!N58</f>
        <v>170770.78701719031</v>
      </c>
      <c r="O58" s="21"/>
      <c r="P58" s="21">
        <v>167776.74037356983</v>
      </c>
      <c r="Q58" s="21"/>
      <c r="R58" s="21">
        <f>'APM utregning'!R58</f>
        <v>165380.47727842</v>
      </c>
      <c r="S58" s="63"/>
      <c r="T58" s="21">
        <v>163626.93902489002</v>
      </c>
      <c r="U58" s="21"/>
      <c r="V58" s="21">
        <f>'APM utregning'!V58</f>
        <v>161091.32188722002</v>
      </c>
      <c r="W58" s="21"/>
      <c r="X58" s="21">
        <f>'APM utregning'!X58</f>
        <v>160317.11283589993</v>
      </c>
      <c r="Y58" s="21"/>
      <c r="Z58" s="21">
        <f>'APM utregning'!Z58</f>
        <v>157825.30723024005</v>
      </c>
      <c r="AA58" s="21"/>
      <c r="AB58" s="21">
        <v>154790.05446788989</v>
      </c>
      <c r="AC58" s="21"/>
      <c r="AD58" s="21">
        <v>151064.87579384015</v>
      </c>
      <c r="AE58" s="21"/>
      <c r="AF58" s="18">
        <v>148784.29991046002</v>
      </c>
      <c r="AG58" s="18"/>
      <c r="AH58" s="18">
        <v>147145.81336949015</v>
      </c>
      <c r="AI58" s="18"/>
      <c r="AJ58" s="18">
        <v>143799.61452905973</v>
      </c>
      <c r="AK58" s="18"/>
      <c r="AL58" s="18">
        <v>140038.1473377911</v>
      </c>
      <c r="AM58" s="18"/>
      <c r="AN58" s="18">
        <v>137535.19033280999</v>
      </c>
      <c r="AO58" s="18"/>
      <c r="AP58" s="18">
        <v>134461.78900444019</v>
      </c>
      <c r="AQ58" s="18"/>
      <c r="AR58" s="18">
        <v>132582.83922558016</v>
      </c>
      <c r="AS58" s="18"/>
      <c r="AT58" s="18">
        <v>129520.43765942003</v>
      </c>
      <c r="AU58" s="18"/>
      <c r="AV58" s="18">
        <v>127378.18928701995</v>
      </c>
      <c r="AW58" s="18"/>
    </row>
    <row r="59" spans="1:49" ht="15.75" thickBot="1" x14ac:dyDescent="0.3">
      <c r="A59" s="31" t="s">
        <v>94</v>
      </c>
      <c r="B59" s="83">
        <f>B57/B58</f>
        <v>0.57138137407471601</v>
      </c>
      <c r="C59" s="83"/>
      <c r="D59" s="83">
        <f>D57/D58</f>
        <v>0.5826676171865901</v>
      </c>
      <c r="E59" s="73"/>
      <c r="F59" s="83">
        <v>0.55243883062861709</v>
      </c>
      <c r="G59" s="73"/>
      <c r="H59" s="83">
        <f>H57/H58</f>
        <v>0.5335228117831069</v>
      </c>
      <c r="I59" s="73"/>
      <c r="J59" s="83">
        <f>J57/J58</f>
        <v>0.53165441899211696</v>
      </c>
      <c r="K59" s="73"/>
      <c r="L59" s="83">
        <f>L57/L58</f>
        <v>0.5384871312817533</v>
      </c>
      <c r="M59" s="73"/>
      <c r="N59" s="83">
        <f>N57/N58</f>
        <v>0.51620232293668777</v>
      </c>
      <c r="O59" s="83"/>
      <c r="P59" s="83">
        <v>0.51209268154034715</v>
      </c>
      <c r="Q59" s="83"/>
      <c r="R59" s="83">
        <f>R57/R58</f>
        <v>0.50574638754482537</v>
      </c>
      <c r="S59" s="73"/>
      <c r="T59" s="83">
        <v>0.52896505283787076</v>
      </c>
      <c r="U59" s="83"/>
      <c r="V59" s="83">
        <f>V57/V58</f>
        <v>0.50351067743913558</v>
      </c>
      <c r="W59" s="83"/>
      <c r="X59" s="83">
        <f>X57/X58</f>
        <v>0.50284922891243433</v>
      </c>
      <c r="Y59" s="83"/>
      <c r="Z59" s="83">
        <f>Z57/Z58</f>
        <v>0.49123595533951858</v>
      </c>
      <c r="AA59" s="83"/>
      <c r="AB59" s="83">
        <f>AB57/AB58</f>
        <v>0.51904370087075946</v>
      </c>
      <c r="AC59" s="73"/>
      <c r="AD59" s="83">
        <v>0.50268067909864489</v>
      </c>
      <c r="AE59" s="73"/>
      <c r="AF59" s="43">
        <f>AF57/AF58</f>
        <v>0.51400409077452336</v>
      </c>
      <c r="AG59" s="43"/>
      <c r="AH59" s="43">
        <f t="shared" ref="AH59:AJ59" si="89">AH57/AH58</f>
        <v>0.49668828834075329</v>
      </c>
      <c r="AI59" s="43"/>
      <c r="AJ59" s="43">
        <f t="shared" si="89"/>
        <v>0.52544384706073555</v>
      </c>
      <c r="AK59" s="43"/>
      <c r="AL59" s="43">
        <f t="shared" ref="AL59:AV59" si="90">AL57/AL58</f>
        <v>0.50111822417735019</v>
      </c>
      <c r="AM59" s="43"/>
      <c r="AN59" s="43">
        <f t="shared" si="90"/>
        <v>0.48836772901877945</v>
      </c>
      <c r="AO59" s="43"/>
      <c r="AP59" s="43">
        <f t="shared" si="90"/>
        <v>0.49300155421709418</v>
      </c>
      <c r="AQ59" s="43"/>
      <c r="AR59" s="43">
        <f t="shared" si="90"/>
        <v>0.50557776883893468</v>
      </c>
      <c r="AS59" s="43"/>
      <c r="AT59" s="43">
        <f t="shared" si="90"/>
        <v>0.49297791305259797</v>
      </c>
      <c r="AU59" s="43"/>
      <c r="AV59" s="43">
        <f t="shared" si="90"/>
        <v>0.50314558822615363</v>
      </c>
      <c r="AW59" s="43"/>
    </row>
    <row r="60" spans="1:49" x14ac:dyDescent="0.25">
      <c r="B60" s="165"/>
      <c r="C60" s="165"/>
      <c r="D60" s="179"/>
      <c r="E60" s="179"/>
      <c r="F60" s="179"/>
      <c r="G60" s="179"/>
      <c r="H60" s="179"/>
      <c r="I60" s="179"/>
      <c r="J60" s="179"/>
      <c r="K60" s="179"/>
      <c r="L60" s="179"/>
      <c r="M60" s="179"/>
      <c r="N60" s="165"/>
      <c r="O60" s="165"/>
      <c r="P60" s="165"/>
      <c r="Q60" s="165"/>
      <c r="R60" s="165"/>
      <c r="S60" s="165"/>
      <c r="T60" s="165"/>
      <c r="U60" s="165"/>
      <c r="V60" s="165"/>
      <c r="W60" s="165"/>
      <c r="X60" s="165"/>
      <c r="Y60" s="165"/>
      <c r="Z60" s="165"/>
      <c r="AA60" s="165"/>
      <c r="AB60" s="165"/>
      <c r="AC60" s="165"/>
      <c r="AD60" s="165"/>
      <c r="AE60" s="165"/>
      <c r="AF60" s="165"/>
      <c r="AG60" s="165"/>
      <c r="AH60" s="165"/>
      <c r="AI60" s="165"/>
      <c r="AJ60" s="165"/>
      <c r="AK60" s="165"/>
      <c r="AL60" s="165"/>
      <c r="AM60" s="165"/>
      <c r="AN60" s="165"/>
      <c r="AO60" s="165"/>
      <c r="AP60" s="165"/>
      <c r="AQ60" s="165"/>
      <c r="AR60" s="165"/>
      <c r="AS60" s="165"/>
      <c r="AT60" s="165"/>
      <c r="AU60" s="165"/>
      <c r="AV60" s="165"/>
      <c r="AW60" s="165"/>
    </row>
    <row r="61" spans="1:49" x14ac:dyDescent="0.25">
      <c r="A61" s="88"/>
      <c r="B61" s="88"/>
      <c r="C61" s="88"/>
      <c r="P61" s="88"/>
      <c r="Q61" s="88"/>
      <c r="R61" s="88"/>
      <c r="T61"/>
      <c r="V61"/>
      <c r="W61" s="88"/>
      <c r="X61"/>
      <c r="Y61" s="88"/>
      <c r="Z61" s="88"/>
      <c r="AA61" s="88"/>
    </row>
    <row r="62" spans="1:49" x14ac:dyDescent="0.25">
      <c r="A62" s="91" t="s">
        <v>196</v>
      </c>
      <c r="B62" s="95">
        <f>B57</f>
        <v>109691.31679</v>
      </c>
      <c r="C62" s="84">
        <f>B62</f>
        <v>109691.31679</v>
      </c>
      <c r="D62" s="95">
        <f>D57</f>
        <v>110133.112289</v>
      </c>
      <c r="E62" s="84">
        <f>D62</f>
        <v>110133.112289</v>
      </c>
      <c r="F62" s="84">
        <v>102390.106266</v>
      </c>
      <c r="G62" s="84">
        <v>102390.106266</v>
      </c>
      <c r="H62" s="84">
        <f>H57</f>
        <v>97528.676624999993</v>
      </c>
      <c r="I62" s="84">
        <f>H62</f>
        <v>97528.676624999993</v>
      </c>
      <c r="J62" s="95">
        <f>J57</f>
        <v>95390.930225999997</v>
      </c>
      <c r="K62" s="84">
        <f>J62</f>
        <v>95390.930225999997</v>
      </c>
      <c r="L62" s="95">
        <f>L57</f>
        <v>94288.926968999993</v>
      </c>
      <c r="M62" s="84">
        <f>L62</f>
        <v>94288.926968999993</v>
      </c>
      <c r="N62" s="95">
        <f>N57</f>
        <v>88152.276947999999</v>
      </c>
      <c r="O62" s="84">
        <f>N62</f>
        <v>88152.276947999999</v>
      </c>
      <c r="P62" s="95">
        <v>85917.240877999997</v>
      </c>
      <c r="Q62" s="84">
        <f>P62</f>
        <v>85917.240877999997</v>
      </c>
      <c r="R62" s="95">
        <f>+'APM utregning'!R62</f>
        <v>83640.578953999997</v>
      </c>
      <c r="S62" s="84">
        <f>R62</f>
        <v>83640.578953999997</v>
      </c>
      <c r="T62" s="95">
        <v>86552.932446999999</v>
      </c>
      <c r="U62" s="84">
        <f>T62</f>
        <v>86552.932446999999</v>
      </c>
      <c r="V62" s="95">
        <f>V57</f>
        <v>81111.200612999994</v>
      </c>
      <c r="W62" s="84">
        <f>V62</f>
        <v>81111.200612999994</v>
      </c>
      <c r="X62" s="95">
        <f>X57</f>
        <v>80615.336571000007</v>
      </c>
      <c r="Y62" s="84">
        <f>X62</f>
        <v>80615.336571000007</v>
      </c>
      <c r="Z62" s="95">
        <f>Z57</f>
        <v>77529.465574000002</v>
      </c>
      <c r="AA62" s="84">
        <f>Z62</f>
        <v>77529.465574000002</v>
      </c>
      <c r="AB62" s="95">
        <f>AB57</f>
        <v>80342.802729000003</v>
      </c>
      <c r="AC62" s="84">
        <f>AB62</f>
        <v>80342.802729000003</v>
      </c>
      <c r="AD62" s="95">
        <f>AD57</f>
        <v>75937.394352000003</v>
      </c>
      <c r="AE62" s="84">
        <f>AD62</f>
        <v>75937.394352000003</v>
      </c>
      <c r="AF62" s="95">
        <f>AF57</f>
        <v>76475.738796999998</v>
      </c>
      <c r="AG62" s="84">
        <f>AF62</f>
        <v>76475.738796999998</v>
      </c>
      <c r="AH62" s="95">
        <f>AH57</f>
        <v>73085.602178999994</v>
      </c>
      <c r="AI62" s="84">
        <f>AH62</f>
        <v>73085.602178999994</v>
      </c>
      <c r="AJ62" s="95">
        <f>AJ57</f>
        <v>75558.622663999995</v>
      </c>
      <c r="AK62" s="84">
        <f>AJ62</f>
        <v>75558.622663999995</v>
      </c>
      <c r="AL62" s="95">
        <f>AL57</f>
        <v>70175.667711000002</v>
      </c>
      <c r="AM62" s="84">
        <f>AL62</f>
        <v>70175.667711000002</v>
      </c>
      <c r="AN62" s="95">
        <f>AN57</f>
        <v>67167.748563000001</v>
      </c>
      <c r="AO62" s="84">
        <f>AN62</f>
        <v>67167.748563000001</v>
      </c>
      <c r="AP62" s="95">
        <f>AP57</f>
        <v>66289.870962000001</v>
      </c>
      <c r="AQ62" s="84">
        <f>AP62</f>
        <v>66289.870962000001</v>
      </c>
      <c r="AR62" s="95">
        <f>AR57</f>
        <v>67030.936042000001</v>
      </c>
      <c r="AS62" s="84">
        <f>AR62</f>
        <v>67030.936042000001</v>
      </c>
      <c r="AT62" s="95">
        <f>AT57</f>
        <v>63850.715055000001</v>
      </c>
      <c r="AU62" s="84">
        <f>AT62</f>
        <v>63850.715055000001</v>
      </c>
      <c r="AV62" s="95">
        <f>AV57</f>
        <v>64089.773975999997</v>
      </c>
      <c r="AW62" s="84">
        <f>AV62</f>
        <v>64089.773975999997</v>
      </c>
    </row>
    <row r="63" spans="1:49" x14ac:dyDescent="0.25">
      <c r="A63" s="149" t="s">
        <v>249</v>
      </c>
      <c r="B63" s="96">
        <f>J62</f>
        <v>95390.930225999997</v>
      </c>
      <c r="C63" s="78">
        <f>D62</f>
        <v>110133.112289</v>
      </c>
      <c r="D63" s="96">
        <f>P62</f>
        <v>85917.240877999997</v>
      </c>
      <c r="E63" s="78">
        <f>J62</f>
        <v>95390.930225999997</v>
      </c>
      <c r="F63" s="78">
        <v>85917.240877999997</v>
      </c>
      <c r="G63" s="78">
        <v>95390.930225999997</v>
      </c>
      <c r="H63" s="78">
        <f>R62</f>
        <v>83640.578953999997</v>
      </c>
      <c r="I63" s="78">
        <f>L62</f>
        <v>94288.926968999993</v>
      </c>
      <c r="J63" s="96">
        <f>R62</f>
        <v>83640.578953999997</v>
      </c>
      <c r="K63" s="78">
        <f>L62</f>
        <v>94288.926968999993</v>
      </c>
      <c r="L63" s="96">
        <f>T62</f>
        <v>86552.932446999999</v>
      </c>
      <c r="M63" s="78">
        <f>N62</f>
        <v>88152.276947999999</v>
      </c>
      <c r="N63" s="96">
        <f>X62</f>
        <v>80615.336571000007</v>
      </c>
      <c r="O63" s="78">
        <f>P62</f>
        <v>85917.240877999997</v>
      </c>
      <c r="P63" s="96">
        <v>80615.336571000007</v>
      </c>
      <c r="Q63" s="78">
        <f>R62</f>
        <v>83640.578953999997</v>
      </c>
      <c r="R63" s="96">
        <f>+'APM utregning'!R63</f>
        <v>77529.465574000002</v>
      </c>
      <c r="S63" s="78">
        <f>T62</f>
        <v>86552.932446999999</v>
      </c>
      <c r="T63" s="96">
        <v>80342.802729000003</v>
      </c>
      <c r="U63" s="78">
        <f>V62</f>
        <v>81111.200612999994</v>
      </c>
      <c r="V63" s="96">
        <f>AD62</f>
        <v>75937.394352000003</v>
      </c>
      <c r="W63" s="78">
        <f>X62</f>
        <v>80615.336571000007</v>
      </c>
      <c r="X63" s="96">
        <f>AF62</f>
        <v>76475.738796999998</v>
      </c>
      <c r="Y63" s="78">
        <f>Z62</f>
        <v>77529.465574000002</v>
      </c>
      <c r="Z63" s="96">
        <f>AH62</f>
        <v>73085.602178999994</v>
      </c>
      <c r="AA63" s="78">
        <f>AB62</f>
        <v>80342.802729000003</v>
      </c>
      <c r="AB63" s="96">
        <f>AJ62</f>
        <v>75558.622663999995</v>
      </c>
      <c r="AC63" s="78">
        <f>AD62</f>
        <v>75937.394352000003</v>
      </c>
      <c r="AD63" s="96">
        <f>AL62</f>
        <v>70175.667711000002</v>
      </c>
      <c r="AE63" s="78">
        <f>AF62</f>
        <v>76475.738796999998</v>
      </c>
      <c r="AF63" s="96">
        <f>AN62</f>
        <v>67167.748563000001</v>
      </c>
      <c r="AG63" s="78">
        <f>AH62</f>
        <v>73085.602178999994</v>
      </c>
      <c r="AH63" s="96">
        <f>AP62</f>
        <v>66289.870962000001</v>
      </c>
      <c r="AI63" s="78">
        <f>AJ62</f>
        <v>75558.622663999995</v>
      </c>
      <c r="AJ63" s="96">
        <f>AR62</f>
        <v>67030.936042000001</v>
      </c>
      <c r="AK63" s="78">
        <f>AL62</f>
        <v>70175.667711000002</v>
      </c>
      <c r="AL63" s="96">
        <f>AT62</f>
        <v>63850.715055000001</v>
      </c>
      <c r="AM63" s="78">
        <f>AN62</f>
        <v>67167.748563000001</v>
      </c>
      <c r="AN63" s="96">
        <f>AV62</f>
        <v>64089.773975999997</v>
      </c>
      <c r="AO63" s="78">
        <f>AP62</f>
        <v>66289.870962000001</v>
      </c>
      <c r="AP63" s="96">
        <v>63620</v>
      </c>
      <c r="AQ63" s="78">
        <f>AR62</f>
        <v>67030.936042000001</v>
      </c>
      <c r="AR63" s="96">
        <v>66186</v>
      </c>
      <c r="AS63" s="78">
        <f>AT62</f>
        <v>63850.715055000001</v>
      </c>
      <c r="AT63" s="96">
        <v>60589</v>
      </c>
      <c r="AU63" s="78">
        <f>AV62</f>
        <v>64089.773975999997</v>
      </c>
      <c r="AV63" s="96">
        <v>60680</v>
      </c>
      <c r="AW63" s="78">
        <v>63620.17578482996</v>
      </c>
    </row>
    <row r="64" spans="1:49" x14ac:dyDescent="0.25">
      <c r="A64" s="91" t="s">
        <v>195</v>
      </c>
      <c r="B64" s="95">
        <f t="shared" ref="B64:C64" si="91">B62-B63</f>
        <v>14300.386564</v>
      </c>
      <c r="C64" s="76">
        <f t="shared" si="91"/>
        <v>-441.79549899999984</v>
      </c>
      <c r="D64" s="95">
        <f t="shared" ref="D64:O64" si="92">D62-D63</f>
        <v>24215.871411</v>
      </c>
      <c r="E64" s="76">
        <f t="shared" si="92"/>
        <v>14742.182063</v>
      </c>
      <c r="F64" s="76">
        <v>16472.865388000006</v>
      </c>
      <c r="G64" s="76">
        <v>6999.1760400000057</v>
      </c>
      <c r="H64" s="76">
        <f t="shared" ref="H64:I64" si="93">H62-H63</f>
        <v>13888.097670999996</v>
      </c>
      <c r="I64" s="76">
        <f t="shared" si="93"/>
        <v>3239.749656</v>
      </c>
      <c r="J64" s="95">
        <f t="shared" si="92"/>
        <v>11750.351272</v>
      </c>
      <c r="K64" s="76">
        <f t="shared" si="92"/>
        <v>1102.0032570000039</v>
      </c>
      <c r="L64" s="95">
        <f t="shared" si="92"/>
        <v>7735.9945219999936</v>
      </c>
      <c r="M64" s="76">
        <f t="shared" si="92"/>
        <v>6136.650020999994</v>
      </c>
      <c r="N64" s="95">
        <f t="shared" si="92"/>
        <v>7536.9403769999917</v>
      </c>
      <c r="O64" s="76">
        <f t="shared" si="92"/>
        <v>2235.0360700000019</v>
      </c>
      <c r="P64" s="95">
        <v>5301.9043069999898</v>
      </c>
      <c r="Q64" s="76">
        <f>Q62-Q63</f>
        <v>2276.661924</v>
      </c>
      <c r="R64" s="95">
        <f>R62-R63</f>
        <v>6111.1133799999952</v>
      </c>
      <c r="S64" s="76">
        <f>S62-S63</f>
        <v>-2912.3534930000023</v>
      </c>
      <c r="T64" s="95">
        <v>6210.1297179999965</v>
      </c>
      <c r="U64" s="76">
        <f t="shared" ref="U64:AW64" si="94">U62-U63</f>
        <v>5441.7318340000056</v>
      </c>
      <c r="V64" s="95">
        <f t="shared" si="94"/>
        <v>5173.8062609999906</v>
      </c>
      <c r="W64" s="76">
        <f t="shared" si="94"/>
        <v>495.86404199998651</v>
      </c>
      <c r="X64" s="95">
        <f t="shared" si="94"/>
        <v>4139.5977740000089</v>
      </c>
      <c r="Y64" s="76">
        <f t="shared" si="94"/>
        <v>3085.8709970000054</v>
      </c>
      <c r="Z64" s="95">
        <f t="shared" si="94"/>
        <v>4443.8633950000076</v>
      </c>
      <c r="AA64" s="76">
        <f t="shared" si="94"/>
        <v>-2813.3371550000011</v>
      </c>
      <c r="AB64" s="95">
        <f t="shared" si="94"/>
        <v>4784.1800650000077</v>
      </c>
      <c r="AC64" s="76">
        <f t="shared" si="94"/>
        <v>4405.4083769999997</v>
      </c>
      <c r="AD64" s="95">
        <f t="shared" si="94"/>
        <v>5761.7266410000011</v>
      </c>
      <c r="AE64" s="76">
        <f t="shared" si="94"/>
        <v>-538.34444499999518</v>
      </c>
      <c r="AF64" s="95">
        <f t="shared" si="94"/>
        <v>9307.9902339999971</v>
      </c>
      <c r="AG64" s="76">
        <f t="shared" si="94"/>
        <v>3390.1366180000041</v>
      </c>
      <c r="AH64" s="95">
        <f t="shared" si="94"/>
        <v>6795.7312169999932</v>
      </c>
      <c r="AI64" s="76">
        <f t="shared" si="94"/>
        <v>-2473.0204850000009</v>
      </c>
      <c r="AJ64" s="95">
        <f t="shared" si="94"/>
        <v>8527.6866219999938</v>
      </c>
      <c r="AK64" s="76">
        <f t="shared" si="94"/>
        <v>5382.9549529999931</v>
      </c>
      <c r="AL64" s="95">
        <f t="shared" si="94"/>
        <v>6324.9526560000013</v>
      </c>
      <c r="AM64" s="76">
        <f t="shared" si="94"/>
        <v>3007.9191480000009</v>
      </c>
      <c r="AN64" s="95">
        <f t="shared" si="94"/>
        <v>3077.9745870000042</v>
      </c>
      <c r="AO64" s="76">
        <f t="shared" si="94"/>
        <v>877.87760100000014</v>
      </c>
      <c r="AP64" s="95">
        <f t="shared" si="94"/>
        <v>2669.8709620000009</v>
      </c>
      <c r="AQ64" s="76">
        <f t="shared" si="94"/>
        <v>-741.06508000000031</v>
      </c>
      <c r="AR64" s="95">
        <f t="shared" si="94"/>
        <v>844.93604200000118</v>
      </c>
      <c r="AS64" s="76">
        <f t="shared" si="94"/>
        <v>3180.2209870000006</v>
      </c>
      <c r="AT64" s="95">
        <f t="shared" si="94"/>
        <v>3261.7150550000006</v>
      </c>
      <c r="AU64" s="76">
        <f t="shared" si="94"/>
        <v>-239.05892099999619</v>
      </c>
      <c r="AV64" s="95">
        <f t="shared" si="94"/>
        <v>3409.7739759999968</v>
      </c>
      <c r="AW64" s="76">
        <f t="shared" si="94"/>
        <v>469.59819117003644</v>
      </c>
    </row>
    <row r="65" spans="1:49" x14ac:dyDescent="0.25">
      <c r="A65" s="74"/>
      <c r="B65" s="91"/>
      <c r="C65" s="88"/>
      <c r="D65" s="91"/>
      <c r="J65" s="91"/>
      <c r="L65" s="74"/>
      <c r="N65" s="91"/>
      <c r="O65" s="64"/>
      <c r="P65" s="91"/>
      <c r="R65" s="91"/>
      <c r="T65" s="91"/>
      <c r="U65" s="64"/>
      <c r="V65" s="91"/>
      <c r="X65" s="91"/>
      <c r="Z65" s="91"/>
      <c r="AB65" s="91"/>
      <c r="AC65" s="64"/>
      <c r="AD65" s="91"/>
      <c r="AE65" s="64"/>
      <c r="AF65" s="91"/>
      <c r="AG65" s="64"/>
      <c r="AH65" s="91"/>
      <c r="AI65" s="64"/>
      <c r="AJ65" s="91"/>
      <c r="AK65" s="64"/>
      <c r="AL65" s="91"/>
      <c r="AM65" s="64"/>
      <c r="AN65" s="91"/>
      <c r="AO65" s="64"/>
      <c r="AP65" s="91"/>
      <c r="AQ65" s="64"/>
      <c r="AR65" s="91"/>
      <c r="AS65" s="64"/>
      <c r="AT65" s="91"/>
      <c r="AU65" s="64"/>
      <c r="AV65" s="91"/>
      <c r="AW65" s="64"/>
    </row>
    <row r="66" spans="1:49" ht="15.75" thickBot="1" x14ac:dyDescent="0.3">
      <c r="A66" s="110" t="s">
        <v>248</v>
      </c>
      <c r="B66" s="101">
        <f t="shared" ref="B66:C66" si="95">B64/B63</f>
        <v>0.14991348265626045</v>
      </c>
      <c r="C66" s="101">
        <f t="shared" si="95"/>
        <v>-4.0114683932720024E-3</v>
      </c>
      <c r="D66" s="101">
        <f t="shared" ref="D66:O66" si="96">D64/D63</f>
        <v>0.28185112980275795</v>
      </c>
      <c r="E66" s="101">
        <f t="shared" si="96"/>
        <v>0.15454490304343246</v>
      </c>
      <c r="F66" s="101">
        <v>0.19172945056965923</v>
      </c>
      <c r="G66" s="101">
        <v>7.337360085930153E-2</v>
      </c>
      <c r="H66" s="101">
        <f t="shared" ref="H66:I66" si="97">H64/H63</f>
        <v>0.16604497296268197</v>
      </c>
      <c r="I66" s="101">
        <f t="shared" si="97"/>
        <v>3.4359810426786958E-2</v>
      </c>
      <c r="J66" s="101">
        <f t="shared" si="96"/>
        <v>0.14048624984365984</v>
      </c>
      <c r="K66" s="101">
        <f t="shared" si="96"/>
        <v>1.1687515092438341E-2</v>
      </c>
      <c r="L66" s="101">
        <f t="shared" si="96"/>
        <v>8.9378768613496348E-2</v>
      </c>
      <c r="M66" s="101">
        <f t="shared" si="96"/>
        <v>6.961419753933222E-2</v>
      </c>
      <c r="N66" s="101">
        <f t="shared" si="96"/>
        <v>9.3492636731250439E-2</v>
      </c>
      <c r="O66" s="101">
        <f t="shared" si="96"/>
        <v>2.6013825015327119E-2</v>
      </c>
      <c r="P66" s="101">
        <v>6.5767936133721477E-2</v>
      </c>
      <c r="Q66" s="101">
        <f>Q64/Q63</f>
        <v>2.7219585905211167E-2</v>
      </c>
      <c r="R66" s="101">
        <f>R64/R63</f>
        <v>7.8823107250327748E-2</v>
      </c>
      <c r="S66" s="101">
        <f>S64/S63</f>
        <v>-3.3648235948370193E-2</v>
      </c>
      <c r="T66" s="101">
        <v>7.7295408014916425E-2</v>
      </c>
      <c r="U66" s="101">
        <f t="shared" ref="U66:AW66" si="98">U64/U63</f>
        <v>6.7089770498697798E-2</v>
      </c>
      <c r="V66" s="101">
        <f t="shared" si="98"/>
        <v>6.8132522917725383E-2</v>
      </c>
      <c r="W66" s="101">
        <f t="shared" si="98"/>
        <v>6.1509889196240753E-3</v>
      </c>
      <c r="X66" s="101">
        <f t="shared" si="98"/>
        <v>5.4129555845002147E-2</v>
      </c>
      <c r="Y66" s="101">
        <f t="shared" si="98"/>
        <v>3.980255731357539E-2</v>
      </c>
      <c r="Z66" s="101">
        <f t="shared" si="98"/>
        <v>6.0803540813909887E-2</v>
      </c>
      <c r="AA66" s="101">
        <f t="shared" si="98"/>
        <v>-3.5016666825646074E-2</v>
      </c>
      <c r="AB66" s="101">
        <f t="shared" si="98"/>
        <v>6.3317459957875022E-2</v>
      </c>
      <c r="AC66" s="101">
        <f t="shared" si="98"/>
        <v>5.8013688968299088E-2</v>
      </c>
      <c r="AD66" s="101">
        <f t="shared" si="98"/>
        <v>8.2104336573299935E-2</v>
      </c>
      <c r="AE66" s="101">
        <f t="shared" si="98"/>
        <v>-7.0394147669366929E-3</v>
      </c>
      <c r="AF66" s="101">
        <f t="shared" si="98"/>
        <v>0.1385782675932567</v>
      </c>
      <c r="AG66" s="101">
        <f t="shared" si="98"/>
        <v>4.6385834103096532E-2</v>
      </c>
      <c r="AH66" s="101">
        <f t="shared" si="98"/>
        <v>0.10251537856960949</v>
      </c>
      <c r="AI66" s="101">
        <f t="shared" si="98"/>
        <v>-3.2729824840736207E-2</v>
      </c>
      <c r="AJ66" s="101">
        <f t="shared" si="98"/>
        <v>0.12722016318937793</v>
      </c>
      <c r="AK66" s="101">
        <f t="shared" si="98"/>
        <v>7.6706857641430287E-2</v>
      </c>
      <c r="AL66" s="101">
        <f t="shared" si="98"/>
        <v>9.9058446730812433E-2</v>
      </c>
      <c r="AM66" s="101">
        <f t="shared" si="98"/>
        <v>4.4782194019481275E-2</v>
      </c>
      <c r="AN66" s="101">
        <f t="shared" si="98"/>
        <v>4.8025985988851015E-2</v>
      </c>
      <c r="AO66" s="101">
        <f t="shared" si="98"/>
        <v>1.3243012669359918E-2</v>
      </c>
      <c r="AP66" s="101">
        <f t="shared" si="98"/>
        <v>4.1965906350204349E-2</v>
      </c>
      <c r="AQ66" s="101">
        <f t="shared" si="98"/>
        <v>-1.10555681265687E-2</v>
      </c>
      <c r="AR66" s="101">
        <f t="shared" si="98"/>
        <v>1.276608409633459E-2</v>
      </c>
      <c r="AS66" s="101">
        <f t="shared" si="98"/>
        <v>4.9807131905423588E-2</v>
      </c>
      <c r="AT66" s="101">
        <f t="shared" si="98"/>
        <v>5.3833452524385622E-2</v>
      </c>
      <c r="AU66" s="101">
        <f t="shared" si="98"/>
        <v>-3.7300634121368212E-3</v>
      </c>
      <c r="AV66" s="101">
        <f t="shared" si="98"/>
        <v>5.6192715491100803E-2</v>
      </c>
      <c r="AW66" s="101">
        <f t="shared" si="98"/>
        <v>7.3812778002730816E-3</v>
      </c>
    </row>
    <row r="67" spans="1:49" x14ac:dyDescent="0.25">
      <c r="A67" s="104"/>
      <c r="B67" s="167"/>
      <c r="C67" s="167"/>
      <c r="D67" s="167"/>
      <c r="E67" s="167"/>
      <c r="F67" s="167"/>
      <c r="G67" s="167"/>
      <c r="H67" s="167"/>
      <c r="I67" s="167"/>
      <c r="J67" s="167"/>
      <c r="K67" s="167"/>
      <c r="L67" s="167"/>
      <c r="M67" s="167"/>
      <c r="N67" s="166"/>
      <c r="O67" s="166"/>
      <c r="P67" s="166"/>
      <c r="Q67" s="166"/>
      <c r="R67" s="166"/>
      <c r="S67" s="166"/>
      <c r="T67" s="166"/>
      <c r="U67" s="166"/>
      <c r="V67" s="167"/>
      <c r="W67" s="166"/>
      <c r="X67" s="166"/>
      <c r="Y67" s="166"/>
      <c r="Z67" s="166"/>
      <c r="AA67" s="166"/>
      <c r="AB67" s="166"/>
      <c r="AC67" s="166"/>
      <c r="AD67" s="166"/>
      <c r="AE67" s="166"/>
      <c r="AF67" s="166"/>
      <c r="AG67" s="166"/>
      <c r="AH67" s="166"/>
      <c r="AI67" s="166"/>
      <c r="AJ67" s="166"/>
      <c r="AK67" s="166"/>
      <c r="AL67" s="166"/>
      <c r="AM67" s="166"/>
      <c r="AN67" s="166"/>
      <c r="AO67" s="166"/>
      <c r="AP67" s="166"/>
      <c r="AQ67" s="166"/>
      <c r="AR67" s="166"/>
      <c r="AS67" s="166"/>
      <c r="AT67" s="166"/>
      <c r="AU67" s="166"/>
      <c r="AV67" s="166"/>
      <c r="AW67" s="166"/>
    </row>
    <row r="68" spans="1:49" x14ac:dyDescent="0.25">
      <c r="A68" s="104"/>
      <c r="P68" s="88"/>
      <c r="Q68" s="88"/>
      <c r="R68" s="88"/>
      <c r="T68" s="88"/>
      <c r="V68" s="88"/>
      <c r="X68" s="88"/>
      <c r="Z68" s="88"/>
      <c r="AA68" s="88"/>
      <c r="AB68" s="64"/>
      <c r="AC68" s="64"/>
      <c r="AD68" s="64"/>
      <c r="AE68" s="64"/>
    </row>
    <row r="69" spans="1:49" s="15" customFormat="1" ht="30" x14ac:dyDescent="0.25">
      <c r="A69" s="139" t="s">
        <v>89</v>
      </c>
      <c r="B69" s="140">
        <f>+'APM utregning'!B69</f>
        <v>191975.66068308055</v>
      </c>
      <c r="C69" s="84">
        <f>B69</f>
        <v>191975.66068308055</v>
      </c>
      <c r="D69" s="140">
        <f>+'APM utregning'!D69</f>
        <v>189015.33059410029</v>
      </c>
      <c r="E69" s="84">
        <f>D69</f>
        <v>189015.33059410029</v>
      </c>
      <c r="F69" s="84">
        <v>185341.97921875055</v>
      </c>
      <c r="G69" s="84">
        <v>185341.97921875055</v>
      </c>
      <c r="H69" s="84">
        <f>+'APM utregning'!H69</f>
        <v>182801.32446267045</v>
      </c>
      <c r="I69" s="84">
        <f>H69</f>
        <v>182801.32446267045</v>
      </c>
      <c r="J69" s="140">
        <f>J58</f>
        <v>179422.8107928402</v>
      </c>
      <c r="K69" s="84">
        <f>J69</f>
        <v>179422.8107928402</v>
      </c>
      <c r="L69" s="140">
        <f>L58</f>
        <v>175099.6848236009</v>
      </c>
      <c r="M69" s="84">
        <f>L69</f>
        <v>175099.6848236009</v>
      </c>
      <c r="N69" s="140">
        <f>N58</f>
        <v>170770.78701719031</v>
      </c>
      <c r="O69" s="84">
        <f>N69</f>
        <v>170770.78701719031</v>
      </c>
      <c r="P69" s="140">
        <v>167776.74037356983</v>
      </c>
      <c r="Q69" s="84">
        <f>P69</f>
        <v>167776.74037356983</v>
      </c>
      <c r="R69" s="140">
        <f>+'APM utregning'!R69</f>
        <v>165380.47727842</v>
      </c>
      <c r="S69" s="84">
        <f>R69</f>
        <v>165380.47727842</v>
      </c>
      <c r="T69" s="140">
        <v>163626.93902489002</v>
      </c>
      <c r="U69" s="84">
        <f>T69</f>
        <v>163626.93902489002</v>
      </c>
      <c r="V69" s="140">
        <f>V58</f>
        <v>161091.32188722002</v>
      </c>
      <c r="W69" s="84">
        <f>V69</f>
        <v>161091.32188722002</v>
      </c>
      <c r="X69" s="140">
        <f>X58</f>
        <v>160317.11283589993</v>
      </c>
      <c r="Y69" s="84">
        <f>X69</f>
        <v>160317.11283589993</v>
      </c>
      <c r="Z69" s="140">
        <f>Z58</f>
        <v>157825.30723024005</v>
      </c>
      <c r="AA69" s="84">
        <f>Z69</f>
        <v>157825.30723024005</v>
      </c>
      <c r="AB69" s="140">
        <f>AB58</f>
        <v>154790.05446788989</v>
      </c>
      <c r="AC69" s="84">
        <f>AB69</f>
        <v>154790.05446788989</v>
      </c>
      <c r="AD69" s="140">
        <v>151064.87579384015</v>
      </c>
      <c r="AE69" s="84">
        <f>AD69</f>
        <v>151064.87579384015</v>
      </c>
      <c r="AF69" s="141">
        <f>AF58</f>
        <v>148784.29991046002</v>
      </c>
      <c r="AG69" s="84">
        <f>AF69</f>
        <v>148784.29991046002</v>
      </c>
      <c r="AH69" s="141">
        <f>AH58</f>
        <v>147145.81336949015</v>
      </c>
      <c r="AI69" s="84">
        <f>AH69</f>
        <v>147145.81336949015</v>
      </c>
      <c r="AJ69" s="140">
        <f>AJ58</f>
        <v>143799.61452905973</v>
      </c>
      <c r="AK69" s="84">
        <f>AJ69</f>
        <v>143799.61452905973</v>
      </c>
      <c r="AL69" s="140">
        <f>AL58</f>
        <v>140038.1473377911</v>
      </c>
      <c r="AM69" s="84">
        <f>AL69</f>
        <v>140038.1473377911</v>
      </c>
      <c r="AN69" s="140">
        <f>AN58</f>
        <v>137535.19033280999</v>
      </c>
      <c r="AO69" s="84">
        <f>AN69</f>
        <v>137535.19033280999</v>
      </c>
      <c r="AP69" s="140">
        <f>AP58</f>
        <v>134461.78900444019</v>
      </c>
      <c r="AQ69" s="84">
        <f>AP69</f>
        <v>134461.78900444019</v>
      </c>
      <c r="AR69" s="140">
        <f>AR58</f>
        <v>132582.83922558016</v>
      </c>
      <c r="AS69" s="84">
        <f>AR69</f>
        <v>132582.83922558016</v>
      </c>
      <c r="AT69" s="140">
        <f>AT58</f>
        <v>129520.43765942003</v>
      </c>
      <c r="AU69" s="84">
        <f>AT69</f>
        <v>129520.43765942003</v>
      </c>
      <c r="AV69" s="140">
        <f>AV58</f>
        <v>127378.18928701995</v>
      </c>
      <c r="AW69" s="84">
        <f>AV69</f>
        <v>127378.18928701995</v>
      </c>
    </row>
    <row r="70" spans="1:49" ht="30" x14ac:dyDescent="0.25">
      <c r="A70" s="168" t="s">
        <v>231</v>
      </c>
      <c r="B70" s="78">
        <f>+'APM utregning'!B70</f>
        <v>179422.8107928402</v>
      </c>
      <c r="C70" s="78">
        <f>E69</f>
        <v>189015.33059410029</v>
      </c>
      <c r="D70" s="78">
        <f>+'APM utregning'!D70</f>
        <v>175099.6848236009</v>
      </c>
      <c r="E70" s="78">
        <f>J69</f>
        <v>179422.8107928402</v>
      </c>
      <c r="F70" s="78">
        <v>170770.78701719031</v>
      </c>
      <c r="G70" s="78">
        <v>179422.8107928402</v>
      </c>
      <c r="H70" s="78">
        <f>+'APM utregning'!H70</f>
        <v>167776.74037356983</v>
      </c>
      <c r="I70" s="78">
        <f>L69</f>
        <v>175099.6848236009</v>
      </c>
      <c r="J70" s="78">
        <f>R69</f>
        <v>165380.47727842</v>
      </c>
      <c r="K70" s="78">
        <f>L69</f>
        <v>175099.6848236009</v>
      </c>
      <c r="L70" s="78">
        <f>T69</f>
        <v>163626.93902489002</v>
      </c>
      <c r="M70" s="78">
        <f>N69</f>
        <v>170770.78701719031</v>
      </c>
      <c r="N70" s="78">
        <f>X69</f>
        <v>160317.11283589993</v>
      </c>
      <c r="O70" s="78">
        <f>P69</f>
        <v>167776.74037356983</v>
      </c>
      <c r="P70" s="78">
        <v>160317.11283589993</v>
      </c>
      <c r="Q70" s="78">
        <f>R69</f>
        <v>165380.47727842</v>
      </c>
      <c r="R70" s="78">
        <f>Z69</f>
        <v>157825.30723024005</v>
      </c>
      <c r="S70" s="78">
        <f>T69</f>
        <v>163626.93902489002</v>
      </c>
      <c r="T70" s="78">
        <v>154790.05446788989</v>
      </c>
      <c r="U70" s="78">
        <f>V69</f>
        <v>161091.32188722002</v>
      </c>
      <c r="V70" s="78">
        <f>AD69</f>
        <v>151064.87579384015</v>
      </c>
      <c r="W70" s="78">
        <f>X69</f>
        <v>160317.11283589993</v>
      </c>
      <c r="X70" s="78">
        <f>AF69</f>
        <v>148784.29991046002</v>
      </c>
      <c r="Y70" s="78">
        <f>Z69</f>
        <v>157825.30723024005</v>
      </c>
      <c r="Z70" s="78">
        <f>AH69</f>
        <v>147145.81336949015</v>
      </c>
      <c r="AA70" s="78">
        <f>AB69</f>
        <v>154790.05446788989</v>
      </c>
      <c r="AB70" s="78">
        <f>AJ69</f>
        <v>143799.61452905973</v>
      </c>
      <c r="AC70" s="78">
        <f>AD69</f>
        <v>151064.87579384015</v>
      </c>
      <c r="AD70" s="78">
        <v>140038.1473377911</v>
      </c>
      <c r="AE70" s="78">
        <f>AF69</f>
        <v>148784.29991046002</v>
      </c>
      <c r="AF70" s="33">
        <f>AN69</f>
        <v>137535.19033280999</v>
      </c>
      <c r="AG70" s="78">
        <f>AH69</f>
        <v>147145.81336949015</v>
      </c>
      <c r="AH70" s="33">
        <f t="shared" ref="AH70:AL70" si="99">AP69</f>
        <v>134461.78900444019</v>
      </c>
      <c r="AI70" s="78">
        <f>AJ69</f>
        <v>143799.61452905973</v>
      </c>
      <c r="AJ70" s="78">
        <f t="shared" si="99"/>
        <v>132582.83922558016</v>
      </c>
      <c r="AK70" s="78">
        <f>AL69</f>
        <v>140038.1473377911</v>
      </c>
      <c r="AL70" s="78">
        <f t="shared" si="99"/>
        <v>129520.43765942003</v>
      </c>
      <c r="AM70" s="78">
        <f>AN69</f>
        <v>137535.19033280999</v>
      </c>
      <c r="AN70" s="78">
        <f t="shared" ref="AN70" si="100">AV69</f>
        <v>127378.18928701995</v>
      </c>
      <c r="AO70" s="78">
        <f>AP69</f>
        <v>134461.78900444019</v>
      </c>
      <c r="AP70" s="78">
        <v>126179.53837441001</v>
      </c>
      <c r="AQ70" s="78">
        <f>AR69</f>
        <v>132582.83922558016</v>
      </c>
      <c r="AR70" s="78">
        <v>124518.80857552995</v>
      </c>
      <c r="AS70" s="78">
        <f>AT69</f>
        <v>129520.43765942003</v>
      </c>
      <c r="AT70" s="78">
        <v>122932.87120760018</v>
      </c>
      <c r="AU70" s="78">
        <f>AV69</f>
        <v>127378.18928701995</v>
      </c>
      <c r="AV70" s="78">
        <v>120435.05705413</v>
      </c>
      <c r="AW70" s="78">
        <v>126179.53837441001</v>
      </c>
    </row>
    <row r="71" spans="1:49" ht="30" x14ac:dyDescent="0.25">
      <c r="A71" s="139" t="s">
        <v>90</v>
      </c>
      <c r="B71" s="84">
        <f t="shared" ref="B71:C71" si="101">B69-B70</f>
        <v>12552.849890240352</v>
      </c>
      <c r="C71" s="84">
        <f t="shared" si="101"/>
        <v>2960.3300889802631</v>
      </c>
      <c r="D71" s="84">
        <f t="shared" ref="D71:O71" si="102">D69-D70</f>
        <v>13915.645770499395</v>
      </c>
      <c r="E71" s="84">
        <f t="shared" si="102"/>
        <v>9592.5198012600886</v>
      </c>
      <c r="F71" s="84">
        <v>14571.192201560247</v>
      </c>
      <c r="G71" s="84">
        <v>5919.1684259103495</v>
      </c>
      <c r="H71" s="84">
        <f t="shared" ref="H71:I71" si="103">H69-H70</f>
        <v>15024.584089100623</v>
      </c>
      <c r="I71" s="84">
        <f t="shared" si="103"/>
        <v>7701.6396390695591</v>
      </c>
      <c r="J71" s="84">
        <f t="shared" si="102"/>
        <v>14042.333514420199</v>
      </c>
      <c r="K71" s="84">
        <f t="shared" si="102"/>
        <v>4323.1259692393069</v>
      </c>
      <c r="L71" s="84">
        <f t="shared" si="102"/>
        <v>11472.745798710879</v>
      </c>
      <c r="M71" s="84">
        <f t="shared" si="102"/>
        <v>4328.8978064105904</v>
      </c>
      <c r="N71" s="84">
        <f t="shared" si="102"/>
        <v>10453.674181290378</v>
      </c>
      <c r="O71" s="84">
        <f t="shared" si="102"/>
        <v>2994.0466436204733</v>
      </c>
      <c r="P71" s="84">
        <v>7459.627537669905</v>
      </c>
      <c r="Q71" s="84">
        <f>Q69-Q70</f>
        <v>2396.2630951498286</v>
      </c>
      <c r="R71" s="84">
        <f>R69-R70</f>
        <v>7555.1700481799489</v>
      </c>
      <c r="S71" s="84">
        <f>S69-S70</f>
        <v>1753.5382535299868</v>
      </c>
      <c r="T71" s="84">
        <v>8836.8845570001286</v>
      </c>
      <c r="U71" s="84">
        <f t="shared" ref="U71:AC71" si="104">U69-U70</f>
        <v>2535.6171376699931</v>
      </c>
      <c r="V71" s="84">
        <f t="shared" si="104"/>
        <v>10026.446093379869</v>
      </c>
      <c r="W71" s="84">
        <f t="shared" si="104"/>
        <v>774.20905132009648</v>
      </c>
      <c r="X71" s="84">
        <f t="shared" si="104"/>
        <v>11532.81292543991</v>
      </c>
      <c r="Y71" s="84">
        <f t="shared" si="104"/>
        <v>2491.8056056598725</v>
      </c>
      <c r="Z71" s="84">
        <f t="shared" si="104"/>
        <v>10679.493860749906</v>
      </c>
      <c r="AA71" s="84">
        <f t="shared" si="104"/>
        <v>3035.2527623501664</v>
      </c>
      <c r="AB71" s="84">
        <f t="shared" si="104"/>
        <v>10990.439938830154</v>
      </c>
      <c r="AC71" s="84">
        <f t="shared" si="104"/>
        <v>3725.1786740497337</v>
      </c>
      <c r="AD71" s="84">
        <v>11026.728456049052</v>
      </c>
      <c r="AE71" s="84">
        <f>AE69-AE70</f>
        <v>2280.5758833801374</v>
      </c>
      <c r="AF71" s="22">
        <f>AF69-AF70</f>
        <v>11249.10957765003</v>
      </c>
      <c r="AG71" s="84">
        <f>AG69-AG70</f>
        <v>1638.4865409698687</v>
      </c>
      <c r="AH71" s="22">
        <f t="shared" ref="AH71:AL71" si="105">AH69-AH70</f>
        <v>12684.024365049961</v>
      </c>
      <c r="AI71" s="84">
        <f>AI69-AI70</f>
        <v>3346.1988404304138</v>
      </c>
      <c r="AJ71" s="22">
        <f t="shared" si="105"/>
        <v>11216.775303479575</v>
      </c>
      <c r="AK71" s="84">
        <f>AK69-AK70</f>
        <v>3761.4671912686317</v>
      </c>
      <c r="AL71" s="22">
        <f t="shared" si="105"/>
        <v>10517.709678371073</v>
      </c>
      <c r="AM71" s="84">
        <f>AM69-AM70</f>
        <v>2502.9570049811155</v>
      </c>
      <c r="AN71" s="22">
        <f t="shared" ref="AN71:AV71" si="106">AN69-AN70</f>
        <v>10157.001045790035</v>
      </c>
      <c r="AO71" s="84">
        <f>AO69-AO70</f>
        <v>3073.4013283698005</v>
      </c>
      <c r="AP71" s="22">
        <f t="shared" si="106"/>
        <v>8282.2506300301757</v>
      </c>
      <c r="AQ71" s="84">
        <f>AQ69-AQ70</f>
        <v>1878.9497788600274</v>
      </c>
      <c r="AR71" s="22">
        <f t="shared" si="106"/>
        <v>8064.0306500502047</v>
      </c>
      <c r="AS71" s="84">
        <f>AS69-AS70</f>
        <v>3062.4015661601297</v>
      </c>
      <c r="AT71" s="22">
        <f t="shared" si="106"/>
        <v>6587.5664518198464</v>
      </c>
      <c r="AU71" s="84">
        <f>AU69-AU70</f>
        <v>2142.2483724000776</v>
      </c>
      <c r="AV71" s="22">
        <f t="shared" si="106"/>
        <v>6943.132232889955</v>
      </c>
      <c r="AW71" s="84">
        <f>AW69-AW70</f>
        <v>1198.6509126099409</v>
      </c>
    </row>
    <row r="72" spans="1:49" ht="30" x14ac:dyDescent="0.25">
      <c r="A72" s="139" t="s">
        <v>232</v>
      </c>
      <c r="B72" s="78">
        <f t="shared" ref="B72:C72" si="107">B70</f>
        <v>179422.8107928402</v>
      </c>
      <c r="C72" s="78">
        <f t="shared" si="107"/>
        <v>189015.33059410029</v>
      </c>
      <c r="D72" s="78">
        <f t="shared" ref="D72:O72" si="108">D70</f>
        <v>175099.6848236009</v>
      </c>
      <c r="E72" s="78">
        <f t="shared" si="108"/>
        <v>179422.8107928402</v>
      </c>
      <c r="F72" s="78">
        <v>170770.78701719031</v>
      </c>
      <c r="G72" s="78">
        <v>179422.8107928402</v>
      </c>
      <c r="H72" s="78">
        <f t="shared" ref="H72:I72" si="109">H70</f>
        <v>167776.74037356983</v>
      </c>
      <c r="I72" s="78">
        <f t="shared" si="109"/>
        <v>175099.6848236009</v>
      </c>
      <c r="J72" s="78">
        <f t="shared" si="108"/>
        <v>165380.47727842</v>
      </c>
      <c r="K72" s="78">
        <f t="shared" si="108"/>
        <v>175099.6848236009</v>
      </c>
      <c r="L72" s="78">
        <f t="shared" si="108"/>
        <v>163626.93902489002</v>
      </c>
      <c r="M72" s="78">
        <f t="shared" si="108"/>
        <v>170770.78701719031</v>
      </c>
      <c r="N72" s="78">
        <f t="shared" si="108"/>
        <v>160317.11283589993</v>
      </c>
      <c r="O72" s="78">
        <f t="shared" si="108"/>
        <v>167776.74037356983</v>
      </c>
      <c r="P72" s="78">
        <v>160317.11283589993</v>
      </c>
      <c r="Q72" s="78">
        <f>Q70</f>
        <v>165380.47727842</v>
      </c>
      <c r="R72" s="78">
        <f>R70</f>
        <v>157825.30723024005</v>
      </c>
      <c r="S72" s="78">
        <f>S70</f>
        <v>163626.93902489002</v>
      </c>
      <c r="T72" s="78">
        <v>154790.05446788989</v>
      </c>
      <c r="U72" s="78">
        <f t="shared" ref="U72:AC72" si="110">U70</f>
        <v>161091.32188722002</v>
      </c>
      <c r="V72" s="78">
        <f t="shared" si="110"/>
        <v>151064.87579384015</v>
      </c>
      <c r="W72" s="78">
        <f t="shared" si="110"/>
        <v>160317.11283589993</v>
      </c>
      <c r="X72" s="78">
        <f t="shared" si="110"/>
        <v>148784.29991046002</v>
      </c>
      <c r="Y72" s="78">
        <f t="shared" si="110"/>
        <v>157825.30723024005</v>
      </c>
      <c r="Z72" s="78">
        <f t="shared" si="110"/>
        <v>147145.81336949015</v>
      </c>
      <c r="AA72" s="78">
        <f t="shared" si="110"/>
        <v>154790.05446788989</v>
      </c>
      <c r="AB72" s="78">
        <f t="shared" si="110"/>
        <v>143799.61452905973</v>
      </c>
      <c r="AC72" s="78">
        <f t="shared" si="110"/>
        <v>151064.87579384015</v>
      </c>
      <c r="AD72" s="78">
        <v>140038.1473377911</v>
      </c>
      <c r="AE72" s="78">
        <f>AE70</f>
        <v>148784.29991046002</v>
      </c>
      <c r="AF72" s="33">
        <f>AF70</f>
        <v>137535.19033280999</v>
      </c>
      <c r="AG72" s="78">
        <f>AG70</f>
        <v>147145.81336949015</v>
      </c>
      <c r="AH72" s="33">
        <f t="shared" ref="AH72:AL72" si="111">AH70</f>
        <v>134461.78900444019</v>
      </c>
      <c r="AI72" s="78">
        <f>AI70</f>
        <v>143799.61452905973</v>
      </c>
      <c r="AJ72" s="33">
        <f t="shared" si="111"/>
        <v>132582.83922558016</v>
      </c>
      <c r="AK72" s="78">
        <f>AK70</f>
        <v>140038.1473377911</v>
      </c>
      <c r="AL72" s="33">
        <f t="shared" si="111"/>
        <v>129520.43765942003</v>
      </c>
      <c r="AM72" s="78">
        <f>AM70</f>
        <v>137535.19033280999</v>
      </c>
      <c r="AN72" s="33">
        <f t="shared" ref="AN72:AV72" si="112">AN70</f>
        <v>127378.18928701995</v>
      </c>
      <c r="AO72" s="78">
        <f>AO70</f>
        <v>134461.78900444019</v>
      </c>
      <c r="AP72" s="33">
        <f t="shared" si="112"/>
        <v>126179.53837441001</v>
      </c>
      <c r="AQ72" s="78">
        <f>AQ70</f>
        <v>132582.83922558016</v>
      </c>
      <c r="AR72" s="33">
        <f t="shared" si="112"/>
        <v>124518.80857552995</v>
      </c>
      <c r="AS72" s="78">
        <f>AS70</f>
        <v>129520.43765942003</v>
      </c>
      <c r="AT72" s="33">
        <f t="shared" si="112"/>
        <v>122932.87120760018</v>
      </c>
      <c r="AU72" s="78">
        <f>AU70</f>
        <v>127378.18928701995</v>
      </c>
      <c r="AV72" s="33">
        <f t="shared" si="112"/>
        <v>120435.05705413</v>
      </c>
      <c r="AW72" s="78">
        <f>AW70</f>
        <v>126179.53837441001</v>
      </c>
    </row>
    <row r="73" spans="1:49" ht="30.75" thickBot="1" x14ac:dyDescent="0.3">
      <c r="A73" s="46" t="s">
        <v>91</v>
      </c>
      <c r="B73" s="85">
        <f t="shared" ref="B73:C73" si="113">B71/B72</f>
        <v>6.9962396836675059E-2</v>
      </c>
      <c r="C73" s="85">
        <f t="shared" si="113"/>
        <v>1.5661851764486787E-2</v>
      </c>
      <c r="D73" s="85">
        <f t="shared" ref="D73:O73" si="114">D71/D72</f>
        <v>7.9472705987553946E-2</v>
      </c>
      <c r="E73" s="85">
        <f t="shared" si="114"/>
        <v>5.3463212168354209E-2</v>
      </c>
      <c r="F73" s="85">
        <v>8.53260235902846E-2</v>
      </c>
      <c r="G73" s="85">
        <v>3.2990055164973213E-2</v>
      </c>
      <c r="H73" s="85">
        <f t="shared" ref="H73:I73" si="115">H71/H72</f>
        <v>8.9551054905745872E-2</v>
      </c>
      <c r="I73" s="85">
        <f t="shared" si="115"/>
        <v>4.3984314688106679E-2</v>
      </c>
      <c r="J73" s="85">
        <f t="shared" si="114"/>
        <v>8.4909257401523663E-2</v>
      </c>
      <c r="K73" s="85">
        <f t="shared" si="114"/>
        <v>2.4689513139869525E-2</v>
      </c>
      <c r="L73" s="85">
        <f t="shared" si="114"/>
        <v>7.0115262603340084E-2</v>
      </c>
      <c r="M73" s="85">
        <f t="shared" si="114"/>
        <v>2.5349170557929387E-2</v>
      </c>
      <c r="N73" s="85">
        <f t="shared" si="114"/>
        <v>6.5206227809196673E-2</v>
      </c>
      <c r="O73" s="85">
        <f t="shared" si="114"/>
        <v>1.7845421462796107E-2</v>
      </c>
      <c r="P73" s="85">
        <v>4.6530450840301468E-2</v>
      </c>
      <c r="Q73" s="85">
        <f>Q71/Q72</f>
        <v>1.4489395209058994E-2</v>
      </c>
      <c r="R73" s="85">
        <f>R71/R72</f>
        <v>4.7870459945680649E-2</v>
      </c>
      <c r="S73" s="85">
        <f>S71/S72</f>
        <v>1.0716684330709434E-2</v>
      </c>
      <c r="T73" s="85">
        <v>5.7089485415442363E-2</v>
      </c>
      <c r="U73" s="85">
        <f t="shared" ref="U73:AC73" si="116">U71/U72</f>
        <v>1.5740246637526371E-2</v>
      </c>
      <c r="V73" s="85">
        <f t="shared" si="116"/>
        <v>6.637178921103451E-2</v>
      </c>
      <c r="W73" s="85">
        <f t="shared" si="116"/>
        <v>4.8292352427315374E-3</v>
      </c>
      <c r="X73" s="85">
        <f t="shared" si="116"/>
        <v>7.7513641777932754E-2</v>
      </c>
      <c r="Y73" s="85">
        <f t="shared" si="116"/>
        <v>1.5788377981895866E-2</v>
      </c>
      <c r="Z73" s="85">
        <f t="shared" si="116"/>
        <v>7.2577626343558882E-2</v>
      </c>
      <c r="AA73" s="85">
        <f t="shared" si="116"/>
        <v>1.9608835805273318E-2</v>
      </c>
      <c r="AB73" s="85">
        <f t="shared" si="116"/>
        <v>7.6428855354192568E-2</v>
      </c>
      <c r="AC73" s="85">
        <f t="shared" si="116"/>
        <v>2.4659462727348511E-2</v>
      </c>
      <c r="AD73" s="85">
        <v>7.8740890719234374E-2</v>
      </c>
      <c r="AE73" s="85">
        <f>AE71/AE72</f>
        <v>1.5328068114395218E-2</v>
      </c>
      <c r="AF73" s="44">
        <f>AF71/AF72</f>
        <v>8.1790773331750541E-2</v>
      </c>
      <c r="AG73" s="85">
        <f>AG71/AG72</f>
        <v>1.113512170988889E-2</v>
      </c>
      <c r="AH73" s="44">
        <f t="shared" ref="AH73:AL73" si="117">AH71/AH72</f>
        <v>9.4331813215954685E-2</v>
      </c>
      <c r="AI73" s="85">
        <f>AI71/AI72</f>
        <v>2.3269873506887584E-2</v>
      </c>
      <c r="AJ73" s="44">
        <f t="shared" si="117"/>
        <v>8.4602014627210079E-2</v>
      </c>
      <c r="AK73" s="85">
        <f>AK71/AK72</f>
        <v>2.6860303872740191E-2</v>
      </c>
      <c r="AL73" s="44">
        <f t="shared" si="117"/>
        <v>8.1205019597199599E-2</v>
      </c>
      <c r="AM73" s="85">
        <f>AM71/AM72</f>
        <v>1.819866609356062E-2</v>
      </c>
      <c r="AN73" s="44">
        <f t="shared" ref="AN73:AV73" si="118">AN71/AN72</f>
        <v>7.9738934134974793E-2</v>
      </c>
      <c r="AO73" s="85">
        <f>AO71/AO72</f>
        <v>2.2857061111006865E-2</v>
      </c>
      <c r="AP73" s="44">
        <f t="shared" si="118"/>
        <v>6.5638618881727243E-2</v>
      </c>
      <c r="AQ73" s="85">
        <f>AQ71/AQ72</f>
        <v>1.4171892756521299E-2</v>
      </c>
      <c r="AR73" s="44">
        <f t="shared" si="118"/>
        <v>6.476154680807733E-2</v>
      </c>
      <c r="AS73" s="85">
        <f>AS71/AS72</f>
        <v>2.3644157026498445E-2</v>
      </c>
      <c r="AT73" s="44">
        <f t="shared" si="118"/>
        <v>5.3586696439353786E-2</v>
      </c>
      <c r="AU73" s="85">
        <f>AU71/AU72</f>
        <v>1.6818015583287747E-2</v>
      </c>
      <c r="AV73" s="44">
        <f t="shared" si="118"/>
        <v>5.7650425073235423E-2</v>
      </c>
      <c r="AW73" s="85">
        <f>AW71/AW72</f>
        <v>9.4995664752965583E-3</v>
      </c>
    </row>
    <row r="74" spans="1:49" x14ac:dyDescent="0.25">
      <c r="B74" s="166"/>
      <c r="C74" s="166"/>
      <c r="D74" s="167"/>
      <c r="E74" s="167"/>
      <c r="F74" s="167"/>
      <c r="G74" s="167"/>
      <c r="H74" s="167"/>
      <c r="I74" s="167"/>
      <c r="J74" s="167"/>
      <c r="K74" s="167"/>
      <c r="L74" s="167"/>
      <c r="M74" s="167"/>
      <c r="N74" s="166"/>
      <c r="O74" s="166"/>
      <c r="P74" s="166"/>
      <c r="Q74" s="166"/>
      <c r="R74" s="166"/>
      <c r="S74" s="166"/>
      <c r="T74" s="166"/>
      <c r="U74" s="166"/>
      <c r="V74" s="167"/>
      <c r="W74" s="166"/>
      <c r="X74" s="166"/>
      <c r="Y74" s="166"/>
      <c r="Z74" s="166"/>
      <c r="AA74" s="166"/>
      <c r="AB74" s="166"/>
      <c r="AC74" s="166"/>
      <c r="AD74" s="166"/>
      <c r="AE74" s="166"/>
      <c r="AF74" s="166"/>
      <c r="AG74" s="166"/>
      <c r="AH74" s="166"/>
      <c r="AI74" s="166"/>
      <c r="AJ74" s="166"/>
      <c r="AK74" s="166"/>
      <c r="AL74" s="166"/>
      <c r="AM74" s="166"/>
      <c r="AN74" s="166"/>
      <c r="AO74" s="166"/>
      <c r="AP74" s="166"/>
      <c r="AQ74" s="166"/>
      <c r="AR74" s="166"/>
      <c r="AS74" s="166"/>
      <c r="AT74" s="166"/>
      <c r="AU74" s="166"/>
      <c r="AV74" s="166"/>
      <c r="AW74" s="166"/>
    </row>
    <row r="75" spans="1:49" x14ac:dyDescent="0.25">
      <c r="B75" s="88"/>
      <c r="C75" s="88"/>
      <c r="P75" s="88"/>
      <c r="Q75" s="88"/>
      <c r="W75" s="88"/>
      <c r="Y75" s="88"/>
      <c r="AB75" s="88"/>
      <c r="AC75" s="88"/>
      <c r="AD75" s="88"/>
      <c r="AE75" s="88"/>
    </row>
    <row r="76" spans="1:49" x14ac:dyDescent="0.25">
      <c r="A76" s="132" t="s">
        <v>104</v>
      </c>
      <c r="B76" s="76">
        <f>'APM utregning'!B76</f>
        <v>128.867009</v>
      </c>
      <c r="C76" s="76">
        <f>'APM utregning'!C76</f>
        <v>31.121827</v>
      </c>
      <c r="D76" s="76">
        <f>'APM utregning'!D76</f>
        <v>97.745182</v>
      </c>
      <c r="E76" s="76">
        <f>'APM utregning'!E76</f>
        <v>38.91178</v>
      </c>
      <c r="F76" s="76">
        <v>58.833402</v>
      </c>
      <c r="G76" s="76">
        <v>58.833402</v>
      </c>
      <c r="H76" s="76">
        <f>'APM utregning'!H76</f>
        <v>951.44130199999995</v>
      </c>
      <c r="I76" s="76">
        <f>'APM utregning'!I76</f>
        <v>242.47467900000001</v>
      </c>
      <c r="J76" s="76">
        <f>'APM utregning'!J76</f>
        <v>708.96662400000002</v>
      </c>
      <c r="K76" s="76">
        <f>'APM utregning'!K76</f>
        <v>231.33466000000001</v>
      </c>
      <c r="L76" s="76">
        <f>'APM utregning'!L76</f>
        <v>477.63196399999998</v>
      </c>
      <c r="M76" s="76">
        <f>'APM utregning'!M76</f>
        <v>169.65828300000001</v>
      </c>
      <c r="N76" s="76">
        <f>'APM utregning'!N76</f>
        <v>307.973681</v>
      </c>
      <c r="O76" s="76">
        <f>'APM utregning'!O76</f>
        <v>307.973681</v>
      </c>
      <c r="P76" s="76">
        <v>299.43606999999997</v>
      </c>
      <c r="Q76" s="76">
        <v>102.92518099999999</v>
      </c>
      <c r="R76" s="76">
        <f>'APM utregning'!R76</f>
        <v>197.57765699999999</v>
      </c>
      <c r="S76" s="76">
        <f>'APM utregning'!S76</f>
        <v>71.283050000000003</v>
      </c>
      <c r="T76" s="76">
        <v>126.294608</v>
      </c>
      <c r="U76" s="76">
        <v>58.813577000000002</v>
      </c>
      <c r="V76" s="76">
        <f>'APM utregning'!V76</f>
        <v>67.48792881</v>
      </c>
      <c r="W76" s="76">
        <f>'APM utregning'!W76</f>
        <v>67.48792881</v>
      </c>
      <c r="X76" s="76">
        <f>'APM utregning'!X76</f>
        <v>262.67482732000002</v>
      </c>
      <c r="Y76" s="76">
        <f>'APM utregning'!Y76</f>
        <v>66.653158320000017</v>
      </c>
      <c r="Z76" s="76">
        <f>'APM utregning'!Z76</f>
        <v>196.021669</v>
      </c>
      <c r="AA76" s="76">
        <f>'APM utregning'!AA76</f>
        <v>69.24884800000001</v>
      </c>
      <c r="AB76" s="76">
        <v>126.77282099999999</v>
      </c>
      <c r="AC76" s="76">
        <v>78.365232419999998</v>
      </c>
      <c r="AD76" s="76">
        <v>48.407588579999995</v>
      </c>
      <c r="AE76" s="76">
        <v>48.407588579999995</v>
      </c>
      <c r="AF76" s="19">
        <v>341.04166199999997</v>
      </c>
      <c r="AG76" s="19">
        <v>77.972505999999996</v>
      </c>
      <c r="AH76" s="19">
        <v>263.06915600000002</v>
      </c>
      <c r="AI76" s="19">
        <v>87.671915999999996</v>
      </c>
      <c r="AJ76" s="19">
        <v>175.39724000000001</v>
      </c>
      <c r="AK76" s="19">
        <v>85.978745000000004</v>
      </c>
      <c r="AL76" s="19">
        <v>89.418493999999995</v>
      </c>
      <c r="AM76" s="19">
        <v>89.418493999999995</v>
      </c>
      <c r="AN76" s="19">
        <v>515.66150400000004</v>
      </c>
      <c r="AO76" s="19">
        <v>98.687763000000004</v>
      </c>
      <c r="AP76" s="19">
        <v>416.97374100000002</v>
      </c>
      <c r="AQ76" s="19">
        <v>129.646871</v>
      </c>
      <c r="AR76" s="19">
        <v>287.32686899999999</v>
      </c>
      <c r="AS76" s="19">
        <v>117.559668</v>
      </c>
      <c r="AT76" s="19">
        <v>169.767201</v>
      </c>
      <c r="AU76" s="19">
        <v>169.767201</v>
      </c>
      <c r="AV76" s="19">
        <v>168.615317</v>
      </c>
      <c r="AW76" s="19">
        <v>56.301738999999998</v>
      </c>
    </row>
    <row r="77" spans="1:49" x14ac:dyDescent="0.25">
      <c r="A77" s="132" t="s">
        <v>105</v>
      </c>
      <c r="B77" s="76">
        <f>'APM utregning'!B77</f>
        <v>171.82267866666666</v>
      </c>
      <c r="C77" s="76">
        <f>'APM utregning'!C77</f>
        <v>124.487308</v>
      </c>
      <c r="D77" s="76">
        <f>'APM utregning'!D77</f>
        <v>195.490364</v>
      </c>
      <c r="E77" s="76">
        <f>'APM utregning'!E77</f>
        <v>155.64712</v>
      </c>
      <c r="F77" s="76">
        <v>235.333608</v>
      </c>
      <c r="G77" s="76">
        <v>235.333608</v>
      </c>
      <c r="H77" s="76">
        <f>'APM utregning'!H77</f>
        <v>951.44130199999995</v>
      </c>
      <c r="I77" s="76">
        <f>'APM utregning'!I77</f>
        <v>969.89871600000004</v>
      </c>
      <c r="J77" s="76">
        <f>'APM utregning'!J77</f>
        <v>945.28883200000007</v>
      </c>
      <c r="K77" s="76">
        <f>'APM utregning'!K77</f>
        <v>925.33864000000005</v>
      </c>
      <c r="L77" s="76">
        <f>'APM utregning'!L77</f>
        <v>955.26392799999996</v>
      </c>
      <c r="M77" s="76">
        <f>'APM utregning'!M77</f>
        <v>678.63313200000005</v>
      </c>
      <c r="N77" s="76">
        <f>N76*4</f>
        <v>1231.894724</v>
      </c>
      <c r="O77" s="76">
        <f>O76*4</f>
        <v>1231.894724</v>
      </c>
      <c r="P77" s="76">
        <v>299.43606999999997</v>
      </c>
      <c r="Q77" s="76">
        <v>411.70072399999998</v>
      </c>
      <c r="R77" s="76">
        <f>'APM utregning'!R77</f>
        <v>263.43687599999998</v>
      </c>
      <c r="S77" s="76">
        <f>'APM utregning'!S77</f>
        <v>285.13220000000001</v>
      </c>
      <c r="T77" s="76">
        <v>252.58921599999999</v>
      </c>
      <c r="U77" s="76">
        <v>235.25430800000001</v>
      </c>
      <c r="V77" s="76">
        <f>V76*4</f>
        <v>269.95171524</v>
      </c>
      <c r="W77" s="76">
        <f>W76*4</f>
        <v>269.95171524</v>
      </c>
      <c r="X77" s="76">
        <f>X76/4*4</f>
        <v>262.67482732000002</v>
      </c>
      <c r="Y77" s="76">
        <f>Y76*4</f>
        <v>266.61263328000007</v>
      </c>
      <c r="Z77" s="76">
        <f>Z76/3*4</f>
        <v>261.36222533333336</v>
      </c>
      <c r="AA77" s="76">
        <f>AA76*4</f>
        <v>276.99539200000004</v>
      </c>
      <c r="AB77" s="76">
        <f>AB76/2*4</f>
        <v>253.54564199999999</v>
      </c>
      <c r="AC77" s="76">
        <f>AC76*4</f>
        <v>313.46092967999999</v>
      </c>
      <c r="AD77" s="76">
        <f>AD76/1*4</f>
        <v>193.63035431999998</v>
      </c>
      <c r="AE77" s="76">
        <f>AE76*4</f>
        <v>193.63035431999998</v>
      </c>
      <c r="AF77" s="19" t="e">
        <f>#REF!/4*4</f>
        <v>#REF!</v>
      </c>
      <c r="AG77" s="19" t="e">
        <f>#REF!*4</f>
        <v>#REF!</v>
      </c>
      <c r="AH77" s="19" t="e">
        <f>#REF!/3*4</f>
        <v>#REF!</v>
      </c>
      <c r="AI77" s="19" t="e">
        <f>#REF!*4</f>
        <v>#REF!</v>
      </c>
      <c r="AJ77" s="19" t="e">
        <f>#REF!/2*4</f>
        <v>#REF!</v>
      </c>
      <c r="AK77" s="19" t="e">
        <f>#REF!*4</f>
        <v>#REF!</v>
      </c>
      <c r="AL77" s="19" t="e">
        <f>#REF!/1*4</f>
        <v>#REF!</v>
      </c>
      <c r="AM77" s="19" t="e">
        <f>#REF!*4</f>
        <v>#REF!</v>
      </c>
      <c r="AN77" s="19" t="e">
        <f>#REF!/4*4</f>
        <v>#REF!</v>
      </c>
      <c r="AO77" s="19" t="e">
        <f>#REF!*4</f>
        <v>#REF!</v>
      </c>
      <c r="AP77" s="19" t="e">
        <f>#REF!/3*4</f>
        <v>#REF!</v>
      </c>
      <c r="AQ77" s="19" t="e">
        <f>#REF!*4</f>
        <v>#REF!</v>
      </c>
      <c r="AR77" s="19" t="e">
        <f>#REF!/2*4</f>
        <v>#REF!</v>
      </c>
      <c r="AS77" s="19" t="e">
        <f>#REF!*4</f>
        <v>#REF!</v>
      </c>
      <c r="AT77" s="19" t="e">
        <f>#REF!/1*4</f>
        <v>#REF!</v>
      </c>
      <c r="AU77" s="19" t="e">
        <f>#REF!*4</f>
        <v>#REF!</v>
      </c>
      <c r="AV77" s="19" t="e">
        <f>#REF!/4*4</f>
        <v>#REF!</v>
      </c>
      <c r="AW77" s="19" t="e">
        <f>#REF!*4</f>
        <v>#REF!</v>
      </c>
    </row>
    <row r="78" spans="1:49" ht="30" x14ac:dyDescent="0.25">
      <c r="A78" s="134" t="s">
        <v>106</v>
      </c>
      <c r="B78" s="76">
        <f>'APM utregning'!B78</f>
        <v>187283.57373965046</v>
      </c>
      <c r="C78" s="76">
        <f>'APM utregning'!C78</f>
        <v>190495.49563859042</v>
      </c>
      <c r="D78" s="76">
        <f>'APM utregning'!D78</f>
        <v>185719.54475850714</v>
      </c>
      <c r="E78" s="76">
        <f>'APM utregning'!E78</f>
        <v>187178.65490642542</v>
      </c>
      <c r="F78" s="76">
        <v>184071.65184071049</v>
      </c>
      <c r="G78" s="76">
        <v>184071.65184071049</v>
      </c>
      <c r="H78" s="76">
        <f>'APM utregning'!H78</f>
        <v>175174.26949397434</v>
      </c>
      <c r="I78" s="76">
        <f>'APM utregning'!I78</f>
        <v>181112.06762775534</v>
      </c>
      <c r="J78" s="76">
        <f>'APM utregning'!J78</f>
        <v>173267.50575180032</v>
      </c>
      <c r="K78" s="76">
        <f>'APM utregning'!K78</f>
        <v>177261.24780822056</v>
      </c>
      <c r="L78" s="76">
        <f>'APM utregning'!L78</f>
        <v>171215.73740478701</v>
      </c>
      <c r="M78" s="76">
        <f>'APM utregning'!M78</f>
        <v>172935.23592039559</v>
      </c>
      <c r="N78" s="96">
        <f>(N69+R69)/2</f>
        <v>168075.63214780515</v>
      </c>
      <c r="O78" s="21">
        <f>(N69+T69)/2</f>
        <v>167198.86302104016</v>
      </c>
      <c r="P78" s="21">
        <v>163638.51827999996</v>
      </c>
      <c r="Q78" s="21">
        <v>166578.60882599492</v>
      </c>
      <c r="R78" s="96">
        <f>(R69+V69+X69+T69)/4</f>
        <v>162603.96275660751</v>
      </c>
      <c r="S78" s="21">
        <f>(R69+V69+T69)/3</f>
        <v>163366.24606351001</v>
      </c>
      <c r="T78" s="96">
        <v>161678.45791600333</v>
      </c>
      <c r="U78" s="21">
        <v>162359.13045605502</v>
      </c>
      <c r="V78" s="96">
        <f>(V69+Z69)/2</f>
        <v>159458.31455873005</v>
      </c>
      <c r="W78" s="21">
        <f>(V69+Z69)/2</f>
        <v>159458.31455873005</v>
      </c>
      <c r="X78" s="96">
        <f>(X69+AB69+AD69+AF69+AH69)/5</f>
        <v>152420.43127551605</v>
      </c>
      <c r="Y78" s="21">
        <f>(X69+AB69)/2</f>
        <v>157553.58365189491</v>
      </c>
      <c r="Z78" s="96">
        <f>(Z69+AB69+AD69+AF69)/4</f>
        <v>153116.13435060752</v>
      </c>
      <c r="AA78" s="21">
        <f>(Z69+AB69)/2</f>
        <v>156307.68084906496</v>
      </c>
      <c r="AB78" s="96">
        <f>(AB69+AD69+AF69)/3</f>
        <v>151546.41005739669</v>
      </c>
      <c r="AC78" s="21">
        <f>(AB69+AD69)/2</f>
        <v>152927.46513086502</v>
      </c>
      <c r="AD78" s="21">
        <v>149924.58785215009</v>
      </c>
      <c r="AE78" s="21">
        <v>149924.58785215009</v>
      </c>
      <c r="AF78" s="18">
        <f>(AF69+AH69+AJ69+AL69+AN69)/5</f>
        <v>143460.61309592222</v>
      </c>
      <c r="AG78" s="18">
        <f>(AF69+AH69)/2</f>
        <v>147965.05663997508</v>
      </c>
      <c r="AH78" s="18">
        <f>(AH69+AJ69+AL69+AN69)/4</f>
        <v>142129.69139228773</v>
      </c>
      <c r="AI78" s="18">
        <f>(AH69+AJ69)/2</f>
        <v>145472.71394927494</v>
      </c>
      <c r="AJ78" s="18">
        <f>(AJ69+AL69+AN69)/3</f>
        <v>140457.65073322027</v>
      </c>
      <c r="AK78" s="18">
        <f>(AJ69+AL69)/2</f>
        <v>141918.88093342542</v>
      </c>
      <c r="AL78" s="18">
        <f>(AL69+AN69)/2</f>
        <v>138786.66883530054</v>
      </c>
      <c r="AM78" s="18">
        <f>(AL69+AN69)/2</f>
        <v>138786.66883530054</v>
      </c>
      <c r="AN78" s="18">
        <f>(AN69+AP69+AR69+AT69+AV69)/5</f>
        <v>132295.68910185405</v>
      </c>
      <c r="AO78" s="18">
        <f>(AN69+AP69)/2</f>
        <v>135998.48966862509</v>
      </c>
      <c r="AP78" s="18">
        <f>(AP69+AR69+AT69+AV69)/4</f>
        <v>130985.81379411508</v>
      </c>
      <c r="AQ78" s="18">
        <f>(AP69+AR69)/2</f>
        <v>133522.31411501017</v>
      </c>
      <c r="AR78" s="18">
        <f>(AR69+AT69+AV69)/3</f>
        <v>129827.15539067338</v>
      </c>
      <c r="AS78" s="18">
        <f>(AR69+AT69)/2</f>
        <v>131051.63844250009</v>
      </c>
      <c r="AT78" s="18">
        <f>(AT69+AV69)/2</f>
        <v>128449.31347321998</v>
      </c>
      <c r="AU78" s="18">
        <f>(AT69+AV69)/2</f>
        <v>128449.31347321998</v>
      </c>
      <c r="AV78" s="18">
        <v>124288.89289973801</v>
      </c>
      <c r="AW78" s="18">
        <v>126778.86383071498</v>
      </c>
    </row>
    <row r="79" spans="1:49" s="3" customFormat="1" ht="15.75" thickBot="1" x14ac:dyDescent="0.3">
      <c r="A79" s="46" t="s">
        <v>103</v>
      </c>
      <c r="B79" s="86">
        <f t="shared" ref="B79:C79" si="119">B77/B78</f>
        <v>9.1744660375566876E-4</v>
      </c>
      <c r="C79" s="86">
        <f t="shared" si="119"/>
        <v>6.5349213419816667E-4</v>
      </c>
      <c r="D79" s="86">
        <f t="shared" ref="D79:E79" si="120">D77/D78</f>
        <v>1.0526106137843379E-3</v>
      </c>
      <c r="E79" s="86">
        <f t="shared" si="120"/>
        <v>8.315431055844017E-4</v>
      </c>
      <c r="F79" s="86">
        <v>1.2784891407594358E-3</v>
      </c>
      <c r="G79" s="86">
        <v>1.2784891407594358E-3</v>
      </c>
      <c r="H79" s="86">
        <f t="shared" ref="H79:I79" si="121">H77/H78</f>
        <v>5.4313987136833915E-3</v>
      </c>
      <c r="I79" s="86">
        <f t="shared" si="121"/>
        <v>5.3552407009866384E-3</v>
      </c>
      <c r="J79" s="86">
        <f t="shared" ref="J79:K79" si="122">J77/J78</f>
        <v>5.4556613364891019E-3</v>
      </c>
      <c r="K79" s="86">
        <f t="shared" si="122"/>
        <v>5.2201970337088371E-3</v>
      </c>
      <c r="L79" s="86">
        <f t="shared" ref="L79:M79" si="123">L77/L78</f>
        <v>5.579299791476363E-3</v>
      </c>
      <c r="M79" s="86">
        <f t="shared" si="123"/>
        <v>3.9242039274886929E-3</v>
      </c>
      <c r="N79" s="86">
        <f t="shared" ref="N79:O79" si="124">N77/N78</f>
        <v>7.3294070547756489E-3</v>
      </c>
      <c r="O79" s="86">
        <f t="shared" si="124"/>
        <v>7.3678415136410316E-3</v>
      </c>
      <c r="P79" s="86">
        <v>1.8298630001503582E-3</v>
      </c>
      <c r="Q79" s="86">
        <v>2.4715101590868449E-3</v>
      </c>
      <c r="R79" s="86">
        <f t="shared" ref="R79:AC79" si="125">R77/R78</f>
        <v>1.6201135048247467E-3</v>
      </c>
      <c r="S79" s="86">
        <f t="shared" si="125"/>
        <v>1.7453556464115142E-3</v>
      </c>
      <c r="T79" s="86">
        <v>1.5622935748881737E-3</v>
      </c>
      <c r="U79" s="86">
        <v>1.4489749196068477E-3</v>
      </c>
      <c r="V79" s="86">
        <f t="shared" ref="V79:W79" si="126">V77/V78</f>
        <v>1.6929296912929187E-3</v>
      </c>
      <c r="W79" s="86">
        <f t="shared" si="126"/>
        <v>1.6929296912929187E-3</v>
      </c>
      <c r="X79" s="86">
        <f t="shared" ref="X79" si="127">X77/X78</f>
        <v>1.7233570665154954E-3</v>
      </c>
      <c r="Y79" s="86">
        <f t="shared" ref="Y79" si="128">Y77/Y78</f>
        <v>1.6922029134485734E-3</v>
      </c>
      <c r="Z79" s="86">
        <f t="shared" si="125"/>
        <v>1.7069541785509187E-3</v>
      </c>
      <c r="AA79" s="86">
        <f t="shared" si="125"/>
        <v>1.7721163188869425E-3</v>
      </c>
      <c r="AB79" s="86">
        <f t="shared" si="125"/>
        <v>1.6730560750595946E-3</v>
      </c>
      <c r="AC79" s="86">
        <f t="shared" si="125"/>
        <v>2.0497359935428292E-3</v>
      </c>
      <c r="AD79" s="86">
        <v>1.2973079139747699E-3</v>
      </c>
      <c r="AE79" s="86">
        <v>1.2973079139747699E-3</v>
      </c>
      <c r="AF79" s="47" t="e">
        <f>AF77/AF78</f>
        <v>#REF!</v>
      </c>
      <c r="AG79" s="47" t="e">
        <f t="shared" ref="AG79:AL79" si="129">AG77/AG78</f>
        <v>#REF!</v>
      </c>
      <c r="AH79" s="47" t="e">
        <f t="shared" si="129"/>
        <v>#REF!</v>
      </c>
      <c r="AI79" s="47" t="e">
        <f t="shared" si="129"/>
        <v>#REF!</v>
      </c>
      <c r="AJ79" s="47" t="e">
        <f t="shared" si="129"/>
        <v>#REF!</v>
      </c>
      <c r="AK79" s="47" t="e">
        <f t="shared" si="129"/>
        <v>#REF!</v>
      </c>
      <c r="AL79" s="47" t="e">
        <f t="shared" si="129"/>
        <v>#REF!</v>
      </c>
      <c r="AM79" s="47" t="e">
        <f t="shared" ref="AM79:AW79" si="130">AM77/AM78</f>
        <v>#REF!</v>
      </c>
      <c r="AN79" s="47" t="e">
        <f t="shared" si="130"/>
        <v>#REF!</v>
      </c>
      <c r="AO79" s="47" t="e">
        <f t="shared" si="130"/>
        <v>#REF!</v>
      </c>
      <c r="AP79" s="47" t="e">
        <f t="shared" si="130"/>
        <v>#REF!</v>
      </c>
      <c r="AQ79" s="47" t="e">
        <f t="shared" si="130"/>
        <v>#REF!</v>
      </c>
      <c r="AR79" s="47" t="e">
        <f t="shared" si="130"/>
        <v>#REF!</v>
      </c>
      <c r="AS79" s="47" t="e">
        <f t="shared" si="130"/>
        <v>#REF!</v>
      </c>
      <c r="AT79" s="47" t="e">
        <f t="shared" si="130"/>
        <v>#REF!</v>
      </c>
      <c r="AU79" s="47" t="e">
        <f t="shared" si="130"/>
        <v>#REF!</v>
      </c>
      <c r="AV79" s="47" t="e">
        <f t="shared" si="130"/>
        <v>#REF!</v>
      </c>
      <c r="AW79" s="47" t="e">
        <f t="shared" si="130"/>
        <v>#REF!</v>
      </c>
    </row>
    <row r="80" spans="1:49" x14ac:dyDescent="0.25">
      <c r="B80" s="87"/>
      <c r="C80" s="87"/>
      <c r="D80" s="65"/>
      <c r="E80" s="65"/>
      <c r="F80" s="65"/>
      <c r="G80" s="65"/>
      <c r="H80" s="65"/>
      <c r="I80" s="65"/>
      <c r="J80" s="65"/>
      <c r="K80" s="65"/>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row>
    <row r="81" spans="1:49" x14ac:dyDescent="0.25">
      <c r="B81" s="88"/>
      <c r="C81" s="88"/>
      <c r="P81" s="88"/>
      <c r="Q81" s="88"/>
      <c r="R81" s="88"/>
      <c r="T81" s="88"/>
      <c r="V81" s="88"/>
      <c r="W81" s="88"/>
      <c r="X81" s="88"/>
      <c r="Y81" s="88"/>
      <c r="Z81" s="88"/>
      <c r="AA81" s="88"/>
      <c r="AB81" s="88"/>
      <c r="AC81" s="88"/>
      <c r="AD81" s="88"/>
      <c r="AE81" s="88"/>
    </row>
    <row r="82" spans="1:49" x14ac:dyDescent="0.25">
      <c r="A82" s="132" t="s">
        <v>251</v>
      </c>
      <c r="B82" s="76">
        <f>+'APM utregning'!B82</f>
        <v>9357.3885649999993</v>
      </c>
      <c r="C82" s="88"/>
      <c r="D82" s="76">
        <f>+'APM utregning'!D82</f>
        <v>9362.6540050000003</v>
      </c>
      <c r="F82" s="76">
        <v>10255.70751762</v>
      </c>
      <c r="H82" s="76">
        <f>+'APM utregning'!H82</f>
        <v>11794.155288000002</v>
      </c>
      <c r="J82" s="76">
        <f>+'APM utregning'!J82</f>
        <v>12096.571881520002</v>
      </c>
      <c r="L82" s="76">
        <f>+'APM utregning'!L82</f>
        <v>9416.8387125200006</v>
      </c>
      <c r="N82" s="76">
        <f>+'APM utregning'!N82</f>
        <v>12096.571881029999</v>
      </c>
      <c r="P82" s="76">
        <f>+'APM utregning'!P82</f>
        <v>10349.93432649</v>
      </c>
      <c r="Q82" s="88"/>
      <c r="R82" s="76">
        <f>+'APM utregning'!R82</f>
        <v>9429.8639686699989</v>
      </c>
      <c r="T82" s="76">
        <f>+'APM utregning'!T82</f>
        <v>9177</v>
      </c>
      <c r="V82" s="76">
        <f>+'APM utregning'!V82</f>
        <v>9622</v>
      </c>
      <c r="W82" s="88"/>
      <c r="X82" s="76">
        <f>+'APM utregning'!X82</f>
        <v>10829</v>
      </c>
      <c r="Y82" s="88"/>
      <c r="Z82" s="76">
        <f>+'APM utregning'!Z82</f>
        <v>11217</v>
      </c>
      <c r="AA82" s="88"/>
      <c r="AB82" s="76">
        <f>+'APM utregning'!AB82</f>
        <v>9864</v>
      </c>
      <c r="AC82" s="88"/>
      <c r="AD82" s="76">
        <f>+'APM utregning'!AD82</f>
        <v>10123</v>
      </c>
      <c r="AE82" s="88"/>
    </row>
    <row r="83" spans="1:49" x14ac:dyDescent="0.25">
      <c r="A83" s="132" t="s">
        <v>252</v>
      </c>
      <c r="B83" s="96">
        <f>+'APM utregning'!B83</f>
        <v>191975.66068308055</v>
      </c>
      <c r="C83" s="88"/>
      <c r="D83" s="96">
        <f>+'APM utregning'!D83</f>
        <v>189015.33059410029</v>
      </c>
      <c r="F83" s="76">
        <v>185341.97921875055</v>
      </c>
      <c r="H83" s="96">
        <f>+'APM utregning'!H83</f>
        <v>182801.32446267045</v>
      </c>
      <c r="J83" s="96">
        <f>+'APM utregning'!J83</f>
        <v>179422.8107928402</v>
      </c>
      <c r="L83" s="96">
        <f>+'APM utregning'!L83</f>
        <v>175099.6848236009</v>
      </c>
      <c r="N83" s="96">
        <f>+'APM utregning'!N83</f>
        <v>170770.78701719031</v>
      </c>
      <c r="P83" s="96">
        <f>+'APM utregning'!P83</f>
        <v>167776.74037356983</v>
      </c>
      <c r="Q83" s="88"/>
      <c r="R83" s="96">
        <f>+'APM utregning'!R83</f>
        <v>165380.47727842</v>
      </c>
      <c r="T83" s="96">
        <f>+'APM utregning'!T83</f>
        <v>163626.93902489002</v>
      </c>
      <c r="V83" s="96">
        <f>+'APM utregning'!V83</f>
        <v>161091.32188722002</v>
      </c>
      <c r="W83" s="88"/>
      <c r="X83" s="96">
        <f>+'APM utregning'!X83</f>
        <v>160317.11283589993</v>
      </c>
      <c r="Y83" s="88"/>
      <c r="Z83" s="96">
        <f>+'APM utregning'!Z83</f>
        <v>157825.30723024005</v>
      </c>
      <c r="AA83" s="88"/>
      <c r="AB83" s="96">
        <f>+'APM utregning'!AB83</f>
        <v>154790.05446788989</v>
      </c>
      <c r="AC83" s="88"/>
      <c r="AD83" s="96">
        <f>+'APM utregning'!AD83</f>
        <v>151064.87579384015</v>
      </c>
      <c r="AE83" s="88"/>
    </row>
    <row r="84" spans="1:49" ht="45" customHeight="1" thickBot="1" x14ac:dyDescent="0.3">
      <c r="A84" s="46" t="s">
        <v>254</v>
      </c>
      <c r="B84" s="86">
        <f>+'APM utregning'!B84</f>
        <v>4.8742577739828541E-2</v>
      </c>
      <c r="C84" s="86"/>
      <c r="D84" s="86">
        <f>+'APM utregning'!D84</f>
        <v>4.953383397829126E-2</v>
      </c>
      <c r="E84" s="86"/>
      <c r="F84" s="86">
        <v>5.533396999886174E-2</v>
      </c>
      <c r="G84" s="86"/>
      <c r="H84" s="86">
        <f>+'APM utregning'!H84</f>
        <v>6.451898159199862E-2</v>
      </c>
      <c r="I84" s="86"/>
      <c r="J84" s="86">
        <f>+'APM utregning'!J84</f>
        <v>6.7419364505924409E-2</v>
      </c>
      <c r="K84" s="86"/>
      <c r="L84" s="86">
        <f>+'APM utregning'!L84</f>
        <v>5.3779872430991076E-2</v>
      </c>
      <c r="M84" s="86"/>
      <c r="N84" s="86">
        <f>+'APM utregning'!N84</f>
        <v>7.0835135753121059E-2</v>
      </c>
      <c r="O84" s="86"/>
      <c r="P84" s="86">
        <f>+'APM utregning'!P84</f>
        <v>6.1688731724343616E-2</v>
      </c>
      <c r="Q84" s="86"/>
      <c r="R84" s="86">
        <f>+'APM utregning'!R84</f>
        <v>5.7019208819882108E-2</v>
      </c>
      <c r="S84" s="86"/>
      <c r="T84" s="86">
        <f>+'APM utregning'!T84</f>
        <v>5.6084896867770934E-2</v>
      </c>
      <c r="U84" s="86"/>
      <c r="V84" s="86">
        <f>+'APM utregning'!V84</f>
        <v>5.9730095248311132E-2</v>
      </c>
      <c r="W84" s="86"/>
      <c r="X84" s="86">
        <f>+'APM utregning'!X84</f>
        <v>6.7547374128952342E-2</v>
      </c>
      <c r="Y84" s="86"/>
      <c r="Z84" s="86">
        <f>+'APM utregning'!Z84</f>
        <v>7.107225195282732E-2</v>
      </c>
      <c r="AA84" s="86"/>
      <c r="AB84" s="86">
        <f>+'APM utregning'!AB84</f>
        <v>6.3725024413931047E-2</v>
      </c>
      <c r="AC84" s="86"/>
      <c r="AD84" s="86">
        <f>+'APM utregning'!AD84</f>
        <v>6.701094444889337E-2</v>
      </c>
      <c r="AE84" s="88"/>
    </row>
    <row r="85" spans="1:49" x14ac:dyDescent="0.25">
      <c r="A85"/>
      <c r="B85" s="194"/>
      <c r="C85" s="88"/>
      <c r="D85" s="195"/>
      <c r="P85" s="88"/>
      <c r="Q85" s="88"/>
      <c r="R85" s="88"/>
      <c r="T85" s="88"/>
      <c r="V85" s="88"/>
      <c r="W85" s="88"/>
      <c r="X85" s="88"/>
      <c r="Y85" s="88"/>
      <c r="Z85" s="88"/>
      <c r="AA85" s="88"/>
      <c r="AB85" s="88"/>
      <c r="AC85" s="88"/>
      <c r="AD85" s="88"/>
      <c r="AE85" s="88"/>
    </row>
    <row r="86" spans="1:49" x14ac:dyDescent="0.25">
      <c r="A86" s="132" t="s">
        <v>253</v>
      </c>
      <c r="B86" s="76">
        <f>+'APM utregning'!B86</f>
        <v>3447.9574218600001</v>
      </c>
      <c r="C86" s="88"/>
      <c r="D86" s="76">
        <f>+'APM utregning'!D86</f>
        <v>3536.7665228599999</v>
      </c>
      <c r="F86" s="76">
        <v>3073.23069192</v>
      </c>
      <c r="H86" s="76">
        <f>+'APM utregning'!H86</f>
        <v>2255.3992108600005</v>
      </c>
      <c r="J86" s="76">
        <f>+'APM utregning'!J86</f>
        <v>2332.0979001200012</v>
      </c>
      <c r="L86" s="76">
        <f>+'APM utregning'!L86</f>
        <v>2370.335254600001</v>
      </c>
      <c r="N86" s="76">
        <f>+'APM utregning'!N86</f>
        <v>2332.0979003399998</v>
      </c>
      <c r="P86" s="76">
        <f>+'APM utregning'!P86</f>
        <v>2109.5182357800009</v>
      </c>
      <c r="Q86" s="88"/>
      <c r="R86" s="76">
        <f>+'APM utregning'!R86</f>
        <v>2123.4342917400008</v>
      </c>
      <c r="T86" s="76">
        <f>+'APM utregning'!T86</f>
        <v>1998</v>
      </c>
      <c r="V86" s="76">
        <f>+'APM utregning'!V86</f>
        <v>1880</v>
      </c>
      <c r="W86" s="88"/>
      <c r="X86" s="76">
        <f>+'APM utregning'!X86</f>
        <v>1682</v>
      </c>
      <c r="Y86" s="88"/>
      <c r="Z86" s="76">
        <f>+'APM utregning'!Z86</f>
        <v>1649</v>
      </c>
      <c r="AA86" s="88"/>
      <c r="AB86" s="76">
        <f>+'APM utregning'!AB86</f>
        <v>1752</v>
      </c>
      <c r="AC86" s="88"/>
      <c r="AD86" s="76">
        <f>+'APM utregning'!AD86</f>
        <v>1647</v>
      </c>
      <c r="AE86" s="88"/>
    </row>
    <row r="87" spans="1:49" x14ac:dyDescent="0.25">
      <c r="A87" s="132" t="s">
        <v>252</v>
      </c>
      <c r="B87" s="96">
        <f>+'APM utregning'!B87</f>
        <v>191975.66068308055</v>
      </c>
      <c r="C87" s="88"/>
      <c r="D87" s="96">
        <f>+'APM utregning'!D87</f>
        <v>189015.33059410029</v>
      </c>
      <c r="F87" s="96">
        <v>185341.97921875055</v>
      </c>
      <c r="H87" s="96">
        <f>+'APM utregning'!H87</f>
        <v>182801.32446267045</v>
      </c>
      <c r="J87" s="96">
        <f>+'APM utregning'!J87</f>
        <v>179422.8107928402</v>
      </c>
      <c r="L87" s="96">
        <f>+'APM utregning'!L87</f>
        <v>175099.6848236009</v>
      </c>
      <c r="N87" s="96">
        <f>+'APM utregning'!N87</f>
        <v>170770.78701719031</v>
      </c>
      <c r="P87" s="96">
        <f>+'APM utregning'!P87</f>
        <v>167776.74037356983</v>
      </c>
      <c r="Q87" s="88"/>
      <c r="R87" s="96">
        <f>+'APM utregning'!R87</f>
        <v>165380.47727842</v>
      </c>
      <c r="T87" s="96">
        <f>+'APM utregning'!T87</f>
        <v>163626.93902489002</v>
      </c>
      <c r="V87" s="96">
        <f>+'APM utregning'!V87</f>
        <v>161091.32188722002</v>
      </c>
      <c r="W87" s="88"/>
      <c r="X87" s="96">
        <f>+'APM utregning'!X87</f>
        <v>160317.11283589993</v>
      </c>
      <c r="Y87" s="88"/>
      <c r="Z87" s="96">
        <f>+'APM utregning'!Z87</f>
        <v>157825.30723024005</v>
      </c>
      <c r="AA87" s="88"/>
      <c r="AB87" s="96">
        <f>+'APM utregning'!AB87</f>
        <v>154790.05446788989</v>
      </c>
      <c r="AC87" s="88"/>
      <c r="AD87" s="96">
        <f>+'APM utregning'!AD87</f>
        <v>151064.87579384015</v>
      </c>
      <c r="AE87" s="88"/>
    </row>
    <row r="88" spans="1:49" ht="42.75" customHeight="1" thickBot="1" x14ac:dyDescent="0.3">
      <c r="A88" s="46" t="s">
        <v>255</v>
      </c>
      <c r="B88" s="86">
        <f>+'APM utregning'!B88</f>
        <v>1.7960388361689228E-2</v>
      </c>
      <c r="C88" s="86"/>
      <c r="D88" s="86">
        <f>+'APM utregning'!D88</f>
        <v>1.8711532613484169E-2</v>
      </c>
      <c r="E88" s="86"/>
      <c r="F88" s="86">
        <v>1.6581406462120533E-2</v>
      </c>
      <c r="G88" s="86"/>
      <c r="H88" s="86">
        <f>+'APM utregning'!H88</f>
        <v>1.2337980687446123E-2</v>
      </c>
      <c r="I88" s="86"/>
      <c r="J88" s="86">
        <f>+'APM utregning'!J88</f>
        <v>1.2997778207881373E-2</v>
      </c>
      <c r="K88" s="86"/>
      <c r="L88" s="86">
        <f>+'APM utregning'!L88</f>
        <v>1.353706179989945E-2</v>
      </c>
      <c r="M88" s="86"/>
      <c r="N88" s="86">
        <f>+'APM utregning'!N88</f>
        <v>1.3656304693994552E-2</v>
      </c>
      <c r="O88" s="86"/>
      <c r="P88" s="86">
        <f>+'APM utregning'!P88</f>
        <v>1.2573365241707348E-2</v>
      </c>
      <c r="Q88" s="86"/>
      <c r="R88" s="86">
        <f>+'APM utregning'!R88</f>
        <v>1.2839691399397607E-2</v>
      </c>
      <c r="S88" s="86"/>
      <c r="T88" s="86">
        <f>+'APM utregning'!T88</f>
        <v>1.2210703273597726E-2</v>
      </c>
      <c r="U88" s="86"/>
      <c r="V88" s="86">
        <f>+'APM utregning'!V88</f>
        <v>1.1670398988445742E-2</v>
      </c>
      <c r="W88" s="86"/>
      <c r="X88" s="86">
        <f>+'APM utregning'!X88</f>
        <v>1.0491705908661726E-2</v>
      </c>
      <c r="Y88" s="86"/>
      <c r="Z88" s="86">
        <f>+'APM utregning'!Z88</f>
        <v>1.0448260985130806E-2</v>
      </c>
      <c r="AA88" s="86"/>
      <c r="AB88" s="86">
        <f>+'APM utregning'!AB88</f>
        <v>1.1318556647729846E-2</v>
      </c>
      <c r="AC88" s="86"/>
      <c r="AD88" s="86">
        <f>+'APM utregning'!AD88</f>
        <v>1.0902600563798022E-2</v>
      </c>
      <c r="AE88" s="88"/>
    </row>
    <row r="89" spans="1:49" x14ac:dyDescent="0.25">
      <c r="P89" s="88"/>
      <c r="Q89" s="88"/>
      <c r="R89" s="88"/>
      <c r="T89" s="88"/>
      <c r="V89" s="88"/>
      <c r="W89" s="88"/>
      <c r="X89" s="88"/>
      <c r="Y89" s="88"/>
      <c r="Z89" s="88"/>
      <c r="AA89" s="88"/>
      <c r="AB89" s="88"/>
      <c r="AC89" s="88"/>
      <c r="AD89" s="88"/>
      <c r="AE89" s="88"/>
    </row>
    <row r="90" spans="1:49" x14ac:dyDescent="0.25">
      <c r="C90" s="74"/>
      <c r="E90" s="74"/>
      <c r="F90" s="74"/>
      <c r="G90" s="74"/>
      <c r="H90" s="74"/>
      <c r="I90" s="74"/>
      <c r="K90" s="74"/>
      <c r="M90" s="74"/>
      <c r="O90" s="91"/>
      <c r="P90" s="91"/>
      <c r="Q90" s="91"/>
      <c r="R90" s="88"/>
      <c r="S90" s="74"/>
      <c r="U90" s="91"/>
      <c r="W90" s="74"/>
      <c r="Y90" s="74"/>
      <c r="AB90" s="88"/>
      <c r="AC90" s="88"/>
    </row>
    <row r="91" spans="1:49" x14ac:dyDescent="0.25">
      <c r="A91" s="116" t="s">
        <v>197</v>
      </c>
      <c r="B91" s="145">
        <f>+'APM utregning'!B91</f>
        <v>1006.0102174964384</v>
      </c>
      <c r="C91" s="145">
        <f>+'APM utregning'!C91</f>
        <v>339.58669205479453</v>
      </c>
      <c r="D91" s="145">
        <f>+'APM utregning'!D91</f>
        <v>666.42352544164385</v>
      </c>
      <c r="E91" s="145">
        <f>+'APM utregning'!E91</f>
        <v>337.01167345260274</v>
      </c>
      <c r="F91" s="145">
        <v>329.41185198904111</v>
      </c>
      <c r="G91" s="145">
        <v>329.41185198904111</v>
      </c>
      <c r="H91" s="145">
        <v>1394.1130540846575</v>
      </c>
      <c r="I91" s="145">
        <v>318.77816993972601</v>
      </c>
      <c r="J91" s="160">
        <v>1087.4673891928767</v>
      </c>
      <c r="K91" s="145">
        <v>318.73082170958907</v>
      </c>
      <c r="L91" s="160">
        <v>768.73656748328767</v>
      </c>
      <c r="M91" s="145">
        <v>349.59010307232876</v>
      </c>
      <c r="N91" s="160">
        <f>+O91</f>
        <v>419.01395936301367</v>
      </c>
      <c r="O91" s="145">
        <f>'APM utregning'!O91</f>
        <v>419.01395936301367</v>
      </c>
      <c r="P91" s="145">
        <v>1546.0770137841098</v>
      </c>
      <c r="Q91" s="145">
        <v>412.69191210958905</v>
      </c>
      <c r="R91" s="76">
        <f>'APM utregning'!R91</f>
        <v>1133.3851016745207</v>
      </c>
      <c r="S91" s="76">
        <f>'APM utregning'!S91</f>
        <v>387.03110889643835</v>
      </c>
      <c r="T91" s="76">
        <v>746.35399277808222</v>
      </c>
      <c r="U91" s="76">
        <v>379.862739260274</v>
      </c>
      <c r="V91" s="119">
        <v>366.49125351780822</v>
      </c>
      <c r="W91" s="145">
        <v>366.49125351780822</v>
      </c>
      <c r="X91" s="119">
        <f>+Y91+AC91+AE91+AG91</f>
        <v>1385.612896190876</v>
      </c>
      <c r="Y91" s="145">
        <f>'APM utregning'!Y91</f>
        <v>365.94773169379931</v>
      </c>
      <c r="Z91" s="119">
        <f>+AA91+AC91+AE91</f>
        <v>1036.4718376269218</v>
      </c>
      <c r="AA91" s="119">
        <f>'APM utregning'!AA91</f>
        <v>355.41799307455125</v>
      </c>
      <c r="AB91" s="119">
        <f>+AC91+AE91</f>
        <v>681.05384455237049</v>
      </c>
      <c r="AC91" s="119">
        <f>'APM utregning'!AC91</f>
        <v>349.90953925865438</v>
      </c>
      <c r="AD91" s="119">
        <f>+AE91</f>
        <v>331.14430529371612</v>
      </c>
      <c r="AE91" s="119">
        <f>'APM utregning'!AE91</f>
        <v>331.14430529371612</v>
      </c>
      <c r="AF91" s="119">
        <f>+AG91+AI91+AK91+AM91</f>
        <v>1364.9845438539512</v>
      </c>
      <c r="AG91" s="119">
        <f>'APM utregning'!AG91</f>
        <v>338.61131994470611</v>
      </c>
      <c r="AH91" s="119">
        <f>+AI91+AK91+AM91</f>
        <v>1026.3732239092451</v>
      </c>
      <c r="AI91" s="119">
        <f>'APM utregning'!AI91</f>
        <v>338.13079094909472</v>
      </c>
      <c r="AJ91" s="119">
        <f>+AK91+AM91</f>
        <v>688.24243296015038</v>
      </c>
      <c r="AK91" s="119">
        <f>'APM utregning'!AK91</f>
        <v>340.31680209739477</v>
      </c>
      <c r="AL91" s="119">
        <f>+AM91</f>
        <v>347.92563086275561</v>
      </c>
      <c r="AM91" s="119">
        <f>'APM utregning'!AM91</f>
        <v>347.92563086275561</v>
      </c>
      <c r="AN91" s="119">
        <f>+AO91+AQ91+AS91+AU91</f>
        <v>1335.1516795813825</v>
      </c>
      <c r="AO91" s="119">
        <f>'APM utregning'!AO91</f>
        <v>347.14204404689383</v>
      </c>
      <c r="AP91" s="119">
        <f>+AQ91+AS91+AU91</f>
        <v>988.00963553448855</v>
      </c>
      <c r="AQ91" s="119">
        <f>'APM utregning'!AQ91</f>
        <v>322.87944165142864</v>
      </c>
      <c r="AR91" s="119">
        <f>+AS91+AU91</f>
        <v>665.13019388305997</v>
      </c>
      <c r="AS91" s="119">
        <f>'APM utregning'!AS91</f>
        <v>334.84618511951112</v>
      </c>
      <c r="AT91" s="119">
        <f>+AU91</f>
        <v>330.28400876354885</v>
      </c>
      <c r="AU91" s="119">
        <f>'APM utregning'!AU91</f>
        <v>330.28400876354885</v>
      </c>
      <c r="AV91" s="88"/>
      <c r="AW91" s="119">
        <f>'APM utregning'!AW91</f>
        <v>342.08681592489012</v>
      </c>
    </row>
    <row r="92" spans="1:49" x14ac:dyDescent="0.25">
      <c r="A92" s="117" t="s">
        <v>198</v>
      </c>
      <c r="B92" s="146">
        <f>+'APM utregning'!B92</f>
        <v>121.22328116266303</v>
      </c>
      <c r="C92" s="146">
        <f>+'APM utregning'!C92</f>
        <v>44.31459590705753</v>
      </c>
      <c r="D92" s="146">
        <f>+'APM utregning'!D92</f>
        <v>76.908685255605491</v>
      </c>
      <c r="E92" s="146">
        <f>+'APM utregning'!E92</f>
        <v>29.175138388909588</v>
      </c>
      <c r="F92" s="146">
        <v>47.733546866695896</v>
      </c>
      <c r="G92" s="146">
        <v>47.733546866695896</v>
      </c>
      <c r="H92" s="146">
        <v>275.36158724644946</v>
      </c>
      <c r="I92" s="146">
        <v>40.264386986142078</v>
      </c>
      <c r="J92" s="161">
        <v>236.85845115497153</v>
      </c>
      <c r="K92" s="146">
        <v>29.244626444900824</v>
      </c>
      <c r="L92" s="161">
        <v>207.6138247100707</v>
      </c>
      <c r="M92" s="146">
        <v>45.578742400972601</v>
      </c>
      <c r="N92" s="161">
        <f>+O92</f>
        <v>160.27383141443397</v>
      </c>
      <c r="O92" s="146">
        <f>(O94*O95/100*O96/365)</f>
        <v>160.27383141443397</v>
      </c>
      <c r="P92" s="146">
        <v>582.6380864572177</v>
      </c>
      <c r="Q92" s="146">
        <v>174.0246469892121</v>
      </c>
      <c r="R92" s="76">
        <f>'APM utregning'!R92</f>
        <v>408.61343946800559</v>
      </c>
      <c r="S92" s="122">
        <f>'APM utregning'!S92</f>
        <v>152.12196715726029</v>
      </c>
      <c r="T92" s="76">
        <v>256.49147231074528</v>
      </c>
      <c r="U92" s="122">
        <v>137.68996526690967</v>
      </c>
      <c r="V92" s="122">
        <v>118.8015070438356</v>
      </c>
      <c r="W92" s="146">
        <v>118.8015070438356</v>
      </c>
      <c r="X92" s="122">
        <f>+Y92+AC92+AE92+AG92</f>
        <v>372.65407514037855</v>
      </c>
      <c r="Y92" s="146">
        <f>(Y94*Y95/100*Y96/365)</f>
        <v>111.20920581122454</v>
      </c>
      <c r="Z92" s="122">
        <f>+AA92+AC92+AE92</f>
        <v>283.24257096717935</v>
      </c>
      <c r="AA92" s="123">
        <f>(AA94*AA95/100*AA96/365)</f>
        <v>98.774666534643302</v>
      </c>
      <c r="AB92" s="122">
        <f>+AC92+AE92</f>
        <v>184.46790443253605</v>
      </c>
      <c r="AC92" s="123">
        <f>(AC94*AC95/100*AC96/365)</f>
        <v>98.466130508514127</v>
      </c>
      <c r="AD92" s="123">
        <f>+AE92</f>
        <v>86.001773924021919</v>
      </c>
      <c r="AE92" s="123">
        <f>(AE94*AE95/100*AE96/365)</f>
        <v>86.001773924021919</v>
      </c>
      <c r="AF92" s="122">
        <f>+AG92+AI92+AK92+AM92</f>
        <v>328.89163496248636</v>
      </c>
      <c r="AG92" s="123">
        <f>(AG94*AG95/100*AG96/365)</f>
        <v>76.976964896617986</v>
      </c>
      <c r="AH92" s="122">
        <f>+AI92+AK92+AM92</f>
        <v>251.91467006586839</v>
      </c>
      <c r="AI92" s="123">
        <f>(AI94*AI95/100*AI96/365)</f>
        <v>76.064469497428931</v>
      </c>
      <c r="AJ92" s="122">
        <f>+AK92+AM92</f>
        <v>175.85020056843945</v>
      </c>
      <c r="AK92" s="123">
        <f>(AK94*AK95/100*AK96/365)</f>
        <v>84.180605794366031</v>
      </c>
      <c r="AL92" s="123">
        <f>+AM92</f>
        <v>91.669594774073431</v>
      </c>
      <c r="AM92" s="123">
        <f>(AM94*AM95/100*AM96/365)</f>
        <v>91.669594774073431</v>
      </c>
      <c r="AN92" s="122">
        <f>+AO92+AQ92+AS92+AU92</f>
        <v>397.95525551793173</v>
      </c>
      <c r="AO92" s="123">
        <f>(AO94*AO95/100*AO96/365)</f>
        <v>105.07782731753728</v>
      </c>
      <c r="AP92" s="122">
        <f>+AQ92+AS92+AU92</f>
        <v>292.87742820039443</v>
      </c>
      <c r="AQ92" s="123">
        <f>(AQ94*AQ95/100*AQ96/365)</f>
        <v>98.75608835185119</v>
      </c>
      <c r="AR92" s="122">
        <f>+AS92+AU92</f>
        <v>194.12133984854322</v>
      </c>
      <c r="AS92" s="123">
        <f>(AS94*AS95/100*AS96/365)</f>
        <v>92.387076423888828</v>
      </c>
      <c r="AT92" s="123">
        <f>+AU92</f>
        <v>101.73426342465439</v>
      </c>
      <c r="AU92" s="123">
        <f>(AU94*AU95/100*AU96/365)</f>
        <v>101.73426342465439</v>
      </c>
      <c r="AV92" s="97"/>
      <c r="AW92" s="123">
        <f>(AW94*AW95/100*AW96/365)</f>
        <v>107.24226465157324</v>
      </c>
    </row>
    <row r="93" spans="1:49" x14ac:dyDescent="0.25">
      <c r="A93" s="116" t="s">
        <v>199</v>
      </c>
      <c r="B93" s="145">
        <f>+'APM utregning'!B93</f>
        <v>884.78693633377532</v>
      </c>
      <c r="C93" s="145">
        <f>+'APM utregning'!C93</f>
        <v>295.27209614773699</v>
      </c>
      <c r="D93" s="145">
        <f>+'APM utregning'!D93</f>
        <v>589.51484018603833</v>
      </c>
      <c r="E93" s="145">
        <f>+'APM utregning'!E93</f>
        <v>307.83653506369313</v>
      </c>
      <c r="F93" s="145">
        <v>281.67830512234519</v>
      </c>
      <c r="G93" s="145">
        <v>281.67830512234519</v>
      </c>
      <c r="H93" s="145">
        <v>1118.751466838208</v>
      </c>
      <c r="I93" s="145">
        <v>278.51378295358393</v>
      </c>
      <c r="J93" s="119">
        <v>850.6089380379052</v>
      </c>
      <c r="K93" s="145">
        <v>289.48619526468826</v>
      </c>
      <c r="L93" s="119">
        <v>561.12274277321694</v>
      </c>
      <c r="M93" s="145">
        <v>304.01136067135616</v>
      </c>
      <c r="N93" s="119">
        <f t="shared" ref="N93:O93" si="131">+N91-N92</f>
        <v>258.7401279485797</v>
      </c>
      <c r="O93" s="145">
        <f t="shared" si="131"/>
        <v>258.7401279485797</v>
      </c>
      <c r="P93" s="145">
        <v>963.4389273268921</v>
      </c>
      <c r="Q93" s="145">
        <v>238.66726512037695</v>
      </c>
      <c r="R93" s="158">
        <f>'APM utregning'!R93</f>
        <v>724.77166220651497</v>
      </c>
      <c r="S93" s="76">
        <f>'APM utregning'!S93</f>
        <v>234.90914173917807</v>
      </c>
      <c r="T93" s="158">
        <v>489.86252046733694</v>
      </c>
      <c r="U93" s="76">
        <v>242.17277399336433</v>
      </c>
      <c r="V93" s="119">
        <v>247.6897464739726</v>
      </c>
      <c r="W93" s="145">
        <v>247.6897464739726</v>
      </c>
      <c r="X93" s="119">
        <f t="shared" ref="X93" si="132">+X91-X92</f>
        <v>1012.9588210504974</v>
      </c>
      <c r="Y93" s="145">
        <f t="shared" ref="Y93" si="133">+Y91-Y92</f>
        <v>254.73852588257478</v>
      </c>
      <c r="Z93" s="119">
        <f t="shared" ref="Z93:AC93" si="134">+Z91-Z92</f>
        <v>753.22926665974251</v>
      </c>
      <c r="AA93" s="119">
        <f t="shared" si="134"/>
        <v>256.64332653990795</v>
      </c>
      <c r="AB93" s="119">
        <f t="shared" si="134"/>
        <v>496.58594011983445</v>
      </c>
      <c r="AC93" s="119">
        <f t="shared" si="134"/>
        <v>251.44340875014024</v>
      </c>
      <c r="AD93" s="119">
        <f>+AE93</f>
        <v>245.14253136969421</v>
      </c>
      <c r="AE93" s="119">
        <f t="shared" ref="AE93:AK93" si="135">+AE91-AE92</f>
        <v>245.14253136969421</v>
      </c>
      <c r="AF93" s="119">
        <f t="shared" si="135"/>
        <v>1036.092908891465</v>
      </c>
      <c r="AG93" s="119">
        <f t="shared" si="135"/>
        <v>261.63435504808814</v>
      </c>
      <c r="AH93" s="119">
        <f t="shared" si="135"/>
        <v>774.45855384337665</v>
      </c>
      <c r="AI93" s="119">
        <f t="shared" si="135"/>
        <v>262.06632145166577</v>
      </c>
      <c r="AJ93" s="119">
        <f t="shared" si="135"/>
        <v>512.39223239171088</v>
      </c>
      <c r="AK93" s="119">
        <f t="shared" si="135"/>
        <v>256.13619630302873</v>
      </c>
      <c r="AL93" s="119">
        <f>+AM93</f>
        <v>256.25603608868221</v>
      </c>
      <c r="AM93" s="119">
        <f t="shared" ref="AM93:AS93" si="136">+AM91-AM92</f>
        <v>256.25603608868221</v>
      </c>
      <c r="AN93" s="119">
        <f t="shared" si="136"/>
        <v>937.19642406345076</v>
      </c>
      <c r="AO93" s="119">
        <f t="shared" si="136"/>
        <v>242.06421672935653</v>
      </c>
      <c r="AP93" s="119">
        <f t="shared" si="136"/>
        <v>695.13220733409412</v>
      </c>
      <c r="AQ93" s="119">
        <f t="shared" si="136"/>
        <v>224.12335329957745</v>
      </c>
      <c r="AR93" s="119">
        <f t="shared" si="136"/>
        <v>471.00885403451673</v>
      </c>
      <c r="AS93" s="119">
        <f t="shared" si="136"/>
        <v>242.45910869562229</v>
      </c>
      <c r="AT93" s="119">
        <f>+AU93</f>
        <v>228.54974533889447</v>
      </c>
      <c r="AU93" s="119">
        <f>+AU91-AU92</f>
        <v>228.54974533889447</v>
      </c>
      <c r="AV93" s="119"/>
      <c r="AW93" s="119">
        <f>+AW91-AW92</f>
        <v>234.84455127331688</v>
      </c>
    </row>
    <row r="94" spans="1:49" x14ac:dyDescent="0.25">
      <c r="A94" s="116" t="s">
        <v>200</v>
      </c>
      <c r="B94" s="145">
        <f>+'APM utregning'!B94</f>
        <v>44052.213934065934</v>
      </c>
      <c r="C94" s="145">
        <f>+'APM utregning'!C94</f>
        <v>45258.349000000002</v>
      </c>
      <c r="D94" s="145">
        <f>+'APM utregning'!D94</f>
        <v>43439.150806629834</v>
      </c>
      <c r="E94" s="145">
        <f>+'APM utregning'!E94</f>
        <v>44208.976000000002</v>
      </c>
      <c r="F94" s="145">
        <v>42660.771999999997</v>
      </c>
      <c r="G94" s="145">
        <v>42660.771999999997</v>
      </c>
      <c r="H94" s="145">
        <v>40085.278696721311</v>
      </c>
      <c r="I94" s="145">
        <v>41954.487999999998</v>
      </c>
      <c r="J94" s="119">
        <v>39455.342483636363</v>
      </c>
      <c r="K94" s="145">
        <v>40254.267999999996</v>
      </c>
      <c r="L94" s="119">
        <v>39053.696868852465</v>
      </c>
      <c r="M94" s="145">
        <v>39289.885000000002</v>
      </c>
      <c r="N94" s="119">
        <f>+O94</f>
        <v>38820.076000000001</v>
      </c>
      <c r="O94" s="145">
        <f>'APM utregning'!O94</f>
        <v>38820.076000000001</v>
      </c>
      <c r="P94" s="145">
        <v>37463.456172602739</v>
      </c>
      <c r="Q94" s="145">
        <v>37581.042000000001</v>
      </c>
      <c r="R94" s="76">
        <f>'APM utregning'!R94</f>
        <v>37423.830179487173</v>
      </c>
      <c r="S94" s="76">
        <f>'APM utregning'!S94</f>
        <v>37026.218999999997</v>
      </c>
      <c r="T94" s="76">
        <v>37625.930889502764</v>
      </c>
      <c r="U94" s="76">
        <v>37899.510999999999</v>
      </c>
      <c r="V94" s="119">
        <v>37349.311000000002</v>
      </c>
      <c r="W94" s="145">
        <v>37349.311000000002</v>
      </c>
      <c r="X94" s="119">
        <f>(+Y94+AC94+AE94+AG94)/4</f>
        <v>37101.258450975001</v>
      </c>
      <c r="Y94" s="145">
        <f>'APM utregning'!Y94</f>
        <v>37076.507235200006</v>
      </c>
      <c r="Z94" s="119">
        <f>(+AA94+AC94+AE94)/3</f>
        <v>36864.900360799998</v>
      </c>
      <c r="AA94" s="119">
        <f>'APM utregning'!AA94</f>
        <v>36969.599348999996</v>
      </c>
      <c r="AB94" s="119">
        <f>(+AC94+AE94)/2</f>
        <v>36812.550866699996</v>
      </c>
      <c r="AC94" s="119">
        <f>'APM utregning'!AC94</f>
        <v>36910.894151799999</v>
      </c>
      <c r="AD94" s="119">
        <f>+AE94</f>
        <v>36714.2075816</v>
      </c>
      <c r="AE94" s="119">
        <f>'APM utregning'!AE94</f>
        <v>36714.2075816</v>
      </c>
      <c r="AF94" s="119">
        <f>(+AG94+AI94+AK94+AM94)/4</f>
        <v>37027.2180353</v>
      </c>
      <c r="AG94" s="119">
        <f>'APM utregning'!AG94</f>
        <v>37703.4248353</v>
      </c>
      <c r="AH94" s="119">
        <f>(+AI94+AK94+AM94)/3</f>
        <v>36801.815768633329</v>
      </c>
      <c r="AI94" s="119">
        <f>'APM utregning'!AI94</f>
        <v>37256.4833153</v>
      </c>
      <c r="AJ94" s="119">
        <f>(+AK94+AM94)/2</f>
        <v>36574.481995299997</v>
      </c>
      <c r="AK94" s="119">
        <f>'APM utregning'!AK94</f>
        <v>36700.813563000003</v>
      </c>
      <c r="AL94" s="119">
        <f>+AM94</f>
        <v>36448.150427599998</v>
      </c>
      <c r="AM94" s="119">
        <f>'APM utregning'!AM94</f>
        <v>36448.150427599998</v>
      </c>
      <c r="AN94" s="119">
        <f>(+AO94+AQ94+AS94+AU94)/4</f>
        <v>37262.852339124998</v>
      </c>
      <c r="AO94" s="119">
        <f>'APM utregning'!AO94</f>
        <v>37221.8623553</v>
      </c>
      <c r="AP94" s="119">
        <f>(+AQ94+AS94+AU94)/3</f>
        <v>37276.515667066669</v>
      </c>
      <c r="AQ94" s="119">
        <f>'APM utregning'!AQ94</f>
        <v>36962.645865900005</v>
      </c>
      <c r="AR94" s="119">
        <f>(+AS94+AU94)/2</f>
        <v>37433.450567649998</v>
      </c>
      <c r="AS94" s="119">
        <f>'APM utregning'!AS94</f>
        <v>37430.661443800003</v>
      </c>
      <c r="AT94" s="119">
        <f>+AU94</f>
        <v>37436.239691499999</v>
      </c>
      <c r="AU94" s="119">
        <f>'APM utregning'!AU94</f>
        <v>37436.239691499999</v>
      </c>
      <c r="AV94" s="88"/>
      <c r="AW94" s="119">
        <f>'APM utregning'!AW94</f>
        <v>37652.391879399998</v>
      </c>
    </row>
    <row r="95" spans="1:49" x14ac:dyDescent="0.25">
      <c r="A95" s="152" t="s">
        <v>201</v>
      </c>
      <c r="B95" s="144">
        <f>+'APM utregning'!B95</f>
        <v>0.36530000000000001</v>
      </c>
      <c r="C95" s="144">
        <f>+'APM utregning'!C95</f>
        <v>0.37969999999999998</v>
      </c>
      <c r="D95" s="144">
        <f>+'APM utregning'!D95</f>
        <v>0.35870000000000002</v>
      </c>
      <c r="E95" s="144">
        <f>+'APM utregning'!E95</f>
        <v>0.26469999999999999</v>
      </c>
      <c r="F95" s="144">
        <v>0.45378000000000002</v>
      </c>
      <c r="G95" s="144">
        <v>0.45378000000000002</v>
      </c>
      <c r="H95" s="144">
        <v>0.69335999999999998</v>
      </c>
      <c r="I95" s="144">
        <v>0.38179999999999997</v>
      </c>
      <c r="J95" s="144">
        <v>0.79801</v>
      </c>
      <c r="K95" s="144">
        <v>0.28822999999999999</v>
      </c>
      <c r="L95" s="144">
        <v>1.0606800000000001</v>
      </c>
      <c r="M95" s="144">
        <v>0.46529999999999999</v>
      </c>
      <c r="N95" s="144">
        <f>'APM utregning'!N95</f>
        <v>1.6559900000000001</v>
      </c>
      <c r="O95" s="144">
        <f>'APM utregning'!O95</f>
        <v>1.6559900000000001</v>
      </c>
      <c r="P95" s="144">
        <v>1.5542800000000001</v>
      </c>
      <c r="Q95" s="144">
        <v>1.8371600000000001</v>
      </c>
      <c r="R95" s="159">
        <f>'APM utregning'!R95</f>
        <v>1.45902</v>
      </c>
      <c r="S95" s="76">
        <f>'APM utregning'!S95</f>
        <v>1.63</v>
      </c>
      <c r="T95" s="159">
        <v>1.3744099999999999</v>
      </c>
      <c r="U95" s="76">
        <v>1.4572033333333332</v>
      </c>
      <c r="V95" s="144">
        <v>1.29</v>
      </c>
      <c r="W95" s="144">
        <v>1.29</v>
      </c>
      <c r="X95" s="144">
        <f>'APM utregning'!X95</f>
        <v>1.06</v>
      </c>
      <c r="Y95" s="144">
        <f>'APM utregning'!Y95</f>
        <v>1.19</v>
      </c>
      <c r="Z95" s="144">
        <f>'APM utregning'!Z95</f>
        <v>1.03</v>
      </c>
      <c r="AA95" s="144">
        <f>'APM utregning'!AA95</f>
        <v>1.06</v>
      </c>
      <c r="AB95" s="144">
        <f>'APM utregning'!AB95</f>
        <v>1.01</v>
      </c>
      <c r="AC95" s="144">
        <f>'APM utregning'!AC95</f>
        <v>1.07</v>
      </c>
      <c r="AD95" s="144">
        <f>'APM utregning'!AD95</f>
        <v>0.95</v>
      </c>
      <c r="AE95" s="144">
        <f>'APM utregning'!AE95</f>
        <v>0.95</v>
      </c>
      <c r="AF95" s="144">
        <f>'APM utregning'!AF95</f>
        <v>0.89</v>
      </c>
      <c r="AG95" s="144">
        <f>'APM utregning'!AG95</f>
        <v>0.81</v>
      </c>
      <c r="AH95" s="144">
        <f>'APM utregning'!AH95</f>
        <v>0.93600000000000005</v>
      </c>
      <c r="AI95" s="144">
        <f>'APM utregning'!AI95</f>
        <v>0.81</v>
      </c>
      <c r="AJ95" s="144">
        <f>'APM utregning'!AJ95</f>
        <v>0.998</v>
      </c>
      <c r="AK95" s="144">
        <f>'APM utregning'!AK95</f>
        <v>0.91999999999999993</v>
      </c>
      <c r="AL95" s="144">
        <f>'APM utregning'!AL95</f>
        <v>1.02</v>
      </c>
      <c r="AM95" s="144">
        <f>'APM utregning'!AM95</f>
        <v>1.02</v>
      </c>
      <c r="AN95" s="144">
        <f>'APM utregning'!AN95</f>
        <v>1.0699999999999998</v>
      </c>
      <c r="AO95" s="144">
        <f>'APM utregning'!AO95</f>
        <v>1.1199999999999999</v>
      </c>
      <c r="AP95" s="144">
        <f>'APM utregning'!AP95</f>
        <v>1.0699999999999998</v>
      </c>
      <c r="AQ95" s="144">
        <f>'APM utregning'!AQ95</f>
        <v>1.06</v>
      </c>
      <c r="AR95" s="144">
        <f>'APM utregning'!AR95</f>
        <v>1.0760000000000001</v>
      </c>
      <c r="AS95" s="144">
        <f>'APM utregning'!AS95</f>
        <v>0.9900000000000001</v>
      </c>
      <c r="AT95" s="144">
        <f>'APM utregning'!AT95</f>
        <v>1.0900000000000001</v>
      </c>
      <c r="AU95" s="144">
        <f>'APM utregning'!AU95</f>
        <v>1.0900000000000001</v>
      </c>
      <c r="AV95" s="144">
        <f>'APM utregning'!AV95</f>
        <v>1.29</v>
      </c>
      <c r="AW95" s="144">
        <f>'APM utregning'!AW95</f>
        <v>1.1299999999999999</v>
      </c>
    </row>
    <row r="96" spans="1:49" x14ac:dyDescent="0.25">
      <c r="A96" s="152" t="s">
        <v>202</v>
      </c>
      <c r="B96" s="145">
        <f>+'APM utregning'!B96</f>
        <v>273</v>
      </c>
      <c r="C96" s="145">
        <f>+'APM utregning'!C96</f>
        <v>92</v>
      </c>
      <c r="D96" s="145">
        <f>+'APM utregning'!D96</f>
        <v>181</v>
      </c>
      <c r="E96" s="145">
        <f>+'APM utregning'!E96</f>
        <v>91</v>
      </c>
      <c r="F96" s="145">
        <v>90</v>
      </c>
      <c r="G96" s="145">
        <v>90</v>
      </c>
      <c r="H96" s="145">
        <v>366</v>
      </c>
      <c r="I96" s="145">
        <v>92</v>
      </c>
      <c r="J96" s="145">
        <v>275</v>
      </c>
      <c r="K96" s="145">
        <v>92</v>
      </c>
      <c r="L96" s="145">
        <v>183</v>
      </c>
      <c r="M96" s="145">
        <v>91</v>
      </c>
      <c r="N96" s="145">
        <f>'APM utregning'!N96</f>
        <v>91</v>
      </c>
      <c r="O96" s="145">
        <f>'APM utregning'!O96</f>
        <v>91</v>
      </c>
      <c r="P96" s="145">
        <v>365</v>
      </c>
      <c r="Q96" s="145">
        <v>92</v>
      </c>
      <c r="R96" s="159">
        <f>'APM utregning'!R96</f>
        <v>273</v>
      </c>
      <c r="S96" s="76">
        <f>'APM utregning'!S96</f>
        <v>92</v>
      </c>
      <c r="T96" s="159">
        <v>181</v>
      </c>
      <c r="U96" s="76">
        <v>91</v>
      </c>
      <c r="V96" s="145">
        <v>90</v>
      </c>
      <c r="W96" s="145">
        <v>90</v>
      </c>
      <c r="X96" s="145">
        <f>'APM utregning'!X96</f>
        <v>365</v>
      </c>
      <c r="Y96" s="145">
        <f>'APM utregning'!Y96</f>
        <v>92</v>
      </c>
      <c r="Z96" s="145">
        <f>'APM utregning'!Z96</f>
        <v>273</v>
      </c>
      <c r="AA96" s="145">
        <f>'APM utregning'!AA96</f>
        <v>92</v>
      </c>
      <c r="AB96" s="145">
        <f>'APM utregning'!AB96</f>
        <v>181</v>
      </c>
      <c r="AC96" s="145">
        <f>'APM utregning'!AC96</f>
        <v>91</v>
      </c>
      <c r="AD96" s="145">
        <f>'APM utregning'!AD96</f>
        <v>90</v>
      </c>
      <c r="AE96" s="145">
        <f>'APM utregning'!AE96</f>
        <v>90</v>
      </c>
      <c r="AF96" s="145">
        <f>'APM utregning'!AF96</f>
        <v>365</v>
      </c>
      <c r="AG96" s="145">
        <f>'APM utregning'!AG96</f>
        <v>92</v>
      </c>
      <c r="AH96" s="145">
        <f>'APM utregning'!AH96</f>
        <v>273</v>
      </c>
      <c r="AI96" s="145">
        <f>'APM utregning'!AI96</f>
        <v>92</v>
      </c>
      <c r="AJ96" s="145">
        <f>'APM utregning'!AJ96</f>
        <v>181</v>
      </c>
      <c r="AK96" s="145">
        <f>'APM utregning'!AK96</f>
        <v>91</v>
      </c>
      <c r="AL96" s="145">
        <f>'APM utregning'!AL96</f>
        <v>90</v>
      </c>
      <c r="AM96" s="145">
        <f>'APM utregning'!AM96</f>
        <v>90</v>
      </c>
      <c r="AN96" s="145">
        <f>'APM utregning'!AN96</f>
        <v>365</v>
      </c>
      <c r="AO96" s="145">
        <f>'APM utregning'!AO96</f>
        <v>92</v>
      </c>
      <c r="AP96" s="145">
        <f>'APM utregning'!AP96</f>
        <v>274</v>
      </c>
      <c r="AQ96" s="145">
        <f>'APM utregning'!AQ96</f>
        <v>92</v>
      </c>
      <c r="AR96" s="145">
        <f>'APM utregning'!AR96</f>
        <v>182</v>
      </c>
      <c r="AS96" s="145">
        <f>'APM utregning'!AS96</f>
        <v>91</v>
      </c>
      <c r="AT96" s="145">
        <f>'APM utregning'!AT96</f>
        <v>91</v>
      </c>
      <c r="AU96" s="145">
        <f>'APM utregning'!AU96</f>
        <v>91</v>
      </c>
      <c r="AV96" s="91">
        <f>'APM utregning'!AV96</f>
        <v>0</v>
      </c>
      <c r="AW96" s="145">
        <f>'APM utregning'!AW96</f>
        <v>92</v>
      </c>
    </row>
    <row r="97" spans="1:49" ht="15.75" thickBot="1" x14ac:dyDescent="0.3">
      <c r="A97" s="121" t="s">
        <v>203</v>
      </c>
      <c r="B97" s="124">
        <f>+'APM utregning'!B97</f>
        <v>2.6853517388956444E-2</v>
      </c>
      <c r="C97" s="124">
        <f>+'APM utregning'!C97</f>
        <v>2.5983841822711802E-2</v>
      </c>
      <c r="D97" s="124">
        <f>+'APM utregning'!D97</f>
        <v>2.7367032331410499E-2</v>
      </c>
      <c r="E97" s="124">
        <f>+'APM utregning'!E97</f>
        <v>2.8029372517504283E-2</v>
      </c>
      <c r="F97" s="124">
        <v>2.6777809253390912E-2</v>
      </c>
      <c r="G97" s="124">
        <v>2.6777809253390912E-2</v>
      </c>
      <c r="H97" s="124">
        <v>2.7909284984707215E-2</v>
      </c>
      <c r="I97" s="124">
        <v>2.6409581839225951E-2</v>
      </c>
      <c r="J97" s="124">
        <v>2.8614377013717822E-2</v>
      </c>
      <c r="K97" s="124">
        <v>2.8531260680777035E-2</v>
      </c>
      <c r="L97" s="124">
        <v>2.8557446817615219E-2</v>
      </c>
      <c r="M97" s="124">
        <v>3.1035627283424891E-2</v>
      </c>
      <c r="N97" s="124">
        <f>N93/N94*365/N96</f>
        <v>2.6733688257169919E-2</v>
      </c>
      <c r="O97" s="124">
        <f t="shared" ref="O97" si="137">O93/O94*365/O96</f>
        <v>2.6733688257169919E-2</v>
      </c>
      <c r="P97" s="124">
        <v>2.571676577003755E-2</v>
      </c>
      <c r="Q97" s="124">
        <v>2.5195853597435126E-2</v>
      </c>
      <c r="R97" s="124">
        <f>'APM utregning'!R97</f>
        <v>2.579304870403128E-2</v>
      </c>
      <c r="S97" s="124">
        <f>'APM utregning'!S97</f>
        <v>2.5170717167956741E-2</v>
      </c>
      <c r="T97" s="124">
        <v>2.6104348686567927E-2</v>
      </c>
      <c r="U97" s="124">
        <v>2.5629679898722429E-2</v>
      </c>
      <c r="V97" s="124">
        <v>2.6895262602479243E-2</v>
      </c>
      <c r="W97" s="124">
        <v>2.6895262602479243E-2</v>
      </c>
      <c r="X97" s="124">
        <f>X93/X94*365/X96</f>
        <v>2.7302546149182642E-2</v>
      </c>
      <c r="Y97" s="124">
        <f t="shared" ref="Y97" si="138">Y93/Y94*365/Y96</f>
        <v>2.7258430953534207E-2</v>
      </c>
      <c r="Z97" s="124">
        <f t="shared" ref="Z97:AW97" si="139">Z93/Z94*365/Z96</f>
        <v>2.7317713070869096E-2</v>
      </c>
      <c r="AA97" s="124">
        <f t="shared" si="139"/>
        <v>2.7541669911574852E-2</v>
      </c>
      <c r="AB97" s="124">
        <f t="shared" si="139"/>
        <v>2.7202749139977476E-2</v>
      </c>
      <c r="AC97" s="124">
        <f t="shared" si="139"/>
        <v>2.7323552370059515E-2</v>
      </c>
      <c r="AD97" s="124">
        <f t="shared" si="139"/>
        <v>2.7079139670648143E-2</v>
      </c>
      <c r="AE97" s="124">
        <f t="shared" si="139"/>
        <v>2.7079139670648143E-2</v>
      </c>
      <c r="AF97" s="124">
        <f t="shared" si="139"/>
        <v>2.7981926913971854E-2</v>
      </c>
      <c r="AG97" s="124">
        <f t="shared" si="139"/>
        <v>2.7530811051536069E-2</v>
      </c>
      <c r="AH97" s="124">
        <f t="shared" si="139"/>
        <v>2.8135792433551642E-2</v>
      </c>
      <c r="AI97" s="124">
        <f t="shared" si="139"/>
        <v>2.7907079583723959E-2</v>
      </c>
      <c r="AJ97" s="124">
        <f t="shared" si="139"/>
        <v>2.8251313411653302E-2</v>
      </c>
      <c r="AK97" s="124">
        <f t="shared" si="139"/>
        <v>2.7992825470324362E-2</v>
      </c>
      <c r="AL97" s="124">
        <f t="shared" si="139"/>
        <v>2.8513397212527151E-2</v>
      </c>
      <c r="AM97" s="124">
        <f t="shared" si="139"/>
        <v>2.8513397212527151E-2</v>
      </c>
      <c r="AN97" s="124">
        <f t="shared" si="139"/>
        <v>2.5150957729540731E-2</v>
      </c>
      <c r="AO97" s="124">
        <f t="shared" si="139"/>
        <v>2.5801059049079825E-2</v>
      </c>
      <c r="AP97" s="124">
        <f t="shared" si="139"/>
        <v>2.4841304690679675E-2</v>
      </c>
      <c r="AQ97" s="124">
        <f t="shared" si="139"/>
        <v>2.4056314751058971E-2</v>
      </c>
      <c r="AR97" s="124">
        <f t="shared" si="139"/>
        <v>2.5234266531170797E-2</v>
      </c>
      <c r="AS97" s="124">
        <f t="shared" si="139"/>
        <v>2.5981395547938296E-2</v>
      </c>
      <c r="AT97" s="124">
        <f t="shared" si="139"/>
        <v>2.4487248841575941E-2</v>
      </c>
      <c r="AU97" s="124">
        <f t="shared" si="139"/>
        <v>2.4487248841575941E-2</v>
      </c>
      <c r="AV97" s="124"/>
      <c r="AW97" s="124">
        <f t="shared" si="139"/>
        <v>2.4745313221521476E-2</v>
      </c>
    </row>
    <row r="98" spans="1:49" x14ac:dyDescent="0.25">
      <c r="A98" s="118"/>
      <c r="B98" s="87"/>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87"/>
      <c r="AW98" s="87"/>
    </row>
    <row r="99" spans="1:49" x14ac:dyDescent="0.25">
      <c r="A99" s="118"/>
      <c r="B99" s="88"/>
      <c r="C99" s="88"/>
      <c r="D99" s="88"/>
      <c r="E99" s="88"/>
      <c r="F99" s="88"/>
      <c r="G99" s="88"/>
      <c r="H99" s="88"/>
      <c r="I99" s="88"/>
      <c r="J99" s="88"/>
      <c r="K99" s="88"/>
      <c r="L99" s="88"/>
      <c r="M99" s="88"/>
      <c r="P99" s="88"/>
      <c r="Q99" s="88"/>
      <c r="R99" s="88"/>
      <c r="S99" s="88"/>
      <c r="X99" s="88"/>
      <c r="AB99" s="88"/>
      <c r="AC99" s="88"/>
      <c r="AJ99" s="19"/>
    </row>
    <row r="100" spans="1:49" x14ac:dyDescent="0.25">
      <c r="A100" s="116" t="s">
        <v>204</v>
      </c>
      <c r="B100" s="147">
        <f>+'APM utregning'!B100</f>
        <v>1960.6397313123289</v>
      </c>
      <c r="C100" s="147">
        <f>+'APM utregning'!C100</f>
        <v>656.15402261698625</v>
      </c>
      <c r="D100" s="147">
        <f>+'APM utregning'!D100</f>
        <v>1304.4857086953425</v>
      </c>
      <c r="E100" s="147">
        <f>+'APM utregning'!E100</f>
        <v>651.23020273095892</v>
      </c>
      <c r="F100" s="147">
        <v>653.25550596438359</v>
      </c>
      <c r="G100" s="147">
        <v>653.25550596438359</v>
      </c>
      <c r="H100" s="147">
        <v>3076.6128287183565</v>
      </c>
      <c r="I100" s="147">
        <v>679.37550495013704</v>
      </c>
      <c r="J100" s="119">
        <v>2410.9792631199998</v>
      </c>
      <c r="K100" s="147">
        <v>676.19914330520555</v>
      </c>
      <c r="L100" s="119">
        <v>1734.7801198147945</v>
      </c>
      <c r="M100" s="147">
        <v>748.193699450959</v>
      </c>
      <c r="N100" s="119">
        <f>+O100</f>
        <v>982.84448101205476</v>
      </c>
      <c r="O100" s="147">
        <f>'APM utregning'!O100</f>
        <v>982.84448101205476</v>
      </c>
      <c r="P100" s="147">
        <v>3518.427863506301</v>
      </c>
      <c r="Q100" s="147">
        <v>966.26138101041079</v>
      </c>
      <c r="R100" s="76">
        <f>'APM utregning'!R100</f>
        <v>2552.1664824958902</v>
      </c>
      <c r="S100" s="76">
        <f>'APM utregning'!S100</f>
        <v>908.88589183013698</v>
      </c>
      <c r="T100" s="76">
        <v>1643.2805906657534</v>
      </c>
      <c r="U100" s="76">
        <v>838.86738292876714</v>
      </c>
      <c r="V100" s="119">
        <v>804.41320773698624</v>
      </c>
      <c r="W100" s="147">
        <v>804.41320773698624</v>
      </c>
      <c r="X100" s="119">
        <f>+Y100+AA100+AC100+AE100</f>
        <v>2966.0576116828252</v>
      </c>
      <c r="Y100" s="147">
        <f>'APM utregning'!Y100</f>
        <v>794.98100662115428</v>
      </c>
      <c r="Z100" s="119">
        <f>+AA100+AC100+AE100</f>
        <v>2171.0766050616708</v>
      </c>
      <c r="AA100" s="147">
        <f>'APM utregning'!AA100</f>
        <v>746.83804326178779</v>
      </c>
      <c r="AB100" s="119">
        <f>+AC100+AE100</f>
        <v>1424.238561799883</v>
      </c>
      <c r="AC100" s="147">
        <f>'APM utregning'!AC100</f>
        <v>721.97889057938664</v>
      </c>
      <c r="AD100" s="120">
        <f>+AE100</f>
        <v>702.25967122049633</v>
      </c>
      <c r="AE100" s="147">
        <f>'APM utregning'!AE100</f>
        <v>702.25967122049633</v>
      </c>
      <c r="AF100" s="119">
        <f>+AG100+AI100+AK100+AM100</f>
        <v>2751.5703919461707</v>
      </c>
      <c r="AG100" s="147">
        <f>'APM utregning'!AG100</f>
        <v>711.79110565676967</v>
      </c>
      <c r="AH100" s="119">
        <f>+AI100+AK100+AM100</f>
        <v>2039.7792862894012</v>
      </c>
      <c r="AI100" s="147">
        <f>'APM utregning'!AI100</f>
        <v>700.69733543239181</v>
      </c>
      <c r="AJ100" s="119">
        <f>+AK100+AM100</f>
        <v>1339.0819508570094</v>
      </c>
      <c r="AK100" s="147">
        <f>'APM utregning'!AK100</f>
        <v>680.71058523128295</v>
      </c>
      <c r="AL100" s="120">
        <f>+AM100</f>
        <v>658.37136562572641</v>
      </c>
      <c r="AM100" s="147">
        <f>'APM utregning'!AM100</f>
        <v>658.37136562572641</v>
      </c>
      <c r="AN100" s="119">
        <f>+AO100+AQ100+AS100+AU100</f>
        <v>2505.4823197714122</v>
      </c>
      <c r="AO100" s="147">
        <f>'APM utregning'!AO100</f>
        <v>634.18606407138805</v>
      </c>
      <c r="AP100" s="119">
        <f>+AQ100+AS100+AU100</f>
        <v>1871.2962557000237</v>
      </c>
      <c r="AQ100" s="147">
        <f>'APM utregning'!AQ100</f>
        <v>625.92592092755365</v>
      </c>
      <c r="AR100" s="119">
        <f>+AS100+AU100</f>
        <v>1245.3703347724704</v>
      </c>
      <c r="AS100" s="147">
        <f>'APM utregning'!AS100</f>
        <v>621.16455628699646</v>
      </c>
      <c r="AT100" s="120">
        <f>+AU100</f>
        <v>624.20577848547384</v>
      </c>
      <c r="AU100" s="147">
        <f>'APM utregning'!AU100</f>
        <v>624.20577848547384</v>
      </c>
      <c r="AV100" s="88"/>
      <c r="AW100" s="147">
        <f>'APM utregning'!AW100</f>
        <v>655.11574032550755</v>
      </c>
    </row>
    <row r="101" spans="1:49" x14ac:dyDescent="0.25">
      <c r="A101" s="117" t="s">
        <v>198</v>
      </c>
      <c r="B101" s="148">
        <f>+'APM utregning'!B101</f>
        <v>358.74564535914521</v>
      </c>
      <c r="C101" s="148">
        <f>+'APM utregning'!C101</f>
        <v>127.15064254963286</v>
      </c>
      <c r="D101" s="148">
        <f>+'APM utregning'!D101</f>
        <v>231.59500280951232</v>
      </c>
      <c r="E101" s="148">
        <f>+'APM utregning'!E101</f>
        <v>86.556520761046571</v>
      </c>
      <c r="F101" s="148">
        <v>145.03848204846577</v>
      </c>
      <c r="G101" s="148">
        <v>145.03848204846577</v>
      </c>
      <c r="H101" s="148">
        <v>852.25583017410179</v>
      </c>
      <c r="I101" s="148">
        <v>123.42305432322192</v>
      </c>
      <c r="J101" s="122">
        <v>734.28252342990618</v>
      </c>
      <c r="K101" s="148">
        <v>91.047432408908477</v>
      </c>
      <c r="L101" s="122">
        <v>643.23509102099774</v>
      </c>
      <c r="M101" s="148">
        <v>141.85831375057808</v>
      </c>
      <c r="N101" s="122">
        <f>+O101</f>
        <v>495.92702969139344</v>
      </c>
      <c r="O101" s="148">
        <f>(+O103*O95/100*O96/365)</f>
        <v>495.92702969139344</v>
      </c>
      <c r="P101" s="148">
        <v>1795.924485960026</v>
      </c>
      <c r="Q101" s="148">
        <v>548.0101784358269</v>
      </c>
      <c r="R101" s="21">
        <f>'APM utregning'!R101</f>
        <v>1247.9143075241991</v>
      </c>
      <c r="S101" s="21">
        <f>'APM utregning'!S101</f>
        <v>475.43585041205472</v>
      </c>
      <c r="T101" s="21">
        <v>772.47845711214427</v>
      </c>
      <c r="U101" s="21">
        <v>413.7539876107744</v>
      </c>
      <c r="V101" s="122">
        <v>358.72446950136987</v>
      </c>
      <c r="W101" s="148">
        <v>358.72446950136987</v>
      </c>
      <c r="X101" s="122">
        <f>+Y101+AA101+AC101+AE101</f>
        <v>1157.5902452593598</v>
      </c>
      <c r="Y101" s="148">
        <f>(+Y103*Y95/100*Y96/365)</f>
        <v>336.02491742977099</v>
      </c>
      <c r="Z101" s="122">
        <f>+AA101+AC101+AE101</f>
        <v>821.5653278295888</v>
      </c>
      <c r="AA101" s="122">
        <f>(+AA103*AA95/100*AA96/365)</f>
        <v>293.54161112564123</v>
      </c>
      <c r="AB101" s="122">
        <f>+AC101+AE101</f>
        <v>528.02371670394768</v>
      </c>
      <c r="AC101" s="122">
        <f>(+AC103*AC95/100*AC96/365)</f>
        <v>284.27339784624354</v>
      </c>
      <c r="AD101" s="122">
        <f>+AE101</f>
        <v>243.75031885770409</v>
      </c>
      <c r="AE101" s="122">
        <f>(+AE103*AE95/100*AE96/365)</f>
        <v>243.75031885770409</v>
      </c>
      <c r="AF101" s="122">
        <f>+AG101+AI101+AK101+AM101</f>
        <v>869.69591792894971</v>
      </c>
      <c r="AG101" s="122">
        <f>(+AG103*AG95/100*AG96/365)</f>
        <v>208.4554472964293</v>
      </c>
      <c r="AH101" s="122">
        <f>+AI101+AK101+AM101</f>
        <v>661.24047063252044</v>
      </c>
      <c r="AI101" s="122">
        <f>(+AI103*AI95/100*AI96/365)</f>
        <v>202.67954604456955</v>
      </c>
      <c r="AJ101" s="122">
        <f>+AK101+AM101</f>
        <v>458.56092458795092</v>
      </c>
      <c r="AK101" s="122">
        <f>(+AK103*AK95/100*AK96/365)</f>
        <v>221.39175644555581</v>
      </c>
      <c r="AL101" s="122">
        <f>+AM101</f>
        <v>237.16916814239508</v>
      </c>
      <c r="AM101" s="122">
        <f>(+AM103*AM95/100*AM96/365)</f>
        <v>237.16916814239508</v>
      </c>
      <c r="AN101" s="122">
        <f>+AO101+AQ101+AS101+AU101</f>
        <v>952.06086383130662</v>
      </c>
      <c r="AO101" s="122">
        <f>(+AO103*AO95/100*AO96/365)</f>
        <v>262.04731689416764</v>
      </c>
      <c r="AP101" s="122">
        <f>+AQ101+AS101+AU101</f>
        <v>690.01354693713904</v>
      </c>
      <c r="AQ101" s="122">
        <f>(+AQ103*AQ95/100*AQ96/365)</f>
        <v>241.16106612043885</v>
      </c>
      <c r="AR101" s="122">
        <f>+AS101+AU101</f>
        <v>448.85248081670022</v>
      </c>
      <c r="AS101" s="122">
        <f>(+AS103*AS95/100*AS96/365)</f>
        <v>216.35964675157715</v>
      </c>
      <c r="AT101" s="122">
        <f>+AU101</f>
        <v>232.49283406512305</v>
      </c>
      <c r="AU101" s="122">
        <f>(+AU103*AU95/100*AU96/365)</f>
        <v>232.49283406512305</v>
      </c>
      <c r="AV101" s="97"/>
      <c r="AW101" s="122">
        <f>(+AW103*AW95/100*AW96/365)</f>
        <v>239.5859035480776</v>
      </c>
    </row>
    <row r="102" spans="1:49" x14ac:dyDescent="0.25">
      <c r="A102" s="116" t="s">
        <v>205</v>
      </c>
      <c r="B102" s="145">
        <f>+'APM utregning'!B102</f>
        <v>1601.8940859531835</v>
      </c>
      <c r="C102" s="145">
        <f>+'APM utregning'!C102</f>
        <v>529.00338006735342</v>
      </c>
      <c r="D102" s="145">
        <f>+'APM utregning'!D102</f>
        <v>1072.8907058858301</v>
      </c>
      <c r="E102" s="145">
        <f>+'APM utregning'!E102</f>
        <v>564.67368196991231</v>
      </c>
      <c r="F102" s="145">
        <v>508.21702391591782</v>
      </c>
      <c r="G102" s="145">
        <v>508.21702391591782</v>
      </c>
      <c r="H102" s="145">
        <v>2224.3569985442546</v>
      </c>
      <c r="I102" s="145">
        <v>555.95245062691515</v>
      </c>
      <c r="J102" s="119">
        <v>1676.6967396900936</v>
      </c>
      <c r="K102" s="145">
        <v>585.15171089629712</v>
      </c>
      <c r="L102" s="119">
        <v>1091.5450287937967</v>
      </c>
      <c r="M102" s="145">
        <v>606.33538570038093</v>
      </c>
      <c r="N102" s="119">
        <f t="shared" ref="N102:O102" si="140">+N100-N101</f>
        <v>486.91745132066131</v>
      </c>
      <c r="O102" s="145">
        <f t="shared" si="140"/>
        <v>486.91745132066131</v>
      </c>
      <c r="P102" s="145">
        <v>1722.503377546275</v>
      </c>
      <c r="Q102" s="145">
        <v>418.25120257458389</v>
      </c>
      <c r="R102" s="76">
        <f>'APM utregning'!R102</f>
        <v>1304.2521749716911</v>
      </c>
      <c r="S102" s="76">
        <f>'APM utregning'!S102</f>
        <v>433.45004141808226</v>
      </c>
      <c r="T102" s="76">
        <v>870.80213355360911</v>
      </c>
      <c r="U102" s="76">
        <v>425.11339531799274</v>
      </c>
      <c r="V102" s="119">
        <v>445.68873823561637</v>
      </c>
      <c r="W102" s="145">
        <v>445.68873823561637</v>
      </c>
      <c r="X102" s="119">
        <f t="shared" ref="X102" si="141">+X100-X101</f>
        <v>1808.4673664234654</v>
      </c>
      <c r="Y102" s="145">
        <f t="shared" ref="Y102" si="142">+Y100-Y101</f>
        <v>458.95608919138328</v>
      </c>
      <c r="Z102" s="119">
        <f t="shared" ref="Z102:AC102" si="143">+Z100-Z101</f>
        <v>1349.511277232082</v>
      </c>
      <c r="AA102" s="119">
        <f t="shared" si="143"/>
        <v>453.29643213614656</v>
      </c>
      <c r="AB102" s="119">
        <f t="shared" si="143"/>
        <v>896.21484509593529</v>
      </c>
      <c r="AC102" s="119">
        <f t="shared" si="143"/>
        <v>437.7054927331431</v>
      </c>
      <c r="AD102" s="119">
        <f>+AE102</f>
        <v>458.50935236279224</v>
      </c>
      <c r="AE102" s="119">
        <f t="shared" ref="AE102:AK102" si="144">+AE100-AE101</f>
        <v>458.50935236279224</v>
      </c>
      <c r="AF102" s="119">
        <f t="shared" si="144"/>
        <v>1881.874474017221</v>
      </c>
      <c r="AG102" s="119">
        <f t="shared" si="144"/>
        <v>503.3356583603404</v>
      </c>
      <c r="AH102" s="119">
        <f t="shared" si="144"/>
        <v>1378.5388156568806</v>
      </c>
      <c r="AI102" s="119">
        <f t="shared" si="144"/>
        <v>498.01778938782229</v>
      </c>
      <c r="AJ102" s="119">
        <f t="shared" si="144"/>
        <v>880.52102626905844</v>
      </c>
      <c r="AK102" s="119">
        <f t="shared" si="144"/>
        <v>459.31882878572713</v>
      </c>
      <c r="AL102" s="119">
        <f>+AM102</f>
        <v>421.20219748333136</v>
      </c>
      <c r="AM102" s="119">
        <f t="shared" ref="AM102:AS102" si="145">+AM100-AM101</f>
        <v>421.20219748333136</v>
      </c>
      <c r="AN102" s="119">
        <f t="shared" si="145"/>
        <v>1553.4214559401057</v>
      </c>
      <c r="AO102" s="119">
        <f t="shared" si="145"/>
        <v>372.13874717722041</v>
      </c>
      <c r="AP102" s="119">
        <f t="shared" si="145"/>
        <v>1181.2827087628848</v>
      </c>
      <c r="AQ102" s="119">
        <f t="shared" si="145"/>
        <v>384.76485480711483</v>
      </c>
      <c r="AR102" s="119">
        <f t="shared" si="145"/>
        <v>796.51785395577019</v>
      </c>
      <c r="AS102" s="119">
        <f t="shared" si="145"/>
        <v>404.80490953541931</v>
      </c>
      <c r="AT102" s="119">
        <f>+AU102</f>
        <v>391.71294442035082</v>
      </c>
      <c r="AU102" s="119">
        <f>+AU100-AU101</f>
        <v>391.71294442035082</v>
      </c>
      <c r="AV102" s="119"/>
      <c r="AW102" s="119">
        <f>+AW100-AW101</f>
        <v>415.52983677742998</v>
      </c>
    </row>
    <row r="103" spans="1:49" x14ac:dyDescent="0.25">
      <c r="A103" s="116" t="s">
        <v>206</v>
      </c>
      <c r="B103" s="145">
        <f>+'APM utregning'!B103</f>
        <v>131561.68166666667</v>
      </c>
      <c r="C103" s="145">
        <f>+'APM utregning'!C103</f>
        <v>133901.43400000001</v>
      </c>
      <c r="D103" s="145">
        <f>+'APM utregning'!D103</f>
        <v>130391.8055</v>
      </c>
      <c r="E103" s="145">
        <f>+'APM utregning'!E103</f>
        <v>131158.766</v>
      </c>
      <c r="F103" s="145">
        <v>129624.845</v>
      </c>
      <c r="G103" s="145">
        <v>129624.845</v>
      </c>
      <c r="H103" s="145">
        <v>123251.84275</v>
      </c>
      <c r="I103" s="145">
        <v>128252.371</v>
      </c>
      <c r="J103" s="145">
        <v>121585</v>
      </c>
      <c r="K103" s="145">
        <v>123823.80100000001</v>
      </c>
      <c r="L103" s="145">
        <v>121201.98050000001</v>
      </c>
      <c r="M103" s="145">
        <v>122285.007</v>
      </c>
      <c r="N103" s="145">
        <f>+O103</f>
        <v>120118.954</v>
      </c>
      <c r="O103" s="145">
        <f>'APM utregning'!O103</f>
        <v>120118.954</v>
      </c>
      <c r="P103" s="145">
        <v>115182.12175000001</v>
      </c>
      <c r="Q103" s="145">
        <v>118344.11900000001</v>
      </c>
      <c r="R103" s="76">
        <f>'APM utregning'!R103</f>
        <v>114128.12266666668</v>
      </c>
      <c r="S103" s="76">
        <f>'APM utregning'!S103</f>
        <v>115720.249</v>
      </c>
      <c r="T103" s="76">
        <v>113332.0595</v>
      </c>
      <c r="U103" s="76">
        <v>113886.83100000001</v>
      </c>
      <c r="V103" s="119">
        <v>112777.288</v>
      </c>
      <c r="W103" s="145">
        <v>112777.288</v>
      </c>
      <c r="X103" s="119">
        <f>(+Y103+AA103+AC103+AE103)/4</f>
        <v>108128.92543739999</v>
      </c>
      <c r="Y103" s="145">
        <f>'APM utregning'!Y103</f>
        <v>112028.76768529999</v>
      </c>
      <c r="Z103" s="119">
        <f>(+AA103+AC103+AE103)/3</f>
        <v>106828.97802143333</v>
      </c>
      <c r="AA103" s="145">
        <f>'APM utregning'!AA103</f>
        <v>109867.3995702</v>
      </c>
      <c r="AB103" s="119">
        <f>(+AC103+AE103)/2</f>
        <v>105309.76724705</v>
      </c>
      <c r="AC103" s="145">
        <f>'APM utregning'!AC103</f>
        <v>106562.38082969999</v>
      </c>
      <c r="AD103" s="119">
        <f>+AE103</f>
        <v>104057.1536644</v>
      </c>
      <c r="AE103" s="145">
        <f>'APM utregning'!AE103</f>
        <v>104057.1536644</v>
      </c>
      <c r="AF103" s="119">
        <f>(+AG103+AI103+AK103+AM103)/4</f>
        <v>98048.877501900002</v>
      </c>
      <c r="AG103" s="145">
        <f>'APM utregning'!AG103</f>
        <v>102101.7690059</v>
      </c>
      <c r="AH103" s="119">
        <f>(+AI103+AK103+AM103)/3</f>
        <v>96697.913667233326</v>
      </c>
      <c r="AI103" s="145">
        <f>'APM utregning'!AI103</f>
        <v>99272.7245119</v>
      </c>
      <c r="AJ103" s="119">
        <f>(+AK103+AM103)/2</f>
        <v>95410.508244900004</v>
      </c>
      <c r="AK103" s="145">
        <f>'APM utregning'!AK103</f>
        <v>96521.728502900005</v>
      </c>
      <c r="AL103" s="119">
        <f>+AM103</f>
        <v>94299.287986900003</v>
      </c>
      <c r="AM103" s="145">
        <f>'APM utregning'!AM103</f>
        <v>94299.287986900003</v>
      </c>
      <c r="AN103" s="119">
        <f>(+AO103+AQ103+AS103+AU103)/4</f>
        <v>89074.683581724996</v>
      </c>
      <c r="AO103" s="145">
        <f>'APM utregning'!AO103</f>
        <v>92825.379140499994</v>
      </c>
      <c r="AP103" s="119">
        <f>(+AQ103+AS103+AU103)/3</f>
        <v>87824.451728800006</v>
      </c>
      <c r="AQ103" s="145">
        <f>'APM utregning'!AQ103</f>
        <v>90262.294025800002</v>
      </c>
      <c r="AR103" s="119">
        <f>(+AS103+AU103)/2</f>
        <v>86605.530580299994</v>
      </c>
      <c r="AS103" s="145">
        <f>'APM utregning'!AS103</f>
        <v>87658.198539599995</v>
      </c>
      <c r="AT103" s="119">
        <f>+AU103</f>
        <v>85552.862621000007</v>
      </c>
      <c r="AU103" s="145">
        <f>'APM utregning'!AU103</f>
        <v>85552.862621000007</v>
      </c>
      <c r="AV103" s="88"/>
      <c r="AW103" s="145">
        <f>'APM utregning'!AW103</f>
        <v>84117.790299200002</v>
      </c>
    </row>
    <row r="104" spans="1:49" ht="15.75" thickBot="1" x14ac:dyDescent="0.3">
      <c r="A104" s="121" t="s">
        <v>207</v>
      </c>
      <c r="B104" s="124">
        <f>+'APM utregning'!B104</f>
        <v>1.6279257744682234E-2</v>
      </c>
      <c r="C104" s="124">
        <f>+'APM utregning'!C104</f>
        <v>1.5673942745451298E-2</v>
      </c>
      <c r="D104" s="124">
        <f>+'APM utregning'!D104</f>
        <v>1.6592792180132408E-2</v>
      </c>
      <c r="E104" s="124">
        <f>+'APM utregning'!E104</f>
        <v>1.7268383976531326E-2</v>
      </c>
      <c r="F104" s="124">
        <v>1.5900519493543937E-2</v>
      </c>
      <c r="G104" s="124">
        <v>1.5900519493543937E-2</v>
      </c>
      <c r="H104" s="124">
        <v>1.8047251456159302E-2</v>
      </c>
      <c r="I104" s="124">
        <v>1.7245091552092594E-2</v>
      </c>
      <c r="J104" s="124">
        <v>1.8303523086711029E-2</v>
      </c>
      <c r="K104" s="124">
        <v>1.8748623372773235E-2</v>
      </c>
      <c r="L104" s="124">
        <v>1.7962786760355735E-2</v>
      </c>
      <c r="M104" s="124">
        <v>1.988800286054701E-2</v>
      </c>
      <c r="N104" s="124">
        <f t="shared" ref="N104:O104" si="146">N102/N103*365/N96</f>
        <v>1.6259053891744254E-2</v>
      </c>
      <c r="O104" s="124">
        <f t="shared" si="146"/>
        <v>1.6259053891744254E-2</v>
      </c>
      <c r="P104" s="124">
        <v>1.4954607115893618E-2</v>
      </c>
      <c r="Q104" s="124">
        <v>1.4021534810085704E-2</v>
      </c>
      <c r="R104" s="124">
        <f>'APM utregning'!R104</f>
        <v>1.5279147152448177E-2</v>
      </c>
      <c r="S104" s="124">
        <f>'APM utregning'!S104</f>
        <v>1.4860544632869781E-2</v>
      </c>
      <c r="T104" s="124">
        <v>1.5494622257713898E-2</v>
      </c>
      <c r="U104" s="124">
        <v>1.4972101182134889E-2</v>
      </c>
      <c r="V104" s="124">
        <v>1.6027300092550548E-2</v>
      </c>
      <c r="W104" s="124">
        <v>1.6027300092550548E-2</v>
      </c>
      <c r="X104" s="124">
        <f>X102/X103*365/X96</f>
        <v>1.6725102548720481E-2</v>
      </c>
      <c r="Y104" s="124">
        <f>Y102/Y103*365/Y96</f>
        <v>1.6253489482722441E-2</v>
      </c>
      <c r="Z104" s="124">
        <f t="shared" ref="Z104:AW104" si="147">Z102/Z103*365/Z96</f>
        <v>1.6889533793279787E-2</v>
      </c>
      <c r="AA104" s="124">
        <f t="shared" si="147"/>
        <v>1.636886219373699E-2</v>
      </c>
      <c r="AB104" s="124">
        <f t="shared" si="147"/>
        <v>1.7161599793966122E-2</v>
      </c>
      <c r="AC104" s="124">
        <f t="shared" si="147"/>
        <v>1.6475156689750456E-2</v>
      </c>
      <c r="AD104" s="124">
        <f t="shared" si="147"/>
        <v>1.7870084715619863E-2</v>
      </c>
      <c r="AE104" s="124">
        <f t="shared" si="147"/>
        <v>1.7870084715619863E-2</v>
      </c>
      <c r="AF104" s="124">
        <f t="shared" si="147"/>
        <v>1.9193228132374628E-2</v>
      </c>
      <c r="AG104" s="124">
        <f t="shared" si="147"/>
        <v>1.9558226400872732E-2</v>
      </c>
      <c r="AH104" s="124">
        <f t="shared" si="147"/>
        <v>1.9060404480733529E-2</v>
      </c>
      <c r="AI104" s="124">
        <f t="shared" si="147"/>
        <v>1.9903064580351338E-2</v>
      </c>
      <c r="AJ104" s="124">
        <f t="shared" si="147"/>
        <v>1.8610490147836112E-2</v>
      </c>
      <c r="AK104" s="124">
        <f t="shared" si="147"/>
        <v>1.9087129948616097E-2</v>
      </c>
      <c r="AL104" s="124">
        <f t="shared" si="147"/>
        <v>1.8114759384535717E-2</v>
      </c>
      <c r="AM104" s="124">
        <f t="shared" si="147"/>
        <v>1.8114759384535717E-2</v>
      </c>
      <c r="AN104" s="124">
        <f t="shared" si="147"/>
        <v>1.7439539423284724E-2</v>
      </c>
      <c r="AO104" s="124">
        <f t="shared" si="147"/>
        <v>1.5905348765956527E-2</v>
      </c>
      <c r="AP104" s="124">
        <f t="shared" si="147"/>
        <v>1.7917635659779649E-2</v>
      </c>
      <c r="AQ104" s="124">
        <f t="shared" si="147"/>
        <v>1.6911964798325119E-2</v>
      </c>
      <c r="AR104" s="124">
        <f t="shared" si="147"/>
        <v>1.8444690182406579E-2</v>
      </c>
      <c r="AS104" s="124">
        <f t="shared" si="147"/>
        <v>1.8522717450182004E-2</v>
      </c>
      <c r="AT104" s="124">
        <f t="shared" si="147"/>
        <v>1.8364742773043303E-2</v>
      </c>
      <c r="AU104" s="124">
        <f t="shared" si="147"/>
        <v>1.8364742773043303E-2</v>
      </c>
      <c r="AV104" s="124"/>
      <c r="AW104" s="124">
        <f t="shared" si="147"/>
        <v>1.9598344836021277E-2</v>
      </c>
    </row>
    <row r="105" spans="1:49" x14ac:dyDescent="0.25">
      <c r="A105" s="118"/>
      <c r="B105" s="142"/>
      <c r="C105" s="142"/>
      <c r="D105" s="142"/>
      <c r="E105" s="142"/>
      <c r="F105" s="142"/>
      <c r="G105" s="142"/>
      <c r="H105" s="142"/>
      <c r="I105" s="142"/>
      <c r="J105" s="142"/>
      <c r="K105" s="142"/>
      <c r="L105" s="142"/>
      <c r="M105" s="142"/>
      <c r="N105" s="157"/>
      <c r="O105" s="157"/>
      <c r="P105" s="142"/>
      <c r="Q105" s="142"/>
      <c r="R105" s="142"/>
      <c r="S105" s="142"/>
      <c r="T105" s="142"/>
      <c r="U105" s="142"/>
      <c r="V105" s="142"/>
      <c r="W105" s="142"/>
      <c r="X105" s="142"/>
      <c r="Y105" s="142"/>
      <c r="Z105" s="14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row>
    <row r="106" spans="1:49" x14ac:dyDescent="0.25">
      <c r="A106" s="118"/>
      <c r="B106" s="88"/>
      <c r="C106" s="88"/>
      <c r="D106" s="88"/>
      <c r="E106" s="88"/>
      <c r="F106" s="88"/>
      <c r="G106" s="88"/>
      <c r="H106" s="88"/>
      <c r="I106" s="88"/>
      <c r="J106" s="88"/>
      <c r="K106" s="88"/>
      <c r="L106" s="88"/>
      <c r="M106" s="88"/>
      <c r="N106" s="64"/>
      <c r="O106" s="64"/>
      <c r="P106" s="88"/>
      <c r="Q106" s="88"/>
      <c r="R106" s="88"/>
      <c r="S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row>
    <row r="107" spans="1:49" x14ac:dyDescent="0.25">
      <c r="A107" s="116" t="s">
        <v>208</v>
      </c>
      <c r="B107" s="145">
        <f>+'APM utregning'!B107</f>
        <v>280.31700000000001</v>
      </c>
      <c r="C107" s="145">
        <f>+'APM utregning'!C107</f>
        <v>101.569</v>
      </c>
      <c r="D107" s="145">
        <f>+'APM utregning'!D107</f>
        <v>178.74799999999999</v>
      </c>
      <c r="E107" s="145">
        <f>+'APM utregning'!E107</f>
        <v>87.088999999999999</v>
      </c>
      <c r="F107" s="145">
        <v>91.659000000000006</v>
      </c>
      <c r="G107" s="145">
        <v>91.659000000000006</v>
      </c>
      <c r="H107" s="145">
        <v>370.19799999999998</v>
      </c>
      <c r="I107" s="145">
        <v>71.724999999999994</v>
      </c>
      <c r="J107" s="119">
        <v>303.47299999999996</v>
      </c>
      <c r="K107" s="145">
        <v>60.923999999999999</v>
      </c>
      <c r="L107" s="119">
        <v>242.54899999999998</v>
      </c>
      <c r="M107" s="145">
        <v>78.632999999999996</v>
      </c>
      <c r="N107" s="119">
        <f>+O107</f>
        <v>163.916</v>
      </c>
      <c r="O107" s="145">
        <f>'APM utregning'!O107</f>
        <v>163.916</v>
      </c>
      <c r="P107" s="145">
        <v>597.28700000000003</v>
      </c>
      <c r="Q107" s="145">
        <v>177.76</v>
      </c>
      <c r="R107" s="76">
        <f>'APM utregning'!R107</f>
        <v>419.52699999999999</v>
      </c>
      <c r="S107" s="76">
        <f>'APM utregning'!S107</f>
        <v>156.03</v>
      </c>
      <c r="T107" s="76">
        <v>263.49700000000001</v>
      </c>
      <c r="U107" s="76">
        <v>143.404</v>
      </c>
      <c r="V107" s="119">
        <v>120.093</v>
      </c>
      <c r="W107" s="145">
        <v>120.093</v>
      </c>
      <c r="X107" s="119">
        <f>+Y107+AA107+AC107+AE107</f>
        <v>423.09941570000001</v>
      </c>
      <c r="Y107" s="145">
        <f>'APM utregning'!Y107</f>
        <v>117.4770611</v>
      </c>
      <c r="Z107" s="145">
        <f>+AA107+AC107+AE107</f>
        <v>305.62235459999999</v>
      </c>
      <c r="AA107" s="145">
        <f>'APM utregning'!AA107</f>
        <v>107.5207815</v>
      </c>
      <c r="AB107" s="145">
        <f>+AC107+AE107</f>
        <v>198.1015731</v>
      </c>
      <c r="AC107" s="145">
        <f>'APM utregning'!AC107</f>
        <v>106.3496062</v>
      </c>
      <c r="AD107" s="145">
        <f>+AE107</f>
        <v>91.751966899999999</v>
      </c>
      <c r="AE107" s="145">
        <f>'APM utregning'!AE107</f>
        <v>91.751966899999999</v>
      </c>
      <c r="AF107" s="145">
        <f>+AG107+AI107+AK107+AM107</f>
        <v>355.94395169999996</v>
      </c>
      <c r="AG107" s="145">
        <f>'APM utregning'!AG107</f>
        <v>87.835931400000007</v>
      </c>
      <c r="AH107" s="145">
        <f>+AI107+AK107+AM107</f>
        <v>268.10802029999996</v>
      </c>
      <c r="AI107" s="145">
        <f>'APM utregning'!AI107</f>
        <v>88.483626399999991</v>
      </c>
      <c r="AJ107" s="145">
        <f>+AK107+AM107</f>
        <v>179.62439389999997</v>
      </c>
      <c r="AK107" s="145">
        <f>'APM utregning'!AK107</f>
        <v>92.454906499999993</v>
      </c>
      <c r="AL107" s="145">
        <f>+AM107</f>
        <v>87.169487399999994</v>
      </c>
      <c r="AM107" s="145">
        <f>'APM utregning'!AM107</f>
        <v>87.169487399999994</v>
      </c>
      <c r="AN107" s="145">
        <f>+AO107+AQ107+AS107+AU107</f>
        <v>355.90442140000005</v>
      </c>
      <c r="AO107" s="145">
        <f>'APM utregning'!AO107</f>
        <v>94.882983800000005</v>
      </c>
      <c r="AP107" s="145">
        <f>+AQ107+AS107+AU107</f>
        <v>261.02143760000001</v>
      </c>
      <c r="AQ107" s="145">
        <f>'APM utregning'!AQ107</f>
        <v>87.860594700000007</v>
      </c>
      <c r="AR107" s="145">
        <f>+AS107+AU107</f>
        <v>173.16084290000001</v>
      </c>
      <c r="AS107" s="145">
        <f>'APM utregning'!AS107</f>
        <v>85.4067893</v>
      </c>
      <c r="AT107" s="145">
        <f>+AU107</f>
        <v>87.754053600000006</v>
      </c>
      <c r="AU107" s="145">
        <f>'APM utregning'!AU107</f>
        <v>87.754053600000006</v>
      </c>
      <c r="AV107" s="91"/>
      <c r="AW107" s="145">
        <f>'APM utregning'!AW107</f>
        <v>102.729274</v>
      </c>
    </row>
    <row r="108" spans="1:49" x14ac:dyDescent="0.25">
      <c r="A108" s="117" t="s">
        <v>198</v>
      </c>
      <c r="B108" s="148">
        <f>+'APM utregning'!B108</f>
        <v>147.94898994721098</v>
      </c>
      <c r="C108" s="148">
        <f>+'APM utregning'!C108</f>
        <v>55.893776116306846</v>
      </c>
      <c r="D108" s="148">
        <f>+'APM utregning'!D108</f>
        <v>92.055213830904123</v>
      </c>
      <c r="E108" s="148">
        <f>+'APM utregning'!E108</f>
        <v>36.301824301457536</v>
      </c>
      <c r="F108" s="148">
        <v>55.753389529446586</v>
      </c>
      <c r="G108" s="148">
        <v>55.753389529446586</v>
      </c>
      <c r="H108" s="148">
        <v>300.7878030552348</v>
      </c>
      <c r="I108" s="148">
        <v>46.070725443409827</v>
      </c>
      <c r="J108" s="122">
        <v>256.59184580433646</v>
      </c>
      <c r="K108" s="148">
        <v>33.758908489798351</v>
      </c>
      <c r="L108" s="122">
        <v>222.8329373145381</v>
      </c>
      <c r="M108" s="148">
        <v>50.354263603479446</v>
      </c>
      <c r="N108" s="122">
        <f>'APM utregning'!N108</f>
        <v>170.60390551854715</v>
      </c>
      <c r="O108" s="148">
        <f>(O110*O95/100*O96/365)</f>
        <v>170.60390551854715</v>
      </c>
      <c r="P108" s="148">
        <v>626.57195245953449</v>
      </c>
      <c r="Q108" s="148">
        <v>193.12598506114628</v>
      </c>
      <c r="R108" s="21">
        <f>'APM utregning'!R108</f>
        <v>433.44596739838812</v>
      </c>
      <c r="S108" s="21">
        <f>'APM utregning'!S108</f>
        <v>165.37595373589042</v>
      </c>
      <c r="T108" s="21">
        <v>268.07001366249773</v>
      </c>
      <c r="U108" s="21">
        <v>146.38139861592236</v>
      </c>
      <c r="V108" s="122">
        <v>121.68861504657535</v>
      </c>
      <c r="W108" s="148">
        <v>121.68861504657535</v>
      </c>
      <c r="X108" s="122">
        <f>+Y108+AA108+AC108+AE108</f>
        <v>407.52205748696161</v>
      </c>
      <c r="Y108" s="148">
        <f>(Y110*Y95/100*Y96/365)</f>
        <v>115.36585771580414</v>
      </c>
      <c r="Z108" s="148">
        <f>+AA108+AC108+AE108</f>
        <v>292.15619977115745</v>
      </c>
      <c r="AA108" s="148">
        <f>(AA110*AA95/100*AA96/365)</f>
        <v>102.71740673073579</v>
      </c>
      <c r="AB108" s="148">
        <f>+AC108+AE108</f>
        <v>189.43879304042167</v>
      </c>
      <c r="AC108" s="148">
        <f>(AC110*AC95/100*AC96/365)</f>
        <v>102.12988326961346</v>
      </c>
      <c r="AD108" s="148">
        <f>+AE108</f>
        <v>87.308909770808199</v>
      </c>
      <c r="AE108" s="148">
        <f>(AE110*AE95/100*AE96/365)</f>
        <v>87.308909770808199</v>
      </c>
      <c r="AF108" s="148">
        <f>+AG108+AI108+AK108+AM108</f>
        <v>316.58873210591776</v>
      </c>
      <c r="AG108" s="148">
        <f>(AG110*AG95/100*AG96/365)</f>
        <v>75.954642052094144</v>
      </c>
      <c r="AH108" s="148">
        <f>+AI108+AK108+AM108</f>
        <v>240.63409005382366</v>
      </c>
      <c r="AI108" s="148">
        <f>(AI110*AI95/100*AI96/365)</f>
        <v>75.214714342298294</v>
      </c>
      <c r="AJ108" s="148">
        <f>+AK108+AM108</f>
        <v>165.41937571152539</v>
      </c>
      <c r="AK108" s="148">
        <f>(AK110*AK95/100*AK96/365)</f>
        <v>83.007987614222898</v>
      </c>
      <c r="AL108" s="148">
        <f>+AM108</f>
        <v>82.411388097302478</v>
      </c>
      <c r="AM108" s="148">
        <f>(AM110*AM95/100*AM96/365)</f>
        <v>82.411388097302478</v>
      </c>
      <c r="AN108" s="148">
        <f>+AO108+AQ108+AS108+AU108</f>
        <v>331.82187547127444</v>
      </c>
      <c r="AO108" s="148">
        <f>(AO110*AO95/100*AO96/365)</f>
        <v>92.746062814413122</v>
      </c>
      <c r="AP108" s="148">
        <f>+AQ108+AS108+AU108</f>
        <v>239.07581265686136</v>
      </c>
      <c r="AQ108" s="148">
        <f>(AQ110*AQ95/100*AQ96/365)</f>
        <v>83.477209073432107</v>
      </c>
      <c r="AR108" s="148">
        <f>+AS108+AU108</f>
        <v>155.59860358342925</v>
      </c>
      <c r="AS108" s="148">
        <f>(AS110*AS95/100*AS96/365)</f>
        <v>75.27635446193878</v>
      </c>
      <c r="AT108" s="148">
        <f>+AU108</f>
        <v>80.322249121490472</v>
      </c>
      <c r="AU108" s="148">
        <f>(AU110*AU95/100*AU96/365)</f>
        <v>80.322249121490472</v>
      </c>
      <c r="AV108" s="149"/>
      <c r="AW108" s="148">
        <f>(AW110*AW95/100*AW96/365)</f>
        <v>87.684988351033311</v>
      </c>
    </row>
    <row r="109" spans="1:49" x14ac:dyDescent="0.25">
      <c r="A109" s="116" t="s">
        <v>209</v>
      </c>
      <c r="B109" s="145">
        <f>+'APM utregning'!B109</f>
        <v>-132.36801005278903</v>
      </c>
      <c r="C109" s="145">
        <f>+'APM utregning'!C109</f>
        <v>-45.675223883693157</v>
      </c>
      <c r="D109" s="145">
        <f>+'APM utregning'!D109</f>
        <v>-86.692786169095868</v>
      </c>
      <c r="E109" s="145">
        <f>+'APM utregning'!E109</f>
        <v>-50.787175698542462</v>
      </c>
      <c r="F109" s="145">
        <v>-35.90561047055342</v>
      </c>
      <c r="G109" s="145">
        <v>-35.90561047055342</v>
      </c>
      <c r="H109" s="145">
        <v>-69.410196944765175</v>
      </c>
      <c r="I109" s="145">
        <v>-25.654274556590167</v>
      </c>
      <c r="J109" s="119">
        <v>-46.881154195663498</v>
      </c>
      <c r="K109" s="145">
        <v>-27.165091510201648</v>
      </c>
      <c r="L109" s="119">
        <v>-19.716062685461878</v>
      </c>
      <c r="M109" s="145">
        <v>-28.27873639652055</v>
      </c>
      <c r="N109" s="119">
        <f t="shared" ref="N109:O109" si="148">+N108-N107</f>
        <v>6.6879055185471543</v>
      </c>
      <c r="O109" s="145">
        <f t="shared" si="148"/>
        <v>6.6879055185471543</v>
      </c>
      <c r="P109" s="145">
        <v>29.284952459534452</v>
      </c>
      <c r="Q109" s="145">
        <v>15.36598506114629</v>
      </c>
      <c r="R109" s="76">
        <f>'APM utregning'!R109</f>
        <v>13.918967398388133</v>
      </c>
      <c r="S109" s="76">
        <f>'APM utregning'!S109</f>
        <v>9.3459537358904186</v>
      </c>
      <c r="T109" s="76">
        <v>4.5730136624977149</v>
      </c>
      <c r="U109" s="76">
        <v>2.9773986159223682</v>
      </c>
      <c r="V109" s="119">
        <v>1.5956150465753467</v>
      </c>
      <c r="W109" s="145">
        <v>1.5956150465753467</v>
      </c>
      <c r="X109" s="119">
        <f t="shared" ref="X109" si="149">+X108-X107</f>
        <v>-15.577358213038394</v>
      </c>
      <c r="Y109" s="145">
        <f t="shared" ref="Y109" si="150">+Y108-Y107</f>
        <v>-2.1112033841958606</v>
      </c>
      <c r="Z109" s="145">
        <f t="shared" ref="Z109:AC109" si="151">+Z108-Z107</f>
        <v>-13.466154828842548</v>
      </c>
      <c r="AA109" s="145">
        <f t="shared" si="151"/>
        <v>-4.8033747692642095</v>
      </c>
      <c r="AB109" s="145">
        <f t="shared" si="151"/>
        <v>-8.6627800595783242</v>
      </c>
      <c r="AC109" s="145">
        <f t="shared" si="151"/>
        <v>-4.2197229303865385</v>
      </c>
      <c r="AD109" s="145">
        <f>+AE109</f>
        <v>-4.4430571291918</v>
      </c>
      <c r="AE109" s="145">
        <f t="shared" ref="AE109:AK109" si="152">+AE108-AE107</f>
        <v>-4.4430571291918</v>
      </c>
      <c r="AF109" s="145">
        <f t="shared" si="152"/>
        <v>-39.3552195940822</v>
      </c>
      <c r="AG109" s="145">
        <f t="shared" si="152"/>
        <v>-11.881289347905863</v>
      </c>
      <c r="AH109" s="145">
        <f t="shared" si="152"/>
        <v>-27.473930246176309</v>
      </c>
      <c r="AI109" s="145">
        <f t="shared" si="152"/>
        <v>-13.268912057701698</v>
      </c>
      <c r="AJ109" s="145">
        <f t="shared" si="152"/>
        <v>-14.205018188474583</v>
      </c>
      <c r="AK109" s="145">
        <f t="shared" si="152"/>
        <v>-9.4469188857770945</v>
      </c>
      <c r="AL109" s="145">
        <f>+AM109</f>
        <v>-4.7580993026975165</v>
      </c>
      <c r="AM109" s="145">
        <f t="shared" ref="AM109:AS109" si="153">+AM108-AM107</f>
        <v>-4.7580993026975165</v>
      </c>
      <c r="AN109" s="145">
        <f t="shared" si="153"/>
        <v>-24.082545928725608</v>
      </c>
      <c r="AO109" s="145">
        <f t="shared" si="153"/>
        <v>-2.1369209855868831</v>
      </c>
      <c r="AP109" s="145">
        <f t="shared" si="153"/>
        <v>-21.945624943138654</v>
      </c>
      <c r="AQ109" s="145">
        <f t="shared" si="153"/>
        <v>-4.3833856265679003</v>
      </c>
      <c r="AR109" s="145">
        <f t="shared" si="153"/>
        <v>-17.562239316570754</v>
      </c>
      <c r="AS109" s="145">
        <f t="shared" si="153"/>
        <v>-10.13043483806122</v>
      </c>
      <c r="AT109" s="145">
        <f>+AU109</f>
        <v>-7.4318044785095339</v>
      </c>
      <c r="AU109" s="145">
        <f>+AU108-AU107</f>
        <v>-7.4318044785095339</v>
      </c>
      <c r="AV109" s="145"/>
      <c r="AW109" s="145">
        <f>+AW108-AW107</f>
        <v>-15.044285648966692</v>
      </c>
    </row>
    <row r="110" spans="1:49" x14ac:dyDescent="0.25">
      <c r="A110" s="116" t="s">
        <v>213</v>
      </c>
      <c r="B110" s="145">
        <f>+'APM utregning'!B110</f>
        <v>54688.84</v>
      </c>
      <c r="C110" s="145">
        <f>+'APM utregning'!C110</f>
        <v>58402.023000000001</v>
      </c>
      <c r="D110" s="145">
        <f>+'APM utregning'!D110</f>
        <v>52418.17</v>
      </c>
      <c r="E110" s="145">
        <f>+'APM utregning'!E110</f>
        <v>55008.016000000003</v>
      </c>
      <c r="F110" s="145">
        <v>49828.324000000001</v>
      </c>
      <c r="G110" s="145">
        <v>49828.324000000001</v>
      </c>
      <c r="H110" s="145">
        <v>45141.581625000006</v>
      </c>
      <c r="I110" s="145">
        <v>48004.548000000003</v>
      </c>
      <c r="J110" s="145">
        <v>44187.2595</v>
      </c>
      <c r="K110" s="145">
        <v>44968.029000000002</v>
      </c>
      <c r="L110" s="145">
        <v>42364.311499999996</v>
      </c>
      <c r="M110" s="145">
        <v>43406.49</v>
      </c>
      <c r="N110" s="145">
        <f>+O110</f>
        <v>41322.133000000002</v>
      </c>
      <c r="O110" s="145">
        <f>'APM utregning'!O110</f>
        <v>41322.133000000002</v>
      </c>
      <c r="P110" s="145">
        <v>40126.764999999999</v>
      </c>
      <c r="Q110" s="145">
        <v>41706.021999999997</v>
      </c>
      <c r="R110" s="76">
        <f>'APM utregning'!R110</f>
        <v>39600.345999999998</v>
      </c>
      <c r="S110" s="76">
        <f>'APM utregning'!S110</f>
        <v>40252.216</v>
      </c>
      <c r="T110" s="76">
        <v>39274.411</v>
      </c>
      <c r="U110" s="76">
        <v>40291.85</v>
      </c>
      <c r="V110" s="119">
        <v>38256.972000000002</v>
      </c>
      <c r="W110" s="145">
        <v>38256.972000000002</v>
      </c>
      <c r="X110" s="119">
        <f>(+Y110+AA110+AC110+AE110)/4</f>
        <v>38116.029126499998</v>
      </c>
      <c r="Y110" s="145">
        <f>'APM utregning'!Y110</f>
        <v>38462.310984899996</v>
      </c>
      <c r="Z110" s="145">
        <f>(+AA110+AC110+AE110)/3</f>
        <v>38000.601840366668</v>
      </c>
      <c r="AA110" s="145">
        <f>'APM utregning'!AA110</f>
        <v>38445.296817800001</v>
      </c>
      <c r="AB110" s="145">
        <f>(+AC110+AE110)/2</f>
        <v>37778.254351650001</v>
      </c>
      <c r="AC110" s="145">
        <f>'APM utregning'!AC110</f>
        <v>38284.284064300002</v>
      </c>
      <c r="AD110" s="145">
        <f>+AE110</f>
        <v>37272.224639</v>
      </c>
      <c r="AE110" s="145">
        <f>'APM utregning'!AE110</f>
        <v>37272.224639</v>
      </c>
      <c r="AF110" s="145">
        <f>(+AG110+AI110+AK110+AM110)/4</f>
        <v>35749.898960700004</v>
      </c>
      <c r="AG110" s="145">
        <f>'APM utregning'!AG110</f>
        <v>37202.689679300005</v>
      </c>
      <c r="AH110" s="145">
        <f>(+AI110+AK110+AM110)/3</f>
        <v>35265.635387833332</v>
      </c>
      <c r="AI110" s="145">
        <f>'APM utregning'!AI110</f>
        <v>36840.272054399997</v>
      </c>
      <c r="AJ110" s="145">
        <f>(+AK110+AM110)/2</f>
        <v>34478.317054550003</v>
      </c>
      <c r="AK110" s="145">
        <f>'APM utregning'!AK110</f>
        <v>36189.578928800001</v>
      </c>
      <c r="AL110" s="145">
        <f>+AM110</f>
        <v>32767.055180300002</v>
      </c>
      <c r="AM110" s="145">
        <f>'APM utregning'!AM110</f>
        <v>32767.055180300002</v>
      </c>
      <c r="AN110" s="145">
        <f>(+AO110+AQ110+AS110+AU110)/4</f>
        <v>31038.21907685</v>
      </c>
      <c r="AO110" s="145">
        <f>'APM utregning'!AO110</f>
        <v>32853.564564499997</v>
      </c>
      <c r="AP110" s="145">
        <f>(+AQ110+AS110+AU110)/3</f>
        <v>30433.103914299998</v>
      </c>
      <c r="AQ110" s="145">
        <f>'APM utregning'!AQ110</f>
        <v>31244.033338599998</v>
      </c>
      <c r="AR110" s="145">
        <f>(+AS110+AU110)/2</f>
        <v>30027.63920215</v>
      </c>
      <c r="AS110" s="145">
        <f>'APM utregning'!AS110</f>
        <v>30498.2455085</v>
      </c>
      <c r="AT110" s="145">
        <f>+AU110</f>
        <v>29557.032895799999</v>
      </c>
      <c r="AU110" s="145">
        <f>'APM utregning'!AU110</f>
        <v>29557.032895799999</v>
      </c>
      <c r="AV110" s="91"/>
      <c r="AW110" s="145">
        <f>'APM utregning'!AW110</f>
        <v>30785.899142099999</v>
      </c>
    </row>
    <row r="111" spans="1:49" ht="15.75" thickBot="1" x14ac:dyDescent="0.3">
      <c r="A111" s="121" t="s">
        <v>210</v>
      </c>
      <c r="B111" s="124">
        <f>+'APM utregning'!B111</f>
        <v>-3.2360449513296175E-3</v>
      </c>
      <c r="C111" s="124">
        <f>+'APM utregning'!C111</f>
        <v>-3.102828921873209E-3</v>
      </c>
      <c r="D111" s="124">
        <f>+'APM utregning'!D111</f>
        <v>-3.2351501844974616E-3</v>
      </c>
      <c r="E111" s="124">
        <f>+'APM utregning'!E111</f>
        <v>-3.7032203383961706E-3</v>
      </c>
      <c r="F111" s="124">
        <v>-2.9223780037126402E-3</v>
      </c>
      <c r="G111" s="124">
        <v>-2.9223780037126402E-3</v>
      </c>
      <c r="H111" s="124">
        <v>-1.533409976038285E-3</v>
      </c>
      <c r="I111" s="124">
        <v>-2.120227145877251E-3</v>
      </c>
      <c r="J111" s="124">
        <v>-1.408190462388181E-3</v>
      </c>
      <c r="K111" s="124">
        <v>-2.3966927222757966E-3</v>
      </c>
      <c r="L111" s="124">
        <v>-9.2824327673688778E-4</v>
      </c>
      <c r="M111" s="124">
        <v>-2.6131046516569049E-3</v>
      </c>
      <c r="N111" s="124">
        <f t="shared" ref="N111:O111" si="154">N109/N110*365/N96</f>
        <v>6.4917064037873834E-4</v>
      </c>
      <c r="O111" s="124">
        <f t="shared" si="154"/>
        <v>6.4917064037873834E-4</v>
      </c>
      <c r="P111" s="124">
        <v>7.2981094936345981E-4</v>
      </c>
      <c r="Q111" s="124">
        <v>1.4617283689710419E-3</v>
      </c>
      <c r="R111" s="124">
        <f>'APM utregning'!R111</f>
        <v>3.6993550072558377E-4</v>
      </c>
      <c r="S111" s="124">
        <f>'APM utregning'!S111</f>
        <v>9.2116805650175194E-4</v>
      </c>
      <c r="T111" s="124">
        <v>2.3480487413436106E-4</v>
      </c>
      <c r="U111" s="124">
        <v>2.963952543702637E-4</v>
      </c>
      <c r="V111" s="124">
        <v>1.6914839644566442E-4</v>
      </c>
      <c r="W111" s="124">
        <v>1.6914839644566442E-4</v>
      </c>
      <c r="X111" s="124">
        <f>X109/X110*365/X96</f>
        <v>-4.0868260860385129E-4</v>
      </c>
      <c r="Y111" s="124">
        <f>Y109/Y110*365/Y96</f>
        <v>-2.1777084459268973E-4</v>
      </c>
      <c r="Z111" s="124">
        <f t="shared" ref="Z111:AW111" si="155">Z109/Z110*365/Z96</f>
        <v>-4.7378722461344837E-4</v>
      </c>
      <c r="AA111" s="124">
        <f t="shared" si="155"/>
        <v>-4.9568786999920687E-4</v>
      </c>
      <c r="AB111" s="124">
        <f t="shared" si="155"/>
        <v>-4.6241263417009712E-4</v>
      </c>
      <c r="AC111" s="124">
        <f t="shared" si="155"/>
        <v>-4.4209426183266452E-4</v>
      </c>
      <c r="AD111" s="124">
        <f t="shared" si="155"/>
        <v>-4.834448493071748E-4</v>
      </c>
      <c r="AE111" s="124">
        <f t="shared" si="155"/>
        <v>-4.834448493071748E-4</v>
      </c>
      <c r="AF111" s="124">
        <f t="shared" si="155"/>
        <v>-1.1008484146303613E-3</v>
      </c>
      <c r="AG111" s="124">
        <f t="shared" si="155"/>
        <v>-1.2670515075567273E-3</v>
      </c>
      <c r="AH111" s="124">
        <f t="shared" si="155"/>
        <v>-1.041595981415476E-3</v>
      </c>
      <c r="AI111" s="124">
        <f t="shared" si="155"/>
        <v>-1.4289516168107222E-3</v>
      </c>
      <c r="AJ111" s="124">
        <f t="shared" si="155"/>
        <v>-8.3082589623050083E-4</v>
      </c>
      <c r="AK111" s="124">
        <f t="shared" si="155"/>
        <v>-1.0470275963449269E-3</v>
      </c>
      <c r="AL111" s="124">
        <f t="shared" si="155"/>
        <v>-5.8890663060076848E-4</v>
      </c>
      <c r="AM111" s="124">
        <f t="shared" si="155"/>
        <v>-5.8890663060076848E-4</v>
      </c>
      <c r="AN111" s="124">
        <f t="shared" si="155"/>
        <v>-7.758997341019378E-4</v>
      </c>
      <c r="AO111" s="124">
        <f t="shared" si="155"/>
        <v>-2.5805424308376917E-4</v>
      </c>
      <c r="AP111" s="124">
        <f t="shared" si="155"/>
        <v>-9.6060314778533495E-4</v>
      </c>
      <c r="AQ111" s="124">
        <f t="shared" si="155"/>
        <v>-5.5660566707191924E-4</v>
      </c>
      <c r="AR111" s="124">
        <f t="shared" si="155"/>
        <v>-1.1729518333575949E-3</v>
      </c>
      <c r="AS111" s="124">
        <f t="shared" si="155"/>
        <v>-1.332308207719004E-3</v>
      </c>
      <c r="AT111" s="124">
        <f t="shared" si="155"/>
        <v>-1.0085209229291905E-3</v>
      </c>
      <c r="AU111" s="124">
        <f t="shared" si="155"/>
        <v>-1.0085209229291905E-3</v>
      </c>
      <c r="AV111" s="124"/>
      <c r="AW111" s="124">
        <f t="shared" si="155"/>
        <v>-1.9387631911719386E-3</v>
      </c>
    </row>
    <row r="112" spans="1:49" x14ac:dyDescent="0.25">
      <c r="A112" s="118"/>
      <c r="B112" s="142"/>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row>
    <row r="113" spans="1:49" x14ac:dyDescent="0.25">
      <c r="A113" s="118"/>
      <c r="B113" s="88"/>
      <c r="C113" s="88"/>
      <c r="D113" s="88"/>
      <c r="E113" s="88"/>
      <c r="F113" s="88"/>
      <c r="G113" s="88"/>
      <c r="H113" s="88"/>
      <c r="I113" s="88"/>
      <c r="J113" s="88"/>
      <c r="K113" s="88"/>
      <c r="L113" s="88"/>
      <c r="M113" s="88"/>
      <c r="P113" s="88"/>
      <c r="Q113" s="88"/>
      <c r="R113" s="88"/>
      <c r="S113" s="88"/>
      <c r="V113" s="88"/>
      <c r="W113" s="88"/>
      <c r="X113" s="88"/>
      <c r="Y113" s="88"/>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row>
    <row r="114" spans="1:49" x14ac:dyDescent="0.25">
      <c r="A114" s="116" t="s">
        <v>211</v>
      </c>
      <c r="B114" s="145">
        <f>+'APM utregning'!B114</f>
        <v>126.26499999999999</v>
      </c>
      <c r="C114" s="145">
        <f>+'APM utregning'!C114</f>
        <v>40.874000000000002</v>
      </c>
      <c r="D114" s="145">
        <f>+'APM utregning'!D114</f>
        <v>85.390999999999991</v>
      </c>
      <c r="E114" s="145">
        <f>+'APM utregning'!E114</f>
        <v>41.427999999999997</v>
      </c>
      <c r="F114" s="145">
        <v>43.963000000000001</v>
      </c>
      <c r="G114" s="145">
        <v>43.963000000000001</v>
      </c>
      <c r="H114" s="145">
        <v>323.68700000000001</v>
      </c>
      <c r="I114" s="145">
        <v>46.716999999999999</v>
      </c>
      <c r="J114" s="119">
        <v>280.97000000000003</v>
      </c>
      <c r="K114" s="145">
        <v>53.893000000000001</v>
      </c>
      <c r="L114" s="119">
        <v>227.077</v>
      </c>
      <c r="M114" s="145">
        <v>104.057</v>
      </c>
      <c r="N114" s="119">
        <f>+O114</f>
        <v>123.02</v>
      </c>
      <c r="O114" s="145">
        <f>'APM utregning'!O114</f>
        <v>123.02</v>
      </c>
      <c r="P114" s="145">
        <v>389.05600000000004</v>
      </c>
      <c r="Q114" s="145">
        <v>115.27800000000001</v>
      </c>
      <c r="R114" s="76">
        <f>'APM utregning'!R114</f>
        <v>273.77800000000002</v>
      </c>
      <c r="S114" s="76">
        <f>'APM utregning'!S114</f>
        <v>102.33199999999999</v>
      </c>
      <c r="T114" s="76">
        <v>171.44600000000003</v>
      </c>
      <c r="U114" s="76">
        <v>88.159000000000006</v>
      </c>
      <c r="V114" s="119">
        <v>83.287000000000006</v>
      </c>
      <c r="W114" s="145">
        <v>83.287000000000006</v>
      </c>
      <c r="X114" s="119">
        <f>+Y114+AA114+AC114+AE114</f>
        <v>309.61847620000003</v>
      </c>
      <c r="Y114" s="145">
        <f>'APM utregning'!Y114</f>
        <v>80.693138000000005</v>
      </c>
      <c r="Z114" s="145">
        <f>+AA114+AC114+AE114</f>
        <v>228.9253382</v>
      </c>
      <c r="AA114" s="145">
        <f>'APM utregning'!AA114</f>
        <v>79.506763199999995</v>
      </c>
      <c r="AB114" s="145">
        <f>+AC114+AE114</f>
        <v>149.418575</v>
      </c>
      <c r="AC114" s="145">
        <f>'APM utregning'!AC114</f>
        <v>74.793245200000001</v>
      </c>
      <c r="AD114" s="145">
        <f>+AE114</f>
        <v>74.625329800000003</v>
      </c>
      <c r="AE114" s="145">
        <f>'APM utregning'!AE114</f>
        <v>74.625329800000003</v>
      </c>
      <c r="AF114" s="145">
        <f>+AG114+AI114+AK114+AM114</f>
        <v>283.57676700000002</v>
      </c>
      <c r="AG114" s="145">
        <f>'APM utregning'!AG114</f>
        <v>73.310908699999999</v>
      </c>
      <c r="AH114" s="145">
        <f>+AI114+AK114+AM114</f>
        <v>210.26585830000002</v>
      </c>
      <c r="AI114" s="145">
        <f>'APM utregning'!AI114</f>
        <v>72.821505799999997</v>
      </c>
      <c r="AJ114" s="145">
        <f>+AK114+AM114</f>
        <v>137.44435250000001</v>
      </c>
      <c r="AK114" s="145">
        <f>'APM utregning'!AK114</f>
        <v>70.104614400000003</v>
      </c>
      <c r="AL114" s="145">
        <f>+AM114</f>
        <v>67.339738100000005</v>
      </c>
      <c r="AM114" s="145">
        <f>'APM utregning'!AM114</f>
        <v>67.339738100000005</v>
      </c>
      <c r="AN114" s="145">
        <f>+AO114+AQ114+AS114+AU114</f>
        <v>280.47812749999997</v>
      </c>
      <c r="AO114" s="145">
        <f>'APM utregning'!AO114</f>
        <v>65.926398499999991</v>
      </c>
      <c r="AP114" s="145">
        <f>+AQ114+AS114+AU114</f>
        <v>214.55172899999997</v>
      </c>
      <c r="AQ114" s="145">
        <f>'APM utregning'!AQ114</f>
        <v>66.077095700000001</v>
      </c>
      <c r="AR114" s="145">
        <f>+AS114+AU114</f>
        <v>148.47463329999999</v>
      </c>
      <c r="AS114" s="145">
        <f>'APM utregning'!AS114</f>
        <v>72.408209799999995</v>
      </c>
      <c r="AT114" s="145">
        <f>+AU114</f>
        <v>76.066423499999999</v>
      </c>
      <c r="AU114" s="145">
        <f>'APM utregning'!AU114</f>
        <v>76.066423499999999</v>
      </c>
      <c r="AV114" s="91"/>
      <c r="AW114" s="145">
        <f>'APM utregning'!AW114</f>
        <v>93.948754100000002</v>
      </c>
    </row>
    <row r="115" spans="1:49" x14ac:dyDescent="0.25">
      <c r="A115" s="117" t="s">
        <v>198</v>
      </c>
      <c r="B115" s="148">
        <f>+'APM utregning'!B115</f>
        <v>135.05057213036989</v>
      </c>
      <c r="C115" s="148">
        <f>+'APM utregning'!C115</f>
        <v>48.651746947791786</v>
      </c>
      <c r="D115" s="148">
        <f>+'APM utregning'!D115</f>
        <v>86.398825182578094</v>
      </c>
      <c r="E115" s="148">
        <f>+'APM utregning'!E115</f>
        <v>32.609332336901367</v>
      </c>
      <c r="F115" s="148">
        <v>53.789492845676719</v>
      </c>
      <c r="G115" s="148">
        <v>53.789492845676719</v>
      </c>
      <c r="H115" s="148">
        <v>308.2920903790241</v>
      </c>
      <c r="I115" s="148">
        <v>45.726059551824648</v>
      </c>
      <c r="J115" s="122">
        <v>264.50580316043181</v>
      </c>
      <c r="K115" s="148">
        <v>33.762325815671232</v>
      </c>
      <c r="L115" s="122">
        <v>230.74347734476055</v>
      </c>
      <c r="M115" s="148">
        <v>52.284422687386304</v>
      </c>
      <c r="N115" s="122">
        <f>+O115</f>
        <v>176.51928232414195</v>
      </c>
      <c r="O115" s="148">
        <f>(+O117*O95/100*O96/365)</f>
        <v>176.51928232414195</v>
      </c>
      <c r="P115" s="148">
        <v>643.65646775631376</v>
      </c>
      <c r="Q115" s="148">
        <v>194.0766482167233</v>
      </c>
      <c r="R115" s="21">
        <f>'APM utregning'!R115</f>
        <v>449.57981953959046</v>
      </c>
      <c r="S115" s="21">
        <f>'APM utregning'!S115</f>
        <v>172.5861907671233</v>
      </c>
      <c r="T115" s="21">
        <v>276.99362877246716</v>
      </c>
      <c r="U115" s="21">
        <v>147.74475030945348</v>
      </c>
      <c r="V115" s="122">
        <v>129.24887846301368</v>
      </c>
      <c r="W115" s="148">
        <v>129.24887846301368</v>
      </c>
      <c r="X115" s="122">
        <f>+Y115+AA115+AC115+AE115</f>
        <v>415.51336204558345</v>
      </c>
      <c r="Y115" s="148">
        <f>(+Y117*Y95/100*Y96/365)</f>
        <v>119.88117975628907</v>
      </c>
      <c r="Z115" s="148">
        <f>+AA115+AC115+AE115</f>
        <v>295.63218228929441</v>
      </c>
      <c r="AA115" s="148">
        <f>(+AA117*AA95/100*AA96/365)</f>
        <v>106.44518600772123</v>
      </c>
      <c r="AB115" s="148">
        <f>+AC115+AE115</f>
        <v>189.18699628157316</v>
      </c>
      <c r="AC115" s="148">
        <f>(+AC117*AC95/100*AC96/365)</f>
        <v>101.66787993013209</v>
      </c>
      <c r="AD115" s="148">
        <f>+AE115</f>
        <v>87.51911635144107</v>
      </c>
      <c r="AE115" s="148">
        <f>(+AE117*AE95/100*AE96/365)</f>
        <v>87.51911635144107</v>
      </c>
      <c r="AF115" s="148">
        <f>+AG115+AI115+AK115+AM115</f>
        <v>321.14165116571178</v>
      </c>
      <c r="AG115" s="148">
        <f>(+AG117*AG95/100*AG96/365)</f>
        <v>75.714896372405917</v>
      </c>
      <c r="AH115" s="148">
        <f>+AI115+AK115+AM115</f>
        <v>245.42675479330589</v>
      </c>
      <c r="AI115" s="148">
        <f>(+AI117*AI95/100*AI96/365)</f>
        <v>75.706899423774914</v>
      </c>
      <c r="AJ115" s="148">
        <f>+AK115+AM115</f>
        <v>169.71985536953099</v>
      </c>
      <c r="AK115" s="148">
        <f>(+AK117*AK95/100*AK96/365)</f>
        <v>81.769109954337537</v>
      </c>
      <c r="AL115" s="148">
        <f>+AM115</f>
        <v>87.950745415193438</v>
      </c>
      <c r="AM115" s="148">
        <f>(+AM117*AM95/100*AM96/365)</f>
        <v>87.950745415193438</v>
      </c>
      <c r="AN115" s="148">
        <f>+AO115+AQ115+AS115+AU115</f>
        <v>368.12880581065951</v>
      </c>
      <c r="AO115" s="148">
        <f>(+AO117*AO95/100*AO96/365)</f>
        <v>98.248903826156706</v>
      </c>
      <c r="AP115" s="148">
        <f>+AQ115+AS115+AU115</f>
        <v>269.87990198450285</v>
      </c>
      <c r="AQ115" s="148">
        <f>(+AQ117*AQ95/100*AQ96/365)</f>
        <v>93.935591610306844</v>
      </c>
      <c r="AR115" s="148">
        <f>+AS115+AU115</f>
        <v>175.94431037419599</v>
      </c>
      <c r="AS115" s="148">
        <f>(+AS117*AS95/100*AS96/365)</f>
        <v>84.077926863615616</v>
      </c>
      <c r="AT115" s="148">
        <f>+AU115</f>
        <v>91.866383510580391</v>
      </c>
      <c r="AU115" s="148">
        <f>(+AU117*AU95/100*AU96/365)</f>
        <v>91.866383510580391</v>
      </c>
      <c r="AV115" s="150"/>
      <c r="AW115" s="148">
        <f>(+AW117*AW95/100*AW96/365)</f>
        <v>95.271746183981151</v>
      </c>
    </row>
    <row r="116" spans="1:49" x14ac:dyDescent="0.25">
      <c r="A116" s="116" t="s">
        <v>212</v>
      </c>
      <c r="B116" s="145">
        <f>+'APM utregning'!B116</f>
        <v>8.7855721303698999</v>
      </c>
      <c r="C116" s="145">
        <f>+'APM utregning'!C116</f>
        <v>7.7777469477917833</v>
      </c>
      <c r="D116" s="145">
        <f>+'APM utregning'!D116</f>
        <v>1.0078251825781024</v>
      </c>
      <c r="E116" s="145">
        <f>+'APM utregning'!E116</f>
        <v>-8.8186676630986298</v>
      </c>
      <c r="F116" s="145">
        <v>9.826492845676718</v>
      </c>
      <c r="G116" s="145">
        <v>9.826492845676718</v>
      </c>
      <c r="H116" s="145">
        <v>-15.394909620975909</v>
      </c>
      <c r="I116" s="145">
        <v>-0.99094044817535121</v>
      </c>
      <c r="J116" s="119">
        <v>-16.464196839568217</v>
      </c>
      <c r="K116" s="145">
        <v>-20.130674184328768</v>
      </c>
      <c r="L116" s="119">
        <v>3.6664773447605512</v>
      </c>
      <c r="M116" s="145">
        <v>-51.772577312613699</v>
      </c>
      <c r="N116" s="119">
        <f t="shared" ref="N116:O116" si="156">+N115-N114</f>
        <v>53.499282324141959</v>
      </c>
      <c r="O116" s="145">
        <f t="shared" si="156"/>
        <v>53.499282324141959</v>
      </c>
      <c r="P116" s="145">
        <v>254.60046775631372</v>
      </c>
      <c r="Q116" s="145">
        <v>78.798648216723294</v>
      </c>
      <c r="R116" s="76">
        <f>'APM utregning'!R116</f>
        <v>175.80181953959044</v>
      </c>
      <c r="S116" s="76">
        <f>'APM utregning'!S116</f>
        <v>70.254190767123305</v>
      </c>
      <c r="T116" s="76">
        <v>105.54762877246714</v>
      </c>
      <c r="U116" s="76">
        <v>59.585750309453474</v>
      </c>
      <c r="V116" s="119">
        <v>45.961878463013676</v>
      </c>
      <c r="W116" s="145">
        <v>45.961878463013676</v>
      </c>
      <c r="X116" s="119">
        <f t="shared" ref="X116" si="157">+X115-X114</f>
        <v>105.89488584558342</v>
      </c>
      <c r="Y116" s="145">
        <f t="shared" ref="Y116" si="158">+Y115-Y114</f>
        <v>39.188041756289067</v>
      </c>
      <c r="Z116" s="145">
        <f t="shared" ref="Z116:AU116" si="159">+Z115-Z114</f>
        <v>66.706844089294407</v>
      </c>
      <c r="AA116" s="145">
        <f t="shared" si="159"/>
        <v>26.938422807721238</v>
      </c>
      <c r="AB116" s="145">
        <f t="shared" si="159"/>
        <v>39.768421281573154</v>
      </c>
      <c r="AC116" s="145">
        <f t="shared" si="159"/>
        <v>26.874634730132087</v>
      </c>
      <c r="AD116" s="145">
        <f t="shared" si="159"/>
        <v>12.893786551441067</v>
      </c>
      <c r="AE116" s="145">
        <f t="shared" si="159"/>
        <v>12.893786551441067</v>
      </c>
      <c r="AF116" s="145">
        <f t="shared" si="159"/>
        <v>37.56488416571176</v>
      </c>
      <c r="AG116" s="145">
        <f t="shared" si="159"/>
        <v>2.4039876724059184</v>
      </c>
      <c r="AH116" s="145">
        <f t="shared" si="159"/>
        <v>35.16089649330587</v>
      </c>
      <c r="AI116" s="145">
        <f t="shared" si="159"/>
        <v>2.8853936237749167</v>
      </c>
      <c r="AJ116" s="145">
        <f t="shared" si="159"/>
        <v>32.275502869530982</v>
      </c>
      <c r="AK116" s="145">
        <f t="shared" si="159"/>
        <v>11.664495554337535</v>
      </c>
      <c r="AL116" s="145">
        <f t="shared" si="159"/>
        <v>20.611007315193433</v>
      </c>
      <c r="AM116" s="145">
        <f t="shared" si="159"/>
        <v>20.611007315193433</v>
      </c>
      <c r="AN116" s="145">
        <f t="shared" si="159"/>
        <v>87.650678310659544</v>
      </c>
      <c r="AO116" s="145">
        <f t="shared" si="159"/>
        <v>32.322505326156715</v>
      </c>
      <c r="AP116" s="145">
        <f t="shared" si="159"/>
        <v>55.328172984502885</v>
      </c>
      <c r="AQ116" s="145">
        <f t="shared" si="159"/>
        <v>27.858495910306843</v>
      </c>
      <c r="AR116" s="145">
        <f t="shared" si="159"/>
        <v>27.469677074195999</v>
      </c>
      <c r="AS116" s="145">
        <f t="shared" si="159"/>
        <v>11.669717063615622</v>
      </c>
      <c r="AT116" s="145">
        <f t="shared" si="159"/>
        <v>15.799960010580392</v>
      </c>
      <c r="AU116" s="145">
        <f t="shared" si="159"/>
        <v>15.799960010580392</v>
      </c>
      <c r="AV116" s="145"/>
      <c r="AW116" s="145">
        <f>+AW115-AW114</f>
        <v>1.3229920839811484</v>
      </c>
    </row>
    <row r="117" spans="1:49" x14ac:dyDescent="0.25">
      <c r="A117" s="116" t="s">
        <v>214</v>
      </c>
      <c r="B117" s="145">
        <f>+'APM utregning'!B117</f>
        <v>49450.400999999998</v>
      </c>
      <c r="C117" s="145">
        <f>+'APM utregning'!C117</f>
        <v>50835.006000000001</v>
      </c>
      <c r="D117" s="145">
        <f>+'APM utregning'!D117</f>
        <v>48742.966499999995</v>
      </c>
      <c r="E117" s="145">
        <f>+'APM utregning'!E117</f>
        <v>49412.796999999999</v>
      </c>
      <c r="F117" s="145">
        <v>48073.135999999999</v>
      </c>
      <c r="G117" s="145">
        <v>48073.135999999999</v>
      </c>
      <c r="H117" s="145">
        <v>49762.922500000001</v>
      </c>
      <c r="I117" s="145">
        <v>47515.235999999997</v>
      </c>
      <c r="J117" s="119">
        <v>50512.151333333335</v>
      </c>
      <c r="K117" s="145">
        <v>47849.2</v>
      </c>
      <c r="L117" s="119">
        <v>44343.627</v>
      </c>
      <c r="M117" s="145">
        <v>45932.351999999999</v>
      </c>
      <c r="N117" s="119">
        <f>+O117</f>
        <v>42754.902000000002</v>
      </c>
      <c r="O117" s="145">
        <f>'APM utregning'!O117</f>
        <v>42754.902000000002</v>
      </c>
      <c r="P117" s="145">
        <v>41304.852500000001</v>
      </c>
      <c r="Q117" s="145">
        <v>41911.32</v>
      </c>
      <c r="R117" s="76">
        <f>'APM utregning'!R117</f>
        <v>41102.696666666663</v>
      </c>
      <c r="S117" s="76">
        <f>'APM utregning'!S117</f>
        <v>42007.175000000003</v>
      </c>
      <c r="T117" s="76">
        <v>40650.457500000004</v>
      </c>
      <c r="U117" s="76">
        <v>40667.116000000002</v>
      </c>
      <c r="V117" s="119">
        <v>40633.798999999999</v>
      </c>
      <c r="W117" s="145">
        <v>40633.798999999999</v>
      </c>
      <c r="X117" s="119">
        <f>(+Y117+AA117+AC117+AE117)/4</f>
        <v>38820.322883275003</v>
      </c>
      <c r="Y117" s="145">
        <f>'APM utregning'!Y117</f>
        <v>39967.693287399998</v>
      </c>
      <c r="Z117" s="145">
        <f>(+AA117+AC117+AE117)/3</f>
        <v>38437.8660819</v>
      </c>
      <c r="AA117" s="145">
        <f>'APM utregning'!AA117</f>
        <v>39840.538241200004</v>
      </c>
      <c r="AB117" s="145">
        <f>(+AC117+AE117)/2</f>
        <v>37736.530002250001</v>
      </c>
      <c r="AC117" s="145">
        <f>'APM utregning'!AC117</f>
        <v>38111.098053300004</v>
      </c>
      <c r="AD117" s="145">
        <f>+AE117</f>
        <v>37361.961951199999</v>
      </c>
      <c r="AE117" s="145">
        <f>'APM utregning'!AE117</f>
        <v>37361.961951199999</v>
      </c>
      <c r="AF117" s="145">
        <f>(+AG117+AI117+AK117+AM117)/4</f>
        <v>36196.3966363</v>
      </c>
      <c r="AG117" s="145">
        <f>'APM utregning'!AG117</f>
        <v>37085.2619108</v>
      </c>
      <c r="AH117" s="145">
        <f>(+AI117+AK117+AM117)/3</f>
        <v>35900.108211466664</v>
      </c>
      <c r="AI117" s="145">
        <f>'APM utregning'!AI117</f>
        <v>37081.344994200001</v>
      </c>
      <c r="AJ117" s="145">
        <f>(+AK117+AM117)/2</f>
        <v>35309.489820100003</v>
      </c>
      <c r="AK117" s="145">
        <f>'APM utregning'!AK117</f>
        <v>35649.456681000003</v>
      </c>
      <c r="AL117" s="145">
        <f>AM117</f>
        <v>34969.522959200003</v>
      </c>
      <c r="AM117" s="145">
        <f>'APM utregning'!AM117</f>
        <v>34969.522959200003</v>
      </c>
      <c r="AN117" s="145">
        <f>(+AO117+AQ117+AS117+AU117)/4</f>
        <v>34457.630057400005</v>
      </c>
      <c r="AO117" s="145">
        <f>'APM utregning'!AO117</f>
        <v>34802.843455499999</v>
      </c>
      <c r="AP117" s="145">
        <f>(+AQ117+AS117+AU117)/3</f>
        <v>34342.55892470001</v>
      </c>
      <c r="AQ117" s="145">
        <f>'APM utregning'!AQ117</f>
        <v>35158.419747500004</v>
      </c>
      <c r="AR117" s="145">
        <f>(+AS117+AU117)/2</f>
        <v>33934.628513300006</v>
      </c>
      <c r="AS117" s="145">
        <f>'APM utregning'!AS117</f>
        <v>34064.206133</v>
      </c>
      <c r="AT117" s="145">
        <f>AU117</f>
        <v>33805.050893600004</v>
      </c>
      <c r="AU117" s="145">
        <f>'APM utregning'!AU117</f>
        <v>33805.050893600004</v>
      </c>
      <c r="AV117" s="74"/>
      <c r="AW117" s="145">
        <f>'APM utregning'!AW117</f>
        <v>33449.5838372</v>
      </c>
    </row>
    <row r="118" spans="1:49" ht="15.75" thickBot="1" x14ac:dyDescent="0.3">
      <c r="A118" s="121" t="s">
        <v>215</v>
      </c>
      <c r="B118" s="124">
        <f>+'APM utregning'!B118</f>
        <v>2.3753655216510097E-4</v>
      </c>
      <c r="C118" s="124">
        <f>+'APM utregning'!C118</f>
        <v>6.0701016949003535E-4</v>
      </c>
      <c r="D118" s="124">
        <f>+'APM utregning'!D118</f>
        <v>1.4169534182845267E-4</v>
      </c>
      <c r="E118" s="124">
        <f>+'APM utregning'!E118</f>
        <v>-7.158384312519841E-4</v>
      </c>
      <c r="F118" s="124">
        <v>8.2898456326858168E-4</v>
      </c>
      <c r="G118" s="124">
        <v>8.2898456326858168E-4</v>
      </c>
      <c r="H118" s="124">
        <v>-3.0936506233081285E-4</v>
      </c>
      <c r="I118" s="124">
        <v>-8.2967484556857075E-5</v>
      </c>
      <c r="J118" s="124">
        <v>-4.3261826837274532E-4</v>
      </c>
      <c r="K118" s="124">
        <v>-1.8691242844094621E-3</v>
      </c>
      <c r="L118" s="124">
        <v>1.6491477555939532E-4</v>
      </c>
      <c r="M118" s="124">
        <v>-4.7209798677732093E-3</v>
      </c>
      <c r="N118" s="124">
        <f>+N116/N117*365/N96</f>
        <v>5.0189574402002375E-3</v>
      </c>
      <c r="O118" s="124">
        <f t="shared" ref="O118" si="160">+O116/O117*365/O96</f>
        <v>5.0189574402002375E-3</v>
      </c>
      <c r="P118" s="124">
        <v>6.0639360110610165E-3</v>
      </c>
      <c r="Q118" s="124">
        <v>7.4592036645324301E-3</v>
      </c>
      <c r="R118" s="124">
        <f>'APM utregning'!R118</f>
        <v>5.7185150324295065E-3</v>
      </c>
      <c r="S118" s="124">
        <f>'APM utregning'!S118</f>
        <v>6.6351966192317938E-3</v>
      </c>
      <c r="T118" s="124">
        <v>5.2359722090860256E-3</v>
      </c>
      <c r="U118" s="124">
        <v>5.8769298934980519E-3</v>
      </c>
      <c r="V118" s="124">
        <v>4.5873375399736642E-3</v>
      </c>
      <c r="W118" s="124">
        <v>4.5873375399736642E-3</v>
      </c>
      <c r="X118" s="124">
        <f t="shared" ref="X118" si="161">+X116/X117*365/X96</f>
        <v>2.7278208417788872E-3</v>
      </c>
      <c r="Y118" s="124">
        <f t="shared" ref="Y118" si="162">+Y116/Y117*365/Y96</f>
        <v>3.8899992296361715E-3</v>
      </c>
      <c r="Z118" s="124">
        <f t="shared" ref="Z118:AU118" si="163">+Z116/Z117*365/Z96</f>
        <v>2.3202850545850028E-3</v>
      </c>
      <c r="AA118" s="124">
        <f t="shared" si="163"/>
        <v>2.6825758164500967E-3</v>
      </c>
      <c r="AB118" s="124">
        <f t="shared" si="163"/>
        <v>2.1251553246278651E-3</v>
      </c>
      <c r="AC118" s="124">
        <f t="shared" si="163"/>
        <v>2.8284114098772249E-3</v>
      </c>
      <c r="AD118" s="124">
        <f t="shared" si="163"/>
        <v>1.3995910533056153E-3</v>
      </c>
      <c r="AE118" s="124">
        <f t="shared" si="163"/>
        <v>1.3995910533056153E-3</v>
      </c>
      <c r="AF118" s="124">
        <f t="shared" si="163"/>
        <v>1.0378072862655991E-3</v>
      </c>
      <c r="AG118" s="124">
        <f t="shared" si="163"/>
        <v>2.5717924846271813E-4</v>
      </c>
      <c r="AH118" s="124">
        <f t="shared" si="163"/>
        <v>1.309466521386197E-3</v>
      </c>
      <c r="AI118" s="124">
        <f t="shared" si="163"/>
        <v>3.0871279276347183E-4</v>
      </c>
      <c r="AJ118" s="124">
        <f t="shared" si="163"/>
        <v>1.8432993270904457E-3</v>
      </c>
      <c r="AK118" s="124">
        <f t="shared" si="163"/>
        <v>1.3123948537514044E-3</v>
      </c>
      <c r="AL118" s="124">
        <f t="shared" si="163"/>
        <v>2.3903410212445515E-3</v>
      </c>
      <c r="AM118" s="124">
        <f t="shared" si="163"/>
        <v>2.3903410212445515E-3</v>
      </c>
      <c r="AN118" s="124">
        <f t="shared" si="163"/>
        <v>2.5437233542948199E-3</v>
      </c>
      <c r="AO118" s="124">
        <f t="shared" si="163"/>
        <v>3.6846422255611684E-3</v>
      </c>
      <c r="AP118" s="124">
        <f t="shared" si="163"/>
        <v>2.1461297703935672E-3</v>
      </c>
      <c r="AQ118" s="124">
        <f t="shared" si="163"/>
        <v>3.143643975483851E-3</v>
      </c>
      <c r="AR118" s="124">
        <f t="shared" si="163"/>
        <v>1.6234238844965376E-3</v>
      </c>
      <c r="AS118" s="124">
        <f t="shared" si="163"/>
        <v>1.37408477158575E-3</v>
      </c>
      <c r="AT118" s="124">
        <f t="shared" si="163"/>
        <v>1.8746744732309121E-3</v>
      </c>
      <c r="AU118" s="124">
        <f t="shared" si="163"/>
        <v>1.8746744732309121E-3</v>
      </c>
      <c r="AV118" s="124"/>
      <c r="AW118" s="124">
        <f>+AW116/AW117*365/AW96</f>
        <v>1.5691756630677371E-4</v>
      </c>
    </row>
    <row r="119" spans="1:49" x14ac:dyDescent="0.25">
      <c r="B119" s="87"/>
      <c r="C119" s="87"/>
      <c r="D119" s="65"/>
      <c r="E119" s="65"/>
      <c r="F119" s="65"/>
      <c r="G119" s="65"/>
      <c r="H119" s="65"/>
      <c r="I119" s="65"/>
      <c r="J119" s="65"/>
      <c r="K119" s="65"/>
      <c r="L119" s="65"/>
      <c r="M119" s="65"/>
      <c r="N119" s="87"/>
      <c r="O119" s="87"/>
      <c r="P119" s="87"/>
      <c r="Q119" s="87"/>
      <c r="R119" s="87"/>
      <c r="S119" s="87"/>
      <c r="T119" s="87"/>
      <c r="U119" s="87"/>
      <c r="V119" s="87"/>
      <c r="W119" s="87"/>
      <c r="X119" s="87"/>
      <c r="Y119" s="87"/>
      <c r="Z119" s="87"/>
      <c r="AA119" s="87"/>
      <c r="AB119" s="87"/>
      <c r="AC119" s="87"/>
      <c r="AD119" s="87"/>
      <c r="AE119" s="87"/>
      <c r="AF119" s="87"/>
      <c r="AG119" s="87"/>
      <c r="AH119" s="87"/>
      <c r="AI119" s="87"/>
      <c r="AJ119" s="87"/>
      <c r="AK119" s="87"/>
      <c r="AL119" s="87"/>
      <c r="AM119" s="87"/>
      <c r="AN119" s="87"/>
      <c r="AO119" s="87"/>
      <c r="AP119" s="87"/>
      <c r="AQ119" s="87"/>
      <c r="AR119" s="87"/>
      <c r="AS119" s="87"/>
      <c r="AT119" s="87"/>
      <c r="AU119" s="87"/>
      <c r="AV119" s="87"/>
      <c r="AW119" s="87"/>
    </row>
    <row r="120" spans="1:49" x14ac:dyDescent="0.25">
      <c r="B120" s="65"/>
      <c r="C120" s="65"/>
      <c r="D120" s="65"/>
      <c r="E120" s="65"/>
      <c r="F120" s="65"/>
      <c r="G120" s="65"/>
      <c r="H120" s="65"/>
      <c r="I120" s="65"/>
      <c r="J120" s="65"/>
      <c r="K120" s="65"/>
      <c r="L120" s="65"/>
      <c r="M120" s="65"/>
      <c r="N120" s="87"/>
      <c r="O120" s="87"/>
      <c r="P120" s="87"/>
      <c r="Q120" s="87"/>
      <c r="R120" s="87"/>
      <c r="S120" s="87"/>
      <c r="T120" s="87"/>
      <c r="U120" s="87"/>
      <c r="V120" s="87"/>
      <c r="W120" s="87"/>
      <c r="X120" s="87"/>
      <c r="Y120" s="87"/>
      <c r="Z120" s="87"/>
      <c r="AA120" s="87"/>
      <c r="AB120" s="87"/>
      <c r="AC120" s="87"/>
      <c r="AD120" s="87"/>
      <c r="AE120" s="87"/>
      <c r="AF120" s="87"/>
      <c r="AG120" s="87"/>
      <c r="AH120" s="87"/>
      <c r="AI120" s="87"/>
      <c r="AJ120" s="87"/>
      <c r="AK120" s="87"/>
      <c r="AL120" s="87"/>
      <c r="AM120" s="87"/>
      <c r="AN120" s="87"/>
      <c r="AO120" s="87"/>
      <c r="AP120" s="87"/>
      <c r="AQ120" s="87"/>
      <c r="AR120" s="87"/>
      <c r="AS120" s="87"/>
      <c r="AT120" s="87"/>
      <c r="AU120" s="87"/>
      <c r="AV120" s="87"/>
      <c r="AW120" s="87"/>
    </row>
  </sheetData>
  <pageMargins left="0.7" right="0.7" top="0.75" bottom="0.75" header="0.3" footer="0.3"/>
  <pageSetup paperSize="9" orientation="portrait" r:id="rId1"/>
  <headerFooter>
    <oddFooter>&amp;L&amp;1#&amp;"Calibri"&amp;12&amp;KAF6400F O R T R O L I G</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vt:i4>
      </vt:variant>
    </vt:vector>
  </HeadingPairs>
  <TitlesOfParts>
    <vt:vector size="5" baseType="lpstr">
      <vt:lpstr>APM definisjoner</vt:lpstr>
      <vt:lpstr>APM utregning</vt:lpstr>
      <vt:lpstr>APM Definitions</vt:lpstr>
      <vt:lpstr>APM calculation</vt:lpstr>
      <vt:lpstr>'APM definisjoner'!Utskriftsområde</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Cathrine Aunvik</cp:lastModifiedBy>
  <cp:lastPrinted>2017-08-23T20:15:43Z</cp:lastPrinted>
  <dcterms:created xsi:type="dcterms:W3CDTF">2017-08-15T12:23:16Z</dcterms:created>
  <dcterms:modified xsi:type="dcterms:W3CDTF">2021-10-26T14:52:30Z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etDate">
    <vt:lpwstr>2021-10-26T14:52:30Z</vt:lpwstr>
  </property>
  <property fmtid="{D5CDD505-2E9C-101B-9397-08002B2CF9AE}" pid="4" name="MSIP_Label_e6624104-c6e2-47da-a556-f8167ffa8312_Method">
    <vt:lpwstr>Privileged</vt:lpwstr>
  </property>
  <property fmtid="{D5CDD505-2E9C-101B-9397-08002B2CF9AE}" pid="5" name="MSIP_Label_e6624104-c6e2-47da-a556-f8167ffa8312_Name">
    <vt:lpwstr>e6624104-c6e2-47da-a556-f8167ffa8312</vt:lpwstr>
  </property>
  <property fmtid="{D5CDD505-2E9C-101B-9397-08002B2CF9AE}" pid="6" name="MSIP_Label_e6624104-c6e2-47da-a556-f8167ffa8312_SiteId">
    <vt:lpwstr>156b047c-a56e-40a2-9f11-b69d58cf5508</vt:lpwstr>
  </property>
  <property fmtid="{D5CDD505-2E9C-101B-9397-08002B2CF9AE}" pid="7" name="MSIP_Label_e6624104-c6e2-47da-a556-f8167ffa8312_ActionId">
    <vt:lpwstr>d7956998-c306-41b5-8d62-a23525cecf7f</vt:lpwstr>
  </property>
  <property fmtid="{D5CDD505-2E9C-101B-9397-08002B2CF9AE}" pid="8" name="MSIP_Label_e6624104-c6e2-47da-a556-f8167ffa8312_ContentBits">
    <vt:lpwstr>2</vt:lpwstr>
  </property>
</Properties>
</file>