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570" windowWidth="14880" windowHeight="6660" tabRatio="936"/>
  </bookViews>
  <sheets>
    <sheet name="Innholdsfortegnelse" sheetId="27" r:id="rId1"/>
    <sheet name="1" sheetId="32" r:id="rId2"/>
    <sheet name="2" sheetId="36" r:id="rId3"/>
    <sheet name="3" sheetId="31" r:id="rId4"/>
    <sheet name="4" sheetId="4" r:id="rId5"/>
    <sheet name="5" sheetId="14" r:id="rId6"/>
    <sheet name="6" sheetId="7" r:id="rId7"/>
    <sheet name="7" sheetId="6" r:id="rId8"/>
    <sheet name="8" sheetId="28" r:id="rId9"/>
    <sheet name="9" sheetId="20" r:id="rId10"/>
    <sheet name="10" sheetId="21" r:id="rId11"/>
    <sheet name="11" sheetId="19" r:id="rId12"/>
    <sheet name="12" sheetId="18" r:id="rId13"/>
    <sheet name="13" sheetId="17" r:id="rId14"/>
    <sheet name="14" sheetId="9" r:id="rId15"/>
    <sheet name="15" sheetId="16" r:id="rId16"/>
    <sheet name="16" sheetId="15" r:id="rId17"/>
    <sheet name="17" sheetId="13" r:id="rId18"/>
    <sheet name="18" sheetId="29" r:id="rId19"/>
    <sheet name="19" sheetId="42" r:id="rId20"/>
    <sheet name="20" sheetId="30" r:id="rId21"/>
    <sheet name="21" sheetId="43" r:id="rId22"/>
    <sheet name="22" sheetId="8" r:id="rId23"/>
    <sheet name="23" sheetId="10" r:id="rId24"/>
    <sheet name="24" sheetId="5" r:id="rId25"/>
    <sheet name="25" sheetId="26" r:id="rId26"/>
    <sheet name="26" sheetId="25" r:id="rId27"/>
    <sheet name="27" sheetId="23" r:id="rId28"/>
    <sheet name="28" sheetId="11" r:id="rId29"/>
    <sheet name="29" sheetId="37" r:id="rId30"/>
    <sheet name="30" sheetId="38" r:id="rId31"/>
    <sheet name="31" sheetId="39" r:id="rId32"/>
    <sheet name="32" sheetId="41"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'1'!$A$1:$G$48</definedName>
    <definedName name="_xlnm.Print_Area" localSheetId="10">'10'!$A$1:$C$29</definedName>
    <definedName name="_xlnm.Print_Area" localSheetId="11">'11'!$A$1:$J$37</definedName>
    <definedName name="_xlnm.Print_Area" localSheetId="12">'12'!$A$1:$F$21</definedName>
    <definedName name="_xlnm.Print_Area" localSheetId="13">'13'!$A$1:$E$41</definedName>
    <definedName name="_xlnm.Print_Area" localSheetId="14">'14'!$A$1:$D$17</definedName>
    <definedName name="_xlnm.Print_Area" localSheetId="15">'15'!$A$1:$D$19</definedName>
    <definedName name="_xlnm.Print_Area" localSheetId="16">'16'!$A$1:$E$17</definedName>
    <definedName name="_xlnm.Print_Area" localSheetId="17">'17'!$A$1:$G$121</definedName>
    <definedName name="_xlnm.Print_Area" localSheetId="18">'18'!$A$1:$D$5</definedName>
    <definedName name="_xlnm.Print_Area" localSheetId="19">'19'!$A$1:$D$3</definedName>
    <definedName name="_xlnm.Print_Area" localSheetId="2">'2'!$A$1:$G$24</definedName>
    <definedName name="_xlnm.Print_Area" localSheetId="20">'20'!$A$1:$E$3</definedName>
    <definedName name="_xlnm.Print_Area" localSheetId="21">'21'!$A$1:$D$3</definedName>
    <definedName name="_xlnm.Print_Area" localSheetId="22">'22'!$A$1:$I$22</definedName>
    <definedName name="_xlnm.Print_Area" localSheetId="23">'23'!$A$1:$I$15</definedName>
    <definedName name="_xlnm.Print_Area" localSheetId="24">'24'!$A$1:$D$21</definedName>
    <definedName name="_xlnm.Print_Area" localSheetId="25">'25'!$A$1:$F$20</definedName>
    <definedName name="_xlnm.Print_Area" localSheetId="26">'26'!$A$1:$E$10</definedName>
    <definedName name="_xlnm.Print_Area" localSheetId="27">'27'!$A$1:$E$10</definedName>
    <definedName name="_xlnm.Print_Area" localSheetId="28">'28'!$A$1:$E$43</definedName>
    <definedName name="_xlnm.Print_Area" localSheetId="3">'3'!$A$1:$H$18</definedName>
    <definedName name="_xlnm.Print_Area" localSheetId="4">'4'!$A$1:$E$59</definedName>
    <definedName name="_xlnm.Print_Area" localSheetId="5">'5'!$A$1:$F$28</definedName>
    <definedName name="_xlnm.Print_Area" localSheetId="6">'6'!$A$1:$C$17</definedName>
    <definedName name="_xlnm.Print_Area" localSheetId="7">'7'!#REF!</definedName>
    <definedName name="_xlnm.Print_Area" localSheetId="8">'8'!$A$1:$I$34</definedName>
    <definedName name="_xlnm.Print_Area" localSheetId="9">'9'!$A$1:$G$18</definedName>
  </definedNames>
  <calcPr calcId="145621"/>
</workbook>
</file>

<file path=xl/calcChain.xml><?xml version="1.0" encoding="utf-8"?>
<calcChain xmlns="http://schemas.openxmlformats.org/spreadsheetml/2006/main">
  <c r="C109" i="38" l="1"/>
  <c r="C37" i="39" l="1"/>
  <c r="C39" i="39" s="1"/>
  <c r="B37" i="39"/>
  <c r="E36" i="39"/>
  <c r="E37" i="39" s="1"/>
  <c r="D36" i="39"/>
  <c r="D37" i="39" s="1"/>
  <c r="C36" i="39"/>
  <c r="B36" i="39"/>
  <c r="G36" i="39" s="1"/>
  <c r="G35" i="39"/>
  <c r="G34" i="39"/>
  <c r="G33" i="39"/>
  <c r="B33" i="39"/>
  <c r="E30" i="39"/>
  <c r="E39" i="39" s="1"/>
  <c r="D30" i="39"/>
  <c r="D39" i="39" s="1"/>
  <c r="C30" i="39"/>
  <c r="G29" i="39"/>
  <c r="G27" i="39"/>
  <c r="G26" i="39"/>
  <c r="G25" i="39"/>
  <c r="B24" i="39"/>
  <c r="B30" i="39" s="1"/>
  <c r="B39" i="39" s="1"/>
  <c r="G23" i="39"/>
  <c r="G22" i="39"/>
  <c r="G21" i="39"/>
  <c r="G20" i="39"/>
  <c r="G19" i="39"/>
  <c r="D16" i="39"/>
  <c r="C16" i="39"/>
  <c r="B16" i="39"/>
  <c r="E15" i="39"/>
  <c r="G15" i="39" s="1"/>
  <c r="B15" i="39"/>
  <c r="E14" i="39"/>
  <c r="G14" i="39" s="1"/>
  <c r="G13" i="39"/>
  <c r="G12" i="39"/>
  <c r="G11" i="39"/>
  <c r="G10" i="39"/>
  <c r="G9" i="39"/>
  <c r="G8" i="39"/>
  <c r="G7" i="39"/>
  <c r="G6" i="39"/>
  <c r="C122" i="38"/>
  <c r="C112" i="38"/>
  <c r="C100" i="38"/>
  <c r="C85" i="38"/>
  <c r="C91" i="38" s="1"/>
  <c r="C70" i="38"/>
  <c r="C80" i="38" s="1"/>
  <c r="C63" i="38"/>
  <c r="C59" i="38"/>
  <c r="C57" i="38"/>
  <c r="C33" i="38"/>
  <c r="C20" i="38"/>
  <c r="C53" i="38" s="1"/>
  <c r="C5" i="38"/>
  <c r="C16" i="38" s="1"/>
  <c r="C81" i="38" l="1"/>
  <c r="C54" i="38"/>
  <c r="C119" i="38" s="1"/>
  <c r="C127" i="38" s="1"/>
  <c r="C110" i="38"/>
  <c r="G16" i="39"/>
  <c r="G37" i="39"/>
  <c r="E16" i="39"/>
  <c r="G24" i="39"/>
  <c r="G30" i="39" s="1"/>
  <c r="G39" i="39" s="1"/>
  <c r="C82" i="38" l="1"/>
  <c r="C111" i="38" s="1"/>
  <c r="C121" i="38" s="1"/>
  <c r="C120" i="38" l="1"/>
  <c r="D11" i="10" l="1"/>
  <c r="G11" i="10"/>
  <c r="E11" i="10"/>
  <c r="D9" i="10"/>
  <c r="D6" i="10"/>
  <c r="C11" i="10" l="1"/>
  <c r="D8" i="14" l="1"/>
  <c r="C8" i="14"/>
  <c r="C9" i="8" l="1"/>
  <c r="C10" i="10"/>
  <c r="C7" i="10"/>
  <c r="E10" i="14" l="1"/>
  <c r="C10" i="14" l="1"/>
  <c r="D10" i="14"/>
  <c r="C5" i="23" l="1"/>
  <c r="E21" i="14"/>
  <c r="E17" i="14"/>
  <c r="C17" i="14"/>
  <c r="E18" i="14" l="1"/>
  <c r="C18" i="14"/>
  <c r="E10" i="15" l="1"/>
  <c r="E4" i="15"/>
  <c r="E12" i="15"/>
  <c r="E11" i="15"/>
  <c r="E6" i="15"/>
  <c r="E5" i="15"/>
  <c r="F20" i="18"/>
  <c r="F19" i="18"/>
  <c r="E17" i="18"/>
  <c r="D17" i="18"/>
  <c r="C17" i="18"/>
  <c r="B17" i="18"/>
  <c r="F16" i="18"/>
  <c r="F15" i="18"/>
  <c r="F14" i="18"/>
  <c r="F7" i="18"/>
  <c r="F8" i="18" s="1"/>
  <c r="F6" i="18"/>
  <c r="F5" i="18"/>
  <c r="E8" i="18"/>
  <c r="D8" i="18"/>
  <c r="C8" i="18"/>
  <c r="B8" i="18"/>
  <c r="F17" i="18" l="1"/>
  <c r="D7" i="15" l="1"/>
  <c r="C7" i="15"/>
  <c r="B7" i="15"/>
  <c r="E33" i="17"/>
  <c r="D33" i="17"/>
  <c r="C33" i="17"/>
  <c r="B33" i="17"/>
  <c r="E16" i="17"/>
  <c r="C16" i="17"/>
  <c r="B16" i="17"/>
  <c r="B13" i="17"/>
  <c r="E13" i="17"/>
  <c r="D13" i="17"/>
  <c r="D16" i="17" s="1"/>
  <c r="C13" i="17"/>
  <c r="E5" i="19"/>
  <c r="E6" i="19"/>
  <c r="E7" i="19"/>
  <c r="E8" i="19"/>
  <c r="E9" i="19"/>
  <c r="E10" i="19"/>
  <c r="E11" i="19"/>
  <c r="E12" i="19"/>
  <c r="E13" i="19"/>
  <c r="E14" i="19"/>
  <c r="E15" i="19"/>
  <c r="E4" i="19"/>
  <c r="C20" i="21"/>
  <c r="C24" i="21" s="1"/>
  <c r="C28" i="21" s="1"/>
  <c r="B20" i="21"/>
  <c r="B24" i="21" s="1"/>
  <c r="B28" i="21" s="1"/>
  <c r="C13" i="21"/>
  <c r="C12" i="21"/>
  <c r="C9" i="21"/>
  <c r="C8" i="21"/>
  <c r="C7" i="21"/>
  <c r="C6" i="21"/>
  <c r="C10" i="21" s="1"/>
  <c r="C14" i="21" s="1"/>
  <c r="B6" i="21"/>
  <c r="B10" i="21" s="1"/>
  <c r="B14" i="21" s="1"/>
  <c r="C5" i="21"/>
  <c r="C4" i="21"/>
  <c r="D17" i="20"/>
  <c r="C17" i="20"/>
  <c r="C16" i="20"/>
  <c r="B16" i="20"/>
  <c r="E16" i="20" s="1"/>
  <c r="E15" i="20"/>
  <c r="E14" i="20"/>
  <c r="B13" i="20"/>
  <c r="B17" i="20" s="1"/>
  <c r="B9" i="20"/>
  <c r="D8" i="20"/>
  <c r="D9" i="20" s="1"/>
  <c r="C8" i="20"/>
  <c r="E8" i="20" s="1"/>
  <c r="E7" i="20"/>
  <c r="E6" i="20"/>
  <c r="E5" i="20"/>
  <c r="E7" i="15" l="1"/>
  <c r="E9" i="20"/>
  <c r="C9" i="20"/>
  <c r="E13" i="20"/>
  <c r="E17" i="20" s="1"/>
  <c r="E16" i="14" l="1"/>
  <c r="C16" i="14"/>
  <c r="E19" i="14"/>
  <c r="C19" i="14"/>
  <c r="D7" i="23" l="1"/>
  <c r="D121" i="13" l="1"/>
  <c r="C121" i="13"/>
  <c r="D109" i="13"/>
  <c r="C109" i="13"/>
  <c r="D97" i="13"/>
  <c r="C97" i="13"/>
  <c r="B10" i="11" l="1"/>
  <c r="C10" i="11"/>
  <c r="C33" i="11"/>
  <c r="C23" i="11"/>
  <c r="G19" i="28"/>
  <c r="G11" i="28"/>
  <c r="G23" i="28" l="1"/>
  <c r="E45" i="32"/>
  <c r="C10" i="8" l="1"/>
  <c r="C4" i="10" l="1"/>
  <c r="D4" i="10" s="1"/>
  <c r="C8" i="10"/>
  <c r="F11" i="10" l="1"/>
  <c r="H10" i="10"/>
  <c r="H8" i="10"/>
  <c r="H7" i="10"/>
  <c r="H6" i="10"/>
  <c r="H5" i="10"/>
  <c r="F10" i="10"/>
  <c r="F8" i="10"/>
  <c r="F7" i="10"/>
  <c r="F6" i="10"/>
  <c r="F5" i="10"/>
  <c r="F4" i="10"/>
  <c r="E4" i="10"/>
  <c r="G4" i="10"/>
  <c r="I4" i="10"/>
  <c r="H4" i="10" s="1"/>
  <c r="C7" i="25"/>
  <c r="I11" i="10" l="1"/>
  <c r="H11" i="10" s="1"/>
  <c r="C10" i="5"/>
  <c r="D10" i="5"/>
  <c r="D12" i="5" l="1"/>
  <c r="D17" i="5" l="1"/>
  <c r="D16" i="5"/>
  <c r="D18" i="5" s="1"/>
  <c r="B8" i="7" l="1"/>
  <c r="C15" i="7"/>
  <c r="D13" i="14"/>
  <c r="C13" i="14"/>
  <c r="E36" i="17" l="1"/>
  <c r="B44" i="4" l="1"/>
  <c r="E12" i="31" l="1"/>
  <c r="C12" i="31"/>
  <c r="D36" i="17" l="1"/>
  <c r="C36" i="17"/>
  <c r="B36" i="17"/>
  <c r="F17" i="6" l="1"/>
  <c r="E17" i="6"/>
  <c r="D17" i="6"/>
  <c r="C16" i="6"/>
  <c r="C17" i="6" s="1"/>
  <c r="F9" i="6" l="1"/>
  <c r="E9" i="6"/>
  <c r="D9" i="6"/>
  <c r="C9" i="6"/>
  <c r="F14" i="14" l="1"/>
  <c r="F22" i="14" l="1"/>
  <c r="F25" i="14" s="1"/>
  <c r="C8" i="7" l="1"/>
  <c r="C44" i="4"/>
  <c r="C33" i="4"/>
  <c r="C12" i="4"/>
  <c r="C23" i="4" l="1"/>
  <c r="C17" i="32"/>
  <c r="C25" i="4" l="1"/>
  <c r="C35" i="4" s="1"/>
  <c r="C16" i="5"/>
  <c r="D11" i="16" l="1"/>
  <c r="C11" i="16"/>
  <c r="B11" i="16"/>
  <c r="B33" i="11" l="1"/>
  <c r="B23" i="11"/>
  <c r="D13" i="15" l="1"/>
  <c r="C13" i="15"/>
  <c r="B13" i="15"/>
  <c r="D19" i="16"/>
  <c r="C19" i="16"/>
  <c r="B19" i="16"/>
  <c r="D16" i="9"/>
  <c r="C16" i="9"/>
  <c r="F11" i="18"/>
  <c r="F10" i="18"/>
  <c r="G17" i="19"/>
  <c r="C17" i="19"/>
  <c r="H16" i="19"/>
  <c r="E16" i="19"/>
  <c r="F17" i="19"/>
  <c r="D17" i="19"/>
  <c r="H14" i="19"/>
  <c r="H13" i="19"/>
  <c r="H12" i="19"/>
  <c r="H11" i="19"/>
  <c r="H10" i="19"/>
  <c r="H9" i="19"/>
  <c r="H8" i="19"/>
  <c r="H7" i="19"/>
  <c r="H6" i="19"/>
  <c r="H5" i="19"/>
  <c r="H4" i="19"/>
  <c r="E13" i="15" l="1"/>
  <c r="E17" i="19"/>
  <c r="H15" i="19"/>
  <c r="H17" i="19" s="1"/>
  <c r="D8" i="10" l="1"/>
  <c r="D7" i="10"/>
  <c r="D5" i="10"/>
  <c r="E22" i="14" l="1"/>
  <c r="C22" i="14" l="1"/>
  <c r="E14" i="14" l="1"/>
  <c r="E25" i="14" s="1"/>
  <c r="D14" i="14"/>
  <c r="C14" i="14"/>
  <c r="B15" i="7" l="1"/>
  <c r="B33" i="4" l="1"/>
  <c r="B12" i="4"/>
  <c r="B23" i="4" l="1"/>
  <c r="C32" i="32"/>
  <c r="B25" i="4" l="1"/>
  <c r="B35" i="4" s="1"/>
  <c r="F10" i="8"/>
  <c r="F19" i="28" l="1"/>
  <c r="F11" i="28"/>
  <c r="F23" i="28" l="1"/>
  <c r="E7" i="23" l="1"/>
  <c r="C7" i="23"/>
  <c r="F8" i="26" l="1"/>
  <c r="C8" i="26"/>
  <c r="B8" i="26"/>
  <c r="E8" i="26"/>
  <c r="D8" i="26"/>
  <c r="B7" i="25" l="1"/>
  <c r="C12" i="5"/>
  <c r="C18" i="5" s="1"/>
  <c r="F14" i="26"/>
  <c r="E14" i="26"/>
  <c r="D14" i="26"/>
  <c r="C14" i="26"/>
  <c r="B14" i="26"/>
</calcChain>
</file>

<file path=xl/sharedStrings.xml><?xml version="1.0" encoding="utf-8"?>
<sst xmlns="http://schemas.openxmlformats.org/spreadsheetml/2006/main" count="1729" uniqueCount="830">
  <si>
    <t>Antall aksjer</t>
  </si>
  <si>
    <t>Bokført verdi</t>
  </si>
  <si>
    <t>Stemmerett</t>
  </si>
  <si>
    <t>Selskaper som er fullt konsolidert</t>
  </si>
  <si>
    <t>SpareBank 1 SR-Finans AS</t>
  </si>
  <si>
    <t>Oppkjøpsmetoden</t>
  </si>
  <si>
    <t>Westbroker Finans AS</t>
  </si>
  <si>
    <t>SR-Investering AS</t>
  </si>
  <si>
    <t>SR-Forretningsservice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</si>
  <si>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</si>
  <si>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</si>
  <si>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</si>
  <si>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</si>
  <si>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</si>
  <si>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</si>
  <si>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</si>
  <si>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</si>
  <si>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</si>
  <si>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Fond for urealiserte gevinster tilgjengelig for salg</t>
  </si>
  <si>
    <t>50 % kapitaldekningsreserve</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</si>
  <si>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</si>
  <si>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</si>
  <si>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</si>
  <si>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</si>
  <si>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</si>
  <si>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</si>
  <si>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</si>
  <si>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</si>
  <si>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</si>
  <si>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</si>
  <si>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</si>
  <si>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</si>
  <si>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</si>
  <si>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</si>
  <si>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</si>
  <si>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</si>
  <si>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</si>
  <si>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</si>
  <si>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</si>
  <si>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</si>
  <si>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</si>
  <si>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</si>
  <si>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</si>
  <si>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</si>
  <si>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</si>
  <si>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</si>
  <si>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</si>
  <si>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</si>
  <si>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</si>
  <si>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</si>
  <si>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</si>
  <si>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</si>
  <si>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</si>
  <si>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Ufordelt ( merverdi fastrente utlån)</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</si>
  <si>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</si>
  <si>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</si>
  <si>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</si>
  <si>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</si>
  <si>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</si>
  <si>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</si>
  <si>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</si>
  <si>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</si>
  <si>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</si>
  <si>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</si>
  <si>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</si>
  <si>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</si>
  <si>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</si>
  <si>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</si>
  <si>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</si>
  <si>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</si>
  <si>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</si>
  <si>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</si>
  <si>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</si>
  <si>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Fradrag</t>
  </si>
  <si>
    <t>Samlet EAD</t>
  </si>
  <si>
    <t>Samlet ubenyttet ramme</t>
  </si>
  <si>
    <t>A</t>
  </si>
  <si>
    <t>B</t>
  </si>
  <si>
    <t>C</t>
  </si>
  <si>
    <t>D</t>
  </si>
  <si>
    <t>E</t>
  </si>
  <si>
    <t>F</t>
  </si>
  <si>
    <t>G</t>
  </si>
  <si>
    <t>H</t>
  </si>
  <si>
    <t>I</t>
  </si>
  <si>
    <t>J</t>
  </si>
  <si>
    <t>K</t>
  </si>
  <si>
    <t>Sum Foretak</t>
  </si>
  <si>
    <t>Massemarkedsengasjementer</t>
  </si>
  <si>
    <t xml:space="preserve">  -herav massemarked SMB</t>
  </si>
  <si>
    <t>motpartsrisiko, oppgjørsrisiko, valutarisiko og varerisiko</t>
  </si>
  <si>
    <t>Posisjonsrisiko</t>
  </si>
  <si>
    <t>Motpartsrisiko (derivater i handelsporteføljen)</t>
  </si>
  <si>
    <t>Valutarisiko</t>
  </si>
  <si>
    <t xml:space="preserve">  - Herav egenkapitalinstrumenter</t>
  </si>
  <si>
    <t>Banktjenester for massemarkedskunder</t>
  </si>
  <si>
    <t>Banktjenester for bedriftskunder</t>
  </si>
  <si>
    <t>Betaling og oppgjørstjenester</t>
  </si>
  <si>
    <t>Totalt</t>
  </si>
  <si>
    <t>Investeringer</t>
  </si>
  <si>
    <t>Finansielle investeringer til virkelig verdi over resultat</t>
  </si>
  <si>
    <t>Progressus</t>
  </si>
  <si>
    <t>Øvrige finansielle investeringer</t>
  </si>
  <si>
    <t>Strategiske investeringer til virkelig verdi over resultat</t>
  </si>
  <si>
    <t>Strategiske investeringer til tilgjengelig for salg</t>
  </si>
  <si>
    <t>Øvrige strategiske investeringer</t>
  </si>
  <si>
    <t xml:space="preserve">Aksjer  og andeler klassifiseres som enten til virkelig verdi over resultatet eller tilgjengelig for salg. Endring i virkelig verdi fra inngående balanse resultatføres som inntekt fra finansielle investeringer.  </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</si>
  <si>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</si>
  <si>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</si>
  <si>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</si>
  <si>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</si>
  <si>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</si>
  <si>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</si>
  <si>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SpareBank 1 SR-Bank har ingen sikkerhetsstillelser som medfører redusert engasjementsbeløp. For foretak hensyntas ikke</t>
  </si>
  <si>
    <t>2)</t>
  </si>
  <si>
    <t>Kapitaldekning</t>
  </si>
  <si>
    <t>Hovedstol</t>
  </si>
  <si>
    <t>Forfall</t>
  </si>
  <si>
    <t>3 mnd Nibor + margin</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</si>
  <si>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</si>
  <si>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</si>
  <si>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</si>
  <si>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</si>
  <si>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</si>
  <si>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</si>
  <si>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</si>
  <si>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</si>
  <si>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</si>
  <si>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</si>
  <si>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</si>
  <si>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</si>
  <si>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</si>
  <si>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</si>
  <si>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</si>
  <si>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</si>
  <si>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</si>
  <si>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</si>
  <si>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</si>
  <si>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</si>
  <si>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</si>
  <si>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</si>
  <si>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</si>
  <si>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</si>
  <si>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</si>
  <si>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</si>
  <si>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</si>
  <si>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Kvinnherad Sparebank Eigedom</t>
  </si>
  <si>
    <t>Sandnes Sparebank</t>
  </si>
  <si>
    <t>Kjernekapital</t>
  </si>
  <si>
    <t>50 % fradrag ansvarlig kapital i andre finansinstitusjoner</t>
  </si>
  <si>
    <t>50 % fradrag i forventet tap IRB fratrukket tapsavsetninger</t>
  </si>
  <si>
    <t>Fondsobligasjon</t>
  </si>
  <si>
    <t>Tidsbegrenset ansvarlig kapital</t>
  </si>
  <si>
    <t>Sum tilleggskapital</t>
  </si>
  <si>
    <t>tidspunkt</t>
  </si>
  <si>
    <t>Tidsbegrenset</t>
  </si>
  <si>
    <t>NOK 75</t>
  </si>
  <si>
    <t>NOK 40</t>
  </si>
  <si>
    <t>Nordito Property</t>
  </si>
  <si>
    <t>Nets Holding</t>
  </si>
  <si>
    <t>Sum strategiske investeringer til virkelig verdi over resultat</t>
  </si>
  <si>
    <t>Øvrig massemarked</t>
  </si>
  <si>
    <t>Beløp i mill kroner</t>
  </si>
  <si>
    <t>Beløp i tusen kroner</t>
  </si>
  <si>
    <t>Første forfalls-</t>
  </si>
  <si>
    <t>Misligholds-
klasse</t>
  </si>
  <si>
    <t xml:space="preserve">sikkerhetsstillelse i LGD beregningen. Her benyttes myndighetsfastsatte LGD-faktorer. Av den grunn fremgår ingen opplisting </t>
  </si>
  <si>
    <t>av slike engasjementer i ovenstående tabell.</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</si>
  <si>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</si>
  <si>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</si>
  <si>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</si>
  <si>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</si>
  <si>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</si>
  <si>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</si>
  <si>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</si>
  <si>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</si>
  <si>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</si>
  <si>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</si>
  <si>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</si>
  <si>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</si>
  <si>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Verdi 
31.12.2011</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</si>
  <si>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</si>
  <si>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</si>
  <si>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</si>
  <si>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</si>
  <si>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</si>
  <si>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</si>
  <si>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</si>
  <si>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</si>
  <si>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</si>
  <si>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</si>
  <si>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 xml:space="preserve">                 Engasjementsbeløp</t>
  </si>
  <si>
    <t>Engasjementskategori</t>
  </si>
  <si>
    <t>Aksjekapital</t>
  </si>
  <si>
    <t xml:space="preserve">  - Herav sertifikater og obligasjoner til amortisert kost</t>
  </si>
  <si>
    <t xml:space="preserve">  - Herav sertifikater og obligasjoner til virkelig verdi</t>
  </si>
  <si>
    <t>Rygir Industrier AS konsern</t>
  </si>
  <si>
    <t>HitecVision Asset Solution LP</t>
  </si>
  <si>
    <t>Verdi 
31.12.2012</t>
  </si>
  <si>
    <t>Verdiendring 
i 2012 (i %)</t>
  </si>
  <si>
    <t xml:space="preserve">  -herav engasjementer med pant i fast eiendom</t>
  </si>
  <si>
    <t xml:space="preserve">  -herav øvrige massemarkedsengasjementer</t>
  </si>
  <si>
    <t xml:space="preserve">Øvrige foretak </t>
  </si>
  <si>
    <t xml:space="preserve"> -  Herav egenkapitalinstrumenter unntatt IRB</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</si>
  <si>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</si>
  <si>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</si>
  <si>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</si>
  <si>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 xml:space="preserve">Fondsobligasjoner kan maksimum utgjøre 15 prosent av samlet kjernekapital for obligasjoner med fastsatt løpetid og 35 prosent for fondsobligasjoner </t>
  </si>
  <si>
    <t>uten fastsatt løpetid. Eventuelt overskytende teller som evigvarende ansvarlig lånekapital.</t>
  </si>
  <si>
    <t>NOK 825</t>
  </si>
  <si>
    <t>NOK 1000</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</si>
  <si>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</si>
  <si>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</si>
  <si>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</si>
  <si>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</si>
  <si>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</si>
  <si>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</si>
  <si>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</si>
  <si>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</si>
  <si>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</si>
  <si>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</si>
  <si>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</si>
  <si>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</si>
  <si>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</si>
  <si>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</si>
  <si>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</si>
  <si>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</si>
  <si>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</si>
  <si>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</si>
  <si>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Kredittrisiko  </t>
  </si>
  <si>
    <t xml:space="preserve">Markedsrisiko  </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</si>
  <si>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</si>
  <si>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</si>
  <si>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</si>
  <si>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Ansvarlig lånekapital og fondsobligasjon</t>
  </si>
  <si>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</si>
  <si>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</si>
  <si>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</si>
  <si>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</si>
  <si>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Samlet engasjementsbeløp og andelen som er sikret med pant, fordelt på engasjementskategorier (IRB)</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</si>
  <si>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</si>
  <si>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</si>
  <si>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</si>
  <si>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</si>
  <si>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</si>
  <si>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t>Fordeling på risikoklasser der IRB-metoden benyttes</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</si>
  <si>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</si>
  <si>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</si>
  <si>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</si>
  <si>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</si>
  <si>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</si>
  <si>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</si>
  <si>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</si>
  <si>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</si>
  <si>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Ansvarlig lånekapital og fondsobligasjon</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</si>
  <si>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</si>
  <si>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</si>
  <si>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</si>
  <si>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 xml:space="preserve">Faktiske tap pr. misligholdsklasse i perioden </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</si>
  <si>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</si>
  <si>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</si>
  <si>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</si>
  <si>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</si>
  <si>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</si>
  <si>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</si>
  <si>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</si>
  <si>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</si>
  <si>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</si>
  <si>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</si>
  <si>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</si>
  <si>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</si>
  <si>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Herav kjernekapitaldekning</t>
  </si>
  <si>
    <t>Herav tilleggskapitaldekning</t>
  </si>
  <si>
    <t>Pr 31.12.2013</t>
  </si>
  <si>
    <t>Finansparken Bjergsted AS</t>
  </si>
  <si>
    <t>Eierandel i prosent 31.12.2013</t>
  </si>
  <si>
    <t>Kapitaldekning i prosent 31.12.2013</t>
  </si>
  <si>
    <t>Konsolidert
 31.12.2013</t>
  </si>
  <si>
    <t>Verdi
 2013</t>
  </si>
  <si>
    <t>Verdi 
31.12.2013</t>
  </si>
  <si>
    <t>Verdiendring 
i 2013 (i %)</t>
  </si>
  <si>
    <t>Energy Ventures III AS</t>
  </si>
  <si>
    <t>Bank 1 Oslo Akershus</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</si>
  <si>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</si>
  <si>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</si>
  <si>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</si>
  <si>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</si>
  <si>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</si>
  <si>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</si>
  <si>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</si>
  <si>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</si>
  <si>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</si>
  <si>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</si>
  <si>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</si>
  <si>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</si>
  <si>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</si>
  <si>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</si>
  <si>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</si>
  <si>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</si>
  <si>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</si>
  <si>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</si>
  <si>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</si>
  <si>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</si>
  <si>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 xml:space="preserve">Treasury. </t>
  </si>
  <si>
    <t>Separat angivelse av de samlede engasjementsbeløp med verdifall og misligholdte engasjementer fordelt på geografiske områder, herunder samlede verdiendringer og nedskrivninger.</t>
  </si>
  <si>
    <t>2013                                                                        Engasjementskategori</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</si>
  <si>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</si>
  <si>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</si>
  <si>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</si>
  <si>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</si>
  <si>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</si>
  <si>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</si>
  <si>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</si>
  <si>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</si>
  <si>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</si>
  <si>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</si>
  <si>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</si>
  <si>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</si>
  <si>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</si>
  <si>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</si>
  <si>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</si>
  <si>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</si>
  <si>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</si>
  <si>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</si>
  <si>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Konsoliderte selskaper *</t>
  </si>
  <si>
    <t>kategoriene de tilhører.</t>
  </si>
  <si>
    <t xml:space="preserve">* Fra og med 30.9.2014 har vi fått nytt rapporteringsoppsett der engasjementene fra konsoliderte selskap er tatt inn i de </t>
  </si>
  <si>
    <t>og fradragene tas i samme kapitalklasse som det instrumentet man eier tilhører. Investeringer i rene</t>
  </si>
  <si>
    <t>Investeringer som overstiger 10 % av egen ren kjernekapital etter fradrag kommer til fradrag i ansvarlig kapital</t>
  </si>
  <si>
    <t>kjernekapitalinstumenter som ikke kommer til fradrag i ansvarlig kapital vekstes 250 % i beregningsgrunnlaget.</t>
  </si>
  <si>
    <t>Det skilles mellom vesentlige eierandeler &gt; 10 % og ikke vesentlige eierandeler i finansinstitusjoner.</t>
  </si>
  <si>
    <t>Pr 31.12.2014</t>
  </si>
  <si>
    <t>Risikovektet balanse</t>
  </si>
  <si>
    <t>Investeringene blir behandlet likt for kapitaldekningsformål.</t>
  </si>
  <si>
    <r>
      <t xml:space="preserve">Eierandel i prosent </t>
    </r>
    <r>
      <rPr>
        <b/>
        <vertAlign val="superscript"/>
        <sz val="9"/>
        <rFont val="Calibri"/>
        <family val="2"/>
        <scheme val="minor"/>
      </rPr>
      <t>1)</t>
    </r>
    <r>
      <rPr>
        <b/>
        <sz val="9"/>
        <rFont val="Calibri"/>
        <family val="2"/>
        <scheme val="minor"/>
      </rPr>
      <t xml:space="preserve">  31.12.2014 </t>
    </r>
  </si>
  <si>
    <r>
      <t xml:space="preserve">Risikovektet balanse </t>
    </r>
    <r>
      <rPr>
        <b/>
        <vertAlign val="superscript"/>
        <sz val="9"/>
        <rFont val="Calibri"/>
        <family val="2"/>
        <scheme val="minor"/>
      </rPr>
      <t>2)</t>
    </r>
    <r>
      <rPr>
        <b/>
        <sz val="9"/>
        <rFont val="Calibri"/>
        <family val="2"/>
        <scheme val="minor"/>
      </rPr>
      <t xml:space="preserve"> 31.12.2014</t>
    </r>
  </si>
  <si>
    <t>Kapitaldekning i prosent 31.12.2014</t>
  </si>
  <si>
    <t>Sum ren kjernekapital</t>
  </si>
  <si>
    <t>Risikovektet balanse for kredittrisiko fordelt på engasjementskategorier og underkategorier</t>
  </si>
  <si>
    <t xml:space="preserve">Risikovektet balanse for markedsrisiko </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</si>
  <si>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</si>
  <si>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</si>
  <si>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</si>
  <si>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</si>
  <si>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</si>
  <si>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Konsolidert
 31.12.2014</t>
  </si>
  <si>
    <t xml:space="preserve"> Risikovektet balanse for markedsrisiko, herunder posisjonsrisiko,</t>
  </si>
  <si>
    <t>SR-PE-Feeder III KS</t>
  </si>
  <si>
    <t>Verdi 
31.12.2014</t>
  </si>
  <si>
    <t>Verdiendring 
i 2014 (i %)</t>
  </si>
  <si>
    <t>SR-Finans</t>
  </si>
  <si>
    <t>SR-Forvaltning</t>
  </si>
  <si>
    <t>foretas en forholdsmessig konsolidering.</t>
  </si>
  <si>
    <t xml:space="preserve">SpareBank 1 Boligkreditt AS, SpareBank 1 Næringskreditt AS og BN Bank AS. I konsernets kapitaldekning </t>
  </si>
  <si>
    <r>
      <t xml:space="preserve">Risikovektet balanse </t>
    </r>
    <r>
      <rPr>
        <vertAlign val="superscript"/>
        <sz val="9"/>
        <rFont val="Calibri"/>
        <family val="2"/>
        <scheme val="minor"/>
      </rPr>
      <t>2)</t>
    </r>
    <r>
      <rPr>
        <sz val="9"/>
        <rFont val="Calibri"/>
        <family val="2"/>
        <scheme val="minor"/>
      </rPr>
      <t xml:space="preserve"> 31.12.2013</t>
    </r>
  </si>
  <si>
    <t>Svekket kredittverdighet motpart (CVA)</t>
  </si>
  <si>
    <t xml:space="preserve">Risikovektet balanse for operasjonell risiko er beregnet i prosent av snitt inntekt for hvert </t>
  </si>
  <si>
    <t>Av totalt 2 964 mill kroner i ansvarlig lånekapital teller 794 mill kroner som kjernekapital og 2 069 mill kroner som tidsbegrenset ansvarlig kapital.</t>
  </si>
  <si>
    <t>renteendring på 1 prosent er totalt 95 mill kroner fordelt på 30 mill kroner og 65 mill kroner på totalbalansen for henholdsvis Trading og</t>
  </si>
  <si>
    <t xml:space="preserve">Samlede realiserte gevinster
 eller tap </t>
  </si>
  <si>
    <t xml:space="preserve">Urealiserte gevinster
 eller tap </t>
  </si>
  <si>
    <t>Verdi
 2014</t>
  </si>
  <si>
    <t xml:space="preserve"> Oversikt over motpartsrisiko for derivater mv. </t>
  </si>
  <si>
    <t>Svekket kredittverdihet motpart (CVA)</t>
  </si>
  <si>
    <r>
      <t xml:space="preserve">Risikovektet balanse  2014 </t>
    </r>
    <r>
      <rPr>
        <b/>
        <vertAlign val="superscript"/>
        <sz val="9"/>
        <rFont val="Calibri"/>
        <family val="2"/>
        <scheme val="minor"/>
      </rPr>
      <t>1)</t>
    </r>
  </si>
  <si>
    <r>
      <t xml:space="preserve">Risikovektet balanse  2013 </t>
    </r>
    <r>
      <rPr>
        <vertAlign val="superscript"/>
        <sz val="9"/>
        <rFont val="Calibri"/>
        <family val="2"/>
        <scheme val="minor"/>
      </rPr>
      <t>1)</t>
    </r>
  </si>
  <si>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</si>
  <si>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</si>
  <si>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</si>
  <si>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</si>
  <si>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</si>
  <si>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</si>
  <si>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</si>
  <si>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</si>
  <si>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</si>
  <si>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31.12.2014</t>
  </si>
  <si>
    <t xml:space="preserve"> 31.12.2013</t>
  </si>
  <si>
    <t xml:space="preserve">SR-Pensjonskasse </t>
  </si>
  <si>
    <t>Tall for kapitaldekning fra og med 30. september 2014 følger de nye kravene fastsatt av Finansdepartementet.</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</si>
  <si>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</si>
  <si>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</si>
  <si>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</si>
  <si>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</si>
  <si>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</si>
  <si>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2014                                                                        Engasjementskategori</t>
  </si>
  <si>
    <t>Foretak SMB</t>
  </si>
  <si>
    <t>Sum foretak SMB</t>
  </si>
  <si>
    <t>Sum øvrige foretak</t>
  </si>
  <si>
    <t>Massemarked eiendom SMB</t>
  </si>
  <si>
    <t>Sum foretak spesialiserte</t>
  </si>
  <si>
    <t>Sum massemarked eiendom SMB</t>
  </si>
  <si>
    <t xml:space="preserve">Spesialiserte foretak </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</si>
  <si>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</si>
  <si>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</si>
  <si>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</si>
  <si>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</si>
  <si>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</si>
  <si>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</si>
  <si>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</si>
  <si>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</si>
  <si>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</si>
  <si>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</si>
  <si>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</si>
  <si>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</si>
  <si>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</si>
  <si>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</si>
  <si>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</si>
  <si>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</si>
  <si>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</si>
  <si>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678 mill</t>
  </si>
  <si>
    <t>NOK 116 mill</t>
  </si>
  <si>
    <t>NOK 499 mill</t>
  </si>
  <si>
    <t>NOK 825 mill</t>
  </si>
  <si>
    <t>NOK 745 mill</t>
  </si>
  <si>
    <t>Instrumentets nominelle verdi</t>
  </si>
  <si>
    <t>NOK 684 mill</t>
  </si>
  <si>
    <t>NOK 500 mill</t>
  </si>
  <si>
    <t>NOK 750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</si>
  <si>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</si>
  <si>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</si>
  <si>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</si>
  <si>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</si>
  <si>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</si>
  <si>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</si>
  <si>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</si>
  <si>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</si>
  <si>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</si>
  <si>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</si>
  <si>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</si>
  <si>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</si>
  <si>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</si>
  <si>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</si>
  <si>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</si>
  <si>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</si>
  <si>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</si>
  <si>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</si>
  <si>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</si>
  <si>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</si>
  <si>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</si>
  <si>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</si>
  <si>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</si>
  <si>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+ 4,75% til 09.12.19, deretter + 5,75%</t>
  </si>
  <si>
    <t>3 mnd NIBOR + 1,80%</t>
  </si>
  <si>
    <t>3 mnd NIBOR + 2,75%</t>
  </si>
  <si>
    <t>3 mnd NIBOR + 3,50%</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</si>
  <si>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</si>
  <si>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</si>
  <si>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</si>
  <si>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</si>
  <si>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</si>
  <si>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</si>
  <si>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</si>
  <si>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</si>
  <si>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</si>
  <si>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</si>
  <si>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</si>
  <si>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</si>
  <si>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</si>
  <si>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</si>
  <si>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</si>
  <si>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</si>
  <si>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</si>
  <si>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</si>
  <si>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</si>
  <si>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</si>
  <si>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</si>
  <si>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</si>
  <si>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</si>
  <si>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</si>
  <si>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</si>
  <si>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</si>
  <si>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</si>
  <si>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</si>
  <si>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</si>
  <si>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</si>
  <si>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</si>
  <si>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</si>
  <si>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</si>
  <si>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</si>
  <si>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</si>
  <si>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</si>
  <si>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</si>
  <si>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</si>
  <si>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</si>
  <si>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</si>
  <si>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</si>
  <si>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</si>
  <si>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</si>
  <si>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</si>
  <si>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</si>
  <si>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</si>
  <si>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</si>
  <si>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</si>
  <si>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</si>
  <si>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</si>
  <si>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</si>
  <si>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</si>
  <si>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</si>
  <si>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</si>
  <si>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</si>
  <si>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</si>
  <si>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</si>
  <si>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</si>
  <si>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</si>
  <si>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</si>
  <si>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</si>
  <si>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</si>
  <si>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</si>
  <si>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</si>
  <si>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</si>
  <si>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</si>
  <si>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</si>
  <si>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</si>
  <si>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</si>
  <si>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</si>
  <si>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</si>
  <si>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</si>
  <si>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</si>
  <si>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</si>
  <si>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</si>
  <si>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</si>
  <si>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</si>
  <si>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</si>
  <si>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</si>
  <si>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</si>
  <si>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</si>
  <si>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</si>
  <si>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</si>
  <si>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</si>
  <si>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</si>
  <si>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</si>
  <si>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</si>
  <si>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</si>
  <si>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</si>
  <si>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</si>
  <si>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</si>
  <si>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</si>
  <si>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</si>
  <si>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</si>
  <si>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</si>
  <si>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</si>
  <si>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</si>
  <si>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</si>
  <si>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</si>
  <si>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</si>
  <si>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</si>
  <si>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</si>
  <si>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</si>
  <si>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</si>
  <si>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</si>
  <si>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</si>
  <si>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</si>
  <si>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</si>
  <si>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</si>
  <si>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</si>
  <si>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</si>
  <si>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</si>
  <si>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</si>
  <si>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</si>
  <si>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</si>
  <si>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</si>
  <si>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</si>
  <si>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</si>
  <si>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</si>
  <si>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</si>
  <si>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</si>
  <si>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</si>
  <si>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</si>
  <si>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</si>
  <si>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</si>
  <si>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</si>
  <si>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</si>
  <si>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</si>
  <si>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</si>
  <si>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</si>
  <si>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</si>
  <si>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</si>
  <si>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</si>
  <si>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</si>
  <si>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</si>
  <si>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</si>
  <si>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</si>
  <si>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</si>
  <si>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</si>
  <si>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</si>
  <si>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</si>
  <si>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</si>
  <si>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</si>
  <si>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</si>
  <si>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</si>
  <si>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</si>
  <si>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</si>
  <si>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</si>
  <si>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</si>
  <si>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</si>
  <si>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</si>
  <si>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</si>
  <si>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</si>
  <si>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</si>
  <si>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</si>
  <si>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</si>
  <si>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</si>
  <si>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</si>
  <si>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</si>
  <si>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</si>
  <si>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</si>
  <si>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</si>
  <si>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</si>
  <si>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</si>
  <si>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</si>
  <si>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</si>
  <si>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</si>
  <si>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</si>
  <si>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</si>
  <si>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</si>
  <si>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</si>
  <si>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</si>
  <si>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</si>
  <si>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</si>
  <si>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</si>
  <si>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</si>
  <si>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</si>
  <si>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</si>
  <si>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</si>
  <si>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</si>
  <si>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</si>
  <si>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</si>
  <si>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</si>
  <si>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</si>
  <si>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</si>
  <si>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</si>
  <si>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</si>
  <si>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</si>
  <si>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</si>
  <si>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</si>
  <si>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</si>
  <si>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</si>
  <si>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</si>
  <si>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</si>
  <si>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</si>
  <si>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</si>
  <si>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</si>
  <si>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</si>
  <si>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</si>
  <si>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</si>
  <si>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</si>
  <si>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</si>
  <si>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</si>
  <si>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</si>
  <si>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</si>
  <si>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</si>
  <si>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</si>
  <si>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</si>
  <si>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</si>
  <si>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</si>
  <si>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</si>
  <si>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</si>
  <si>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</si>
  <si>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</si>
  <si>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</si>
  <si>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</si>
  <si>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</si>
  <si>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</si>
  <si>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</si>
  <si>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</si>
  <si>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</si>
  <si>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</si>
  <si>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</si>
  <si>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</si>
  <si>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</si>
  <si>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</si>
  <si>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</si>
  <si>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</si>
  <si>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</si>
  <si>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</si>
  <si>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</si>
  <si>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</si>
  <si>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</si>
  <si>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</si>
  <si>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</si>
  <si>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</si>
  <si>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</si>
  <si>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</si>
  <si>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</si>
  <si>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</si>
  <si>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</si>
  <si>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</si>
  <si>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</si>
  <si>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</si>
  <si>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</si>
  <si>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</si>
  <si>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</si>
  <si>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</si>
  <si>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Utlån til på kunder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</si>
  <si>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</si>
  <si>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</si>
  <si>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</si>
  <si>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</si>
  <si>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</si>
  <si>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</si>
  <si>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</si>
  <si>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</si>
  <si>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</si>
  <si>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</si>
  <si>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</si>
  <si>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</si>
  <si>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</si>
  <si>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</si>
  <si>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</si>
  <si>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</si>
  <si>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</si>
  <si>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</si>
  <si>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</si>
  <si>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</si>
  <si>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</si>
  <si>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</si>
  <si>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</si>
  <si>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</si>
  <si>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</si>
  <si>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</si>
  <si>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</si>
  <si>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Gjenkjøpsavtaler mv. (CRR 220)</t>
  </si>
  <si>
    <t>Gjenkjøpsavtaler mv. (CRR 222)</t>
  </si>
  <si>
    <t>Derivater: Reinvesteringskostnader</t>
  </si>
  <si>
    <t xml:space="preserve">Derivater: Fremtidig eksponering ved bruk av markedsverdimetoden </t>
  </si>
  <si>
    <t>Derivater: Opprinnelig engasjementmetoden</t>
  </si>
  <si>
    <t xml:space="preserve">Ubenyttede kredittfasiliteter som uten betingelser på et hvilket som helst tidspunkt kan sies opp uten varsel </t>
  </si>
  <si>
    <t>Handelsrelaterte poster utenom balansen med lav/middels risiko</t>
  </si>
  <si>
    <t xml:space="preserve">Handelsrelaterte poster utenom balansen med middels risiko og poster utenom balansen relatert til offentlig støttet eksportfinansiering </t>
  </si>
  <si>
    <t xml:space="preserve">Øvrige poster utenom balansen </t>
  </si>
  <si>
    <t xml:space="preserve">Øvrige eiendeler </t>
  </si>
  <si>
    <t xml:space="preserve">Kapital og regulatoriske justeringer </t>
  </si>
  <si>
    <t xml:space="preserve">Kjernekapital </t>
  </si>
  <si>
    <t xml:space="preserve">Kjernekapital inklusive kjernekapital omfattet av overgangsregler </t>
  </si>
  <si>
    <t>Tillegg jf. CRR 429 (4), 2.ledd</t>
  </si>
  <si>
    <t xml:space="preserve">Tillegg definisjon m/overgangsregel jf. CRR 429 (4),  2.ledd </t>
  </si>
  <si>
    <t>Regulatoriske justeringer i kjernekapitalen; herav</t>
  </si>
  <si>
    <t xml:space="preserve">Regulatoriske justeringer i kjernekapitalen etter overgangsregler </t>
  </si>
  <si>
    <t xml:space="preserve">Uvektet kjernekapitalandel </t>
  </si>
  <si>
    <t>Uvektet kjernekapitalandel  (Kapital som kvalifiserer som kjernekapital)</t>
  </si>
  <si>
    <t xml:space="preserve">Uvektet kjernekapitalandel (Inkludert kjernekapital omfattet av overgangsregler) </t>
  </si>
  <si>
    <t xml:space="preserve">Regulatoriske justeringer for endringer i egen kredittverdighet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</si>
  <si>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</si>
  <si>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</si>
  <si>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</si>
  <si>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 xml:space="preserve"> Forholdet mellom ansvarlig kapital i regnskapet og den ansvarlige kapitalen som beregnes for kapitaldekningsformål.</t>
  </si>
  <si>
    <t>De viktigste avtalevilkårene for kapitalinstrumenter</t>
  </si>
  <si>
    <t>Sammensetningen av ansvarlig kapital for perioden 2014-2017</t>
  </si>
  <si>
    <t xml:space="preserve"> Beregning av uvektet kjernekapitalandel (Leverage ratio)</t>
  </si>
  <si>
    <t>9a</t>
  </si>
  <si>
    <t>9b</t>
  </si>
  <si>
    <t xml:space="preserve"> Sammensetningen av ansvarlig kapital for perioden 2014-2017</t>
  </si>
  <si>
    <t xml:space="preserve"> De viktigste avtalevilkårene for kapitalinstrumenter</t>
  </si>
  <si>
    <t>SpareBank1 SR-Bank ASA</t>
  </si>
  <si>
    <t>Uvektet kjernekapitalandel</t>
  </si>
  <si>
    <t>BN Bank ASA</t>
  </si>
  <si>
    <t xml:space="preserve">SpareBank 1 SR-Bank ASA sin andel i SpareBank 1 Boligkreditt </t>
  </si>
  <si>
    <t xml:space="preserve">SpareBank 1 SR-Bank ASA sin andel i SpareBank 1 Næringskreditt </t>
  </si>
  <si>
    <t>SpareBank 1 SR-Bank ASA sin andel i BN Bank</t>
  </si>
  <si>
    <t xml:space="preserve"> SpareBank 1 SR-Bank ASA Balanse etter regnskap 31.12.2014</t>
  </si>
  <si>
    <t>SpareBank 1 SR-Bank ASA Balanse etter kapitaldekning 31.12.2014</t>
  </si>
  <si>
    <t xml:space="preserve">Elimineringer </t>
  </si>
  <si>
    <t>1)</t>
  </si>
  <si>
    <t>1) Bokført verdi av aksjene i de respektive selskapene erstattes av SpareBank 1 SR-Bank sin andel av selskapene sine poster i balansen.</t>
  </si>
  <si>
    <t>2) Avsatt utbytte er basert på SpareBank 1 SR-Bank sin eierandel i selskapene pr 31.12.2014, mens faktisk utbytte blir tildelt i løpet av første halvår 2015 etter eierandel gjennom 2014.</t>
  </si>
  <si>
    <t xml:space="preserve">*Fra og med 2014 er foretak SMB en egen kategori som tidligere var klassifisert som øvrige foretak. Verdiendring i 2014 er derfor basert på summen av </t>
  </si>
  <si>
    <t>foretak SMB og øvrige foretak.</t>
  </si>
  <si>
    <t>Offentliggjøring av opplysninger om ansvarlig kapital</t>
  </si>
  <si>
    <t>Forholdet mellom ansvarlig kapital i regnskapet og den ansvarlige kapitalen som beregnes for kapitaldekningsformål</t>
  </si>
  <si>
    <t>NO0010566631</t>
  </si>
  <si>
    <t>NO0010663297</t>
  </si>
  <si>
    <t>NO0010703879</t>
  </si>
  <si>
    <t>Gjeld-amortisert kost</t>
  </si>
  <si>
    <t>25.02.2019
Regulatorisk call
Callkurs 100</t>
  </si>
  <si>
    <t>Kvartalsvis påfølgende</t>
  </si>
  <si>
    <t>12.12.2017
Regulatorisk call
 Callkurs 100</t>
  </si>
  <si>
    <t>4.39 (3 mnd NIBOR + 2.75 % frem til call, 3M NIBOR + 3.5 % dersom lånet løper videre)</t>
  </si>
  <si>
    <t>4.59 (3 mnd NIBOR + 3.00 % )</t>
  </si>
  <si>
    <t>5.42 (3 mnd NIBOR + 3.75 %)</t>
  </si>
  <si>
    <t>Full fleksibilitet</t>
  </si>
  <si>
    <t xml:space="preserve">Skal stå tilbake for all annen gjeld, dog slik at obligasjoner med renter skal dekkes foran eller likt med andre ansvarlige lån </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</si>
  <si>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</si>
  <si>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</si>
  <si>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</si>
  <si>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</si>
  <si>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SpareBank 1 Boligkreditt</t>
  </si>
  <si>
    <t>SpareBank 1 SR-Bank ASA eier 24,2 % av BN Bank ASA</t>
  </si>
  <si>
    <t>SpareBank 1 SR-Bank ASA eier 21,4 % av SpareBank 1 Boligkreditt</t>
  </si>
  <si>
    <t>NO0010713746</t>
  </si>
  <si>
    <t>NO0010665334</t>
  </si>
  <si>
    <t>Ansvarlig lån</t>
  </si>
  <si>
    <t>Flyt</t>
  </si>
  <si>
    <t>3mnd Nibor</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</si>
  <si>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</si>
  <si>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</si>
  <si>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</si>
  <si>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</si>
  <si>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</si>
  <si>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</si>
  <si>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</si>
  <si>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</si>
  <si>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</si>
  <si>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t>
  </si>
  <si>
    <t>Etter nedskrivning av obligasjonene kan utstederen skrive opp obligasjonene og betale obligasjonsrente i henhold til de til enhver tid gjeldende regler for slik oppskrivning og rentebetaling.</t>
  </si>
  <si>
    <t>Delvis nedskrivning gjennomføres ved at eventuelle påløpte renter på obligasjonene nedskrives først, og deretter nedskrives obligasjonene ved pro rata uttrekk av obligasjoner mellom obligasjonseieme, eller ved at innffielseskursen reduseres, eventuelt på andre måter som gir det tiltenkte finansielle resultat. Tillitsmannen kan splitte pålydende i forbindelse med nedskrivning. I perioden obligasjonene er skrevet ned, bortfaller kravet på obligasjonsrente.</t>
  </si>
  <si>
    <t>SpareBank 1 SR-Bank ASA eier 26,8 % av SpareBank 1 Næringskreditt</t>
  </si>
  <si>
    <t>Delkonsolidert nivå</t>
  </si>
  <si>
    <t>Tier  1</t>
  </si>
  <si>
    <t>Ref pkt  23</t>
  </si>
  <si>
    <t>ikke-kumulativ</t>
  </si>
  <si>
    <t>Tier 1</t>
  </si>
  <si>
    <t>Portefølje</t>
  </si>
  <si>
    <t>Estimert mislighold</t>
  </si>
  <si>
    <t>Faktisk mislighold</t>
  </si>
  <si>
    <t>2006-2014</t>
  </si>
  <si>
    <t>Massemarked med pant i fast eiendom</t>
  </si>
  <si>
    <t>Estimert tapsgrad</t>
  </si>
  <si>
    <t>Faktisk tapsgrad</t>
  </si>
  <si>
    <t>2006-2013</t>
  </si>
  <si>
    <t>Uvektet IRB Misligholdsnivå - PD per misligholdsklasse</t>
  </si>
  <si>
    <t xml:space="preserve">IRB - forventet tap (EL) og faktisk netto regnskapsført tap </t>
  </si>
  <si>
    <t>Forventet tap</t>
  </si>
  <si>
    <t>Faktisk tap</t>
  </si>
  <si>
    <t>2009-2014</t>
  </si>
  <si>
    <t>IRB Misligholdsnivå - PD per misligholdsklasse</t>
  </si>
  <si>
    <t>Uvektet IRB Misligholdsnivå - PD-modeller</t>
  </si>
  <si>
    <t>Vektet IRB Misligholdsnivå - PD-modeller</t>
  </si>
  <si>
    <t>IRB Misligholdsnivå - PD-modeller</t>
  </si>
  <si>
    <t>IRB Tapsgrad for misligholdte lån - LGD</t>
  </si>
  <si>
    <t xml:space="preserve"> IRB Tapsgrad for misligholdte lån - LGD (uvektet)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</si>
</sst>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s>
  <fonts count="47"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10"/>
      <color rgb="FFFF0000"/>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b/>
      <sz val="10"/>
      <name val="Calibri"/>
      <family val="2"/>
      <scheme val="minor"/>
    </font>
    <font>
      <b/>
      <sz val="10"/>
      <color theme="1"/>
      <name val="Calibri"/>
      <family val="2"/>
      <scheme val="minor"/>
    </font>
    <font>
      <i/>
      <sz val="9"/>
      <name val="Calibri"/>
      <family val="2"/>
    </font>
    <font>
      <b/>
      <sz val="9"/>
      <name val="Calibri"/>
      <family val="2"/>
    </font>
    <font>
      <sz val="9"/>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style="thin">
        <color indexed="64"/>
      </right>
      <top/>
      <bottom style="medium">
        <color theme="1" tint="0.499984740745262"/>
      </bottom>
      <diagonal/>
    </border>
    <border>
      <left/>
      <right style="thin">
        <color indexed="64"/>
      </right>
      <top/>
      <bottom/>
      <diagonal/>
    </border>
    <border>
      <left/>
      <right style="thin">
        <color indexed="64"/>
      </right>
      <top style="thin">
        <color theme="1" tint="0.499984740745262"/>
      </top>
      <bottom/>
      <diagonal/>
    </border>
    <border>
      <left/>
      <right style="thin">
        <color indexed="64"/>
      </right>
      <top style="thin">
        <color theme="1" tint="0.499984740745262"/>
      </top>
      <bottom style="thin">
        <color theme="1" tint="0.499984740745262"/>
      </bottom>
      <diagonal/>
    </border>
    <border>
      <left/>
      <right/>
      <top/>
      <bottom style="thin">
        <color theme="0"/>
      </bottom>
      <diagonal/>
    </border>
    <border>
      <left style="thin">
        <color indexed="64"/>
      </left>
      <right/>
      <top/>
      <bottom/>
      <diagonal/>
    </border>
    <border>
      <left style="thin">
        <color indexed="64"/>
      </left>
      <right/>
      <top/>
      <bottom style="medium">
        <color theme="1" tint="0.499984740745262"/>
      </bottom>
      <diagonal/>
    </border>
    <border>
      <left/>
      <right/>
      <top style="thin">
        <color auto="1"/>
      </top>
      <bottom style="thin">
        <color indexed="64"/>
      </bottom>
      <diagonal/>
    </border>
    <border>
      <left style="thin">
        <color indexed="64"/>
      </left>
      <right/>
      <top style="thin">
        <color theme="1" tint="0.499984740745262"/>
      </top>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s>
  <cellStyleXfs count="17">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20"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cellStyleXfs>
  <cellXfs count="676">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left" wrapText="1"/>
    </xf>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171" fontId="10" fillId="2" borderId="0" xfId="0" applyNumberFormat="1" applyFont="1" applyFill="1"/>
    <xf numFmtId="2" fontId="10" fillId="2" borderId="0" xfId="0" applyNumberFormat="1" applyFont="1" applyFill="1"/>
    <xf numFmtId="171" fontId="10" fillId="2" borderId="5" xfId="0" applyNumberFormat="1" applyFont="1" applyFill="1" applyBorder="1"/>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0" fillId="2" borderId="6" xfId="0" applyFont="1" applyFill="1" applyBorder="1" applyAlignment="1">
      <alignment horizontal="left"/>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0" borderId="0" xfId="0" applyFont="1" applyFill="1" applyBorder="1" applyAlignment="1">
      <alignment vertical="top" wrapText="1"/>
    </xf>
    <xf numFmtId="0" fontId="11" fillId="2" borderId="0" xfId="0" applyFont="1" applyFill="1" applyBorder="1" applyAlignment="1">
      <alignment horizontal="left" vertical="top"/>
    </xf>
    <xf numFmtId="0" fontId="10" fillId="2" borderId="0" xfId="0" applyFont="1" applyFill="1" applyAlignment="1">
      <alignment vertical="top" wrapText="1"/>
    </xf>
    <xf numFmtId="0" fontId="10" fillId="2" borderId="6" xfId="0" applyFont="1" applyFill="1" applyBorder="1" applyAlignment="1">
      <alignment horizontal="left" vertical="top" wrapText="1"/>
    </xf>
    <xf numFmtId="0" fontId="11" fillId="2" borderId="6" xfId="0" applyFont="1" applyFill="1" applyBorder="1" applyAlignment="1">
      <alignment horizontal="right" wrapText="1"/>
    </xf>
    <xf numFmtId="0" fontId="10" fillId="2" borderId="6" xfId="0" applyFont="1" applyFill="1" applyBorder="1" applyAlignment="1">
      <alignment horizontal="right" wrapText="1"/>
    </xf>
    <xf numFmtId="0" fontId="10" fillId="2" borderId="0" xfId="0" quotePrefix="1" applyFont="1" applyFill="1" applyBorder="1" applyAlignment="1">
      <alignment horizontal="lef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3" fontId="10"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1" fillId="2" borderId="10" xfId="0" applyFont="1" applyFill="1" applyBorder="1" applyAlignment="1"/>
    <xf numFmtId="0" fontId="11" fillId="2" borderId="9" xfId="0" applyFont="1" applyFill="1" applyBorder="1" applyAlignment="1">
      <alignment horizontal="right"/>
    </xf>
    <xf numFmtId="0" fontId="10" fillId="2" borderId="0" xfId="5" applyFont="1" applyFill="1" applyAlignment="1">
      <alignment horizontal="left" vertical="top"/>
    </xf>
    <xf numFmtId="3" fontId="11" fillId="2" borderId="0" xfId="11" applyNumberFormat="1" applyFont="1" applyFill="1" applyAlignment="1">
      <alignment horizontal="right" vertical="top" wrapText="1"/>
    </xf>
    <xf numFmtId="3" fontId="10" fillId="2" borderId="0" xfId="11" applyNumberFormat="1" applyFont="1" applyFill="1" applyAlignment="1">
      <alignment horizontal="right" vertical="top" wrapText="1"/>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3" fontId="10"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3" fontId="10" fillId="2" borderId="8" xfId="11" applyNumberFormat="1" applyFont="1" applyFill="1" applyBorder="1" applyAlignment="1">
      <alignment horizontal="right" vertical="top"/>
    </xf>
    <xf numFmtId="0" fontId="11" fillId="2" borderId="7" xfId="0" applyFont="1" applyFill="1" applyBorder="1" applyAlignment="1">
      <alignment horizontal="right"/>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0" borderId="7" xfId="0" applyNumberFormat="1" applyFont="1" applyFill="1" applyBorder="1" applyAlignment="1">
      <alignment horizontal="right"/>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13" xfId="0" applyFont="1" applyFill="1" applyBorder="1" applyAlignment="1">
      <alignment horizontal="left"/>
    </xf>
    <xf numFmtId="0" fontId="23" fillId="4" borderId="13" xfId="0" applyFont="1" applyFill="1" applyBorder="1" applyAlignment="1">
      <alignment horizontal="center"/>
    </xf>
    <xf numFmtId="0" fontId="24" fillId="4" borderId="13"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0" fillId="3" borderId="0" xfId="0" applyFont="1" applyFill="1" applyBorder="1" applyAlignment="1">
      <alignment horizontal="left" wrapText="1"/>
    </xf>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4" xfId="0" applyFont="1" applyFill="1" applyBorder="1" applyAlignment="1">
      <alignment horizontal="left"/>
    </xf>
    <xf numFmtId="0" fontId="11" fillId="2" borderId="15" xfId="0" applyFont="1" applyFill="1" applyBorder="1" applyAlignment="1">
      <alignment horizontal="right" wrapText="1"/>
    </xf>
    <xf numFmtId="170" fontId="11" fillId="2" borderId="0" xfId="11" applyNumberFormat="1" applyFont="1" applyFill="1" applyBorder="1" applyAlignment="1">
      <alignment horizontal="left" vertical="top"/>
    </xf>
    <xf numFmtId="3" fontId="10" fillId="2" borderId="10" xfId="11" applyNumberFormat="1" applyFont="1" applyFill="1" applyBorder="1" applyAlignment="1">
      <alignment horizontal="right" vertical="top" wrapText="1"/>
    </xf>
    <xf numFmtId="3" fontId="10" fillId="2" borderId="14" xfId="11" applyNumberFormat="1" applyFont="1" applyFill="1" applyBorder="1" applyAlignment="1">
      <alignment horizontal="right" vertical="top" wrapText="1"/>
    </xf>
    <xf numFmtId="3" fontId="10" fillId="2" borderId="14" xfId="1" applyNumberFormat="1" applyFont="1" applyFill="1" applyBorder="1" applyAlignment="1">
      <alignment horizontal="right" vertical="top" wrapText="1"/>
    </xf>
    <xf numFmtId="3" fontId="10" fillId="2" borderId="0" xfId="1" applyNumberFormat="1" applyFont="1" applyFill="1" applyAlignment="1">
      <alignment horizontal="right" vertical="top" wrapText="1"/>
    </xf>
    <xf numFmtId="3" fontId="10" fillId="2" borderId="0" xfId="11" applyNumberFormat="1" applyFont="1" applyFill="1" applyBorder="1" applyAlignment="1">
      <alignment horizontal="right" vertical="top"/>
    </xf>
    <xf numFmtId="3" fontId="10" fillId="2" borderId="10" xfId="1" applyNumberFormat="1" applyFont="1" applyFill="1" applyBorder="1" applyAlignment="1">
      <alignment horizontal="right" vertical="top" wrapText="1"/>
    </xf>
    <xf numFmtId="3" fontId="10" fillId="2" borderId="17" xfId="11" applyNumberFormat="1" applyFont="1" applyFill="1" applyBorder="1" applyAlignment="1">
      <alignment horizontal="right" vertical="top" wrapText="1"/>
    </xf>
    <xf numFmtId="3" fontId="10" fillId="2" borderId="11" xfId="11" applyNumberFormat="1" applyFont="1" applyFill="1" applyBorder="1" applyAlignment="1">
      <alignment horizontal="right" vertical="top"/>
    </xf>
    <xf numFmtId="3" fontId="11" fillId="2" borderId="16" xfId="0" applyNumberFormat="1" applyFont="1" applyFill="1" applyBorder="1" applyAlignment="1">
      <alignment horizontal="right"/>
    </xf>
    <xf numFmtId="3" fontId="10" fillId="2" borderId="18" xfId="0" applyNumberFormat="1" applyFont="1" applyFill="1" applyBorder="1" applyAlignment="1">
      <alignment horizontal="right"/>
    </xf>
    <xf numFmtId="3" fontId="10" fillId="2" borderId="12" xfId="0" applyNumberFormat="1" applyFont="1" applyFill="1" applyBorder="1" applyAlignment="1">
      <alignment horizontal="righ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6"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6" xfId="0" applyFont="1" applyBorder="1"/>
    <xf numFmtId="3" fontId="11" fillId="0" borderId="16"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1" fillId="2" borderId="6" xfId="0" applyFont="1" applyFill="1" applyBorder="1" applyAlignment="1">
      <alignment horizontal="left" wrapText="1"/>
    </xf>
    <xf numFmtId="41" fontId="30"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170" fontId="11" fillId="2" borderId="8" xfId="11" applyNumberFormat="1" applyFont="1" applyFill="1" applyBorder="1" applyAlignment="1">
      <alignment vertical="top"/>
    </xf>
    <xf numFmtId="3" fontId="11" fillId="2" borderId="10" xfId="11" applyNumberFormat="1" applyFont="1" applyFill="1" applyBorder="1" applyAlignment="1">
      <alignment horizontal="right" vertical="top" wrapText="1"/>
    </xf>
    <xf numFmtId="3" fontId="11" fillId="0" borderId="16" xfId="11" applyNumberFormat="1" applyFont="1" applyFill="1" applyBorder="1" applyAlignment="1">
      <alignment horizontal="right" vertical="top" wrapText="1"/>
    </xf>
    <xf numFmtId="0" fontId="10" fillId="2" borderId="0" xfId="0" applyFont="1" applyFill="1"/>
    <xf numFmtId="0" fontId="10" fillId="2" borderId="0" xfId="0" applyFont="1" applyFill="1" applyBorder="1" applyAlignment="1">
      <alignment horizontal="left"/>
    </xf>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0" fontId="10" fillId="3" borderId="0" xfId="0" applyFont="1" applyFill="1"/>
    <xf numFmtId="0" fontId="10" fillId="3" borderId="0" xfId="0" applyFont="1" applyFill="1"/>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41" fontId="11" fillId="0" borderId="16" xfId="1" applyNumberFormat="1" applyFont="1" applyFill="1" applyBorder="1" applyAlignment="1">
      <alignment vertical="top"/>
    </xf>
    <xf numFmtId="41" fontId="10" fillId="0" borderId="16" xfId="1" applyNumberFormat="1" applyFont="1" applyFill="1" applyBorder="1" applyAlignment="1">
      <alignment vertical="top"/>
    </xf>
    <xf numFmtId="3" fontId="11" fillId="3" borderId="0" xfId="0" applyNumberFormat="1" applyFont="1" applyFill="1" applyAlignment="1"/>
    <xf numFmtId="0" fontId="10" fillId="3" borderId="0" xfId="0" applyFont="1" applyFill="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0" fontId="11" fillId="3" borderId="0" xfId="0" applyFont="1" applyFill="1" applyBorder="1"/>
    <xf numFmtId="0" fontId="11" fillId="0" borderId="16" xfId="5" applyFont="1" applyFill="1" applyBorder="1">
      <alignment horizontal="left" vertical="top"/>
    </xf>
    <xf numFmtId="3" fontId="10" fillId="0" borderId="16" xfId="0" applyNumberFormat="1" applyFont="1" applyBorder="1"/>
    <xf numFmtId="0" fontId="10" fillId="2" borderId="0" xfId="0" applyFont="1" applyFill="1" applyBorder="1" applyAlignment="1">
      <alignment horizontal="left" vertical="top"/>
    </xf>
    <xf numFmtId="3" fontId="10" fillId="0" borderId="0" xfId="11" applyNumberFormat="1" applyFont="1" applyFill="1" applyBorder="1" applyAlignment="1">
      <alignment horizontal="right" wrapText="1"/>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170" fontId="11" fillId="2" borderId="0" xfId="11" applyNumberFormat="1" applyFont="1" applyFill="1" applyAlignment="1">
      <alignment vertical="top"/>
    </xf>
    <xf numFmtId="3" fontId="11" fillId="2" borderId="0" xfId="1" applyNumberFormat="1" applyFont="1" applyFill="1" applyBorder="1" applyAlignment="1">
      <alignment vertical="top" wrapText="1"/>
    </xf>
    <xf numFmtId="170" fontId="11" fillId="2" borderId="16" xfId="11" applyNumberFormat="1" applyFont="1" applyFill="1" applyBorder="1" applyAlignment="1">
      <alignment vertical="top"/>
    </xf>
    <xf numFmtId="170" fontId="11" fillId="2" borderId="16" xfId="11" applyNumberFormat="1" applyFont="1" applyFill="1" applyBorder="1" applyAlignment="1"/>
    <xf numFmtId="170" fontId="10" fillId="2" borderId="0" xfId="11" applyNumberFormat="1" applyFont="1" applyFill="1" applyAlignment="1">
      <alignment vertical="top"/>
    </xf>
    <xf numFmtId="3" fontId="11" fillId="2" borderId="19" xfId="0" applyNumberFormat="1" applyFont="1" applyFill="1" applyBorder="1" applyAlignment="1">
      <alignment horizontal="right"/>
    </xf>
    <xf numFmtId="0" fontId="10" fillId="3" borderId="0" xfId="0" applyFont="1" applyFill="1" applyBorder="1" applyAlignment="1">
      <alignment horizontal="left" wrapText="1"/>
    </xf>
    <xf numFmtId="3" fontId="21" fillId="3" borderId="5" xfId="0" applyNumberFormat="1" applyFont="1" applyFill="1" applyBorder="1" applyAlignment="1">
      <alignment wrapText="1"/>
    </xf>
    <xf numFmtId="3" fontId="10" fillId="3" borderId="0" xfId="11" applyNumberFormat="1" applyFont="1" applyFill="1" applyBorder="1" applyAlignment="1"/>
    <xf numFmtId="0" fontId="10" fillId="2" borderId="0" xfId="0" applyFont="1" applyFill="1" applyBorder="1" applyAlignment="1">
      <alignment horizontal="lef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3" borderId="0" xfId="0" applyFont="1" applyFill="1" applyBorder="1" applyAlignment="1">
      <alignment horizontal="left" wrapText="1"/>
    </xf>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169" fontId="11" fillId="3" borderId="0" xfId="11" applyNumberFormat="1" applyFont="1" applyFill="1" applyBorder="1" applyAlignment="1"/>
    <xf numFmtId="0" fontId="10" fillId="3" borderId="0" xfId="0" applyFont="1" applyFill="1"/>
    <xf numFmtId="3" fontId="11" fillId="3" borderId="1" xfId="0" applyNumberFormat="1" applyFont="1" applyFill="1" applyBorder="1" applyAlignment="1">
      <alignment horizontal="right" vertical="top" wrapText="1"/>
    </xf>
    <xf numFmtId="3" fontId="11" fillId="3" borderId="16" xfId="0" applyNumberFormat="1" applyFont="1" applyFill="1" applyBorder="1" applyAlignment="1">
      <alignment horizontal="right"/>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0" fillId="3" borderId="0" xfId="0" applyFont="1" applyFill="1"/>
    <xf numFmtId="0" fontId="0" fillId="3" borderId="0" xfId="0" applyFill="1"/>
    <xf numFmtId="0" fontId="0" fillId="3" borderId="0" xfId="0" applyFont="1" applyFill="1"/>
    <xf numFmtId="0" fontId="35" fillId="3" borderId="0" xfId="0" applyFont="1" applyFill="1" applyBorder="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21" xfId="5" applyFont="1" applyFill="1" applyBorder="1">
      <alignment horizontal="left" vertical="top"/>
    </xf>
    <xf numFmtId="0" fontId="36"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21" xfId="0" applyFont="1" applyFill="1" applyBorder="1" applyAlignment="1">
      <alignment horizontal="right"/>
    </xf>
    <xf numFmtId="0" fontId="37" fillId="3" borderId="21" xfId="0" applyFont="1" applyFill="1" applyBorder="1" applyAlignment="1">
      <alignment vertical="center"/>
    </xf>
    <xf numFmtId="0" fontId="11" fillId="3" borderId="21" xfId="0" applyFont="1" applyFill="1" applyBorder="1" applyAlignment="1">
      <alignment horizontal="right"/>
    </xf>
    <xf numFmtId="0" fontId="39" fillId="3" borderId="0" xfId="0" applyFont="1" applyFill="1" applyBorder="1"/>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9" fillId="3" borderId="0" xfId="0" applyFont="1" applyFill="1" applyBorder="1" applyAlignment="1">
      <alignment vertical="top" wrapText="1"/>
    </xf>
    <xf numFmtId="0" fontId="39" fillId="3" borderId="0" xfId="0" applyFont="1" applyFill="1" applyBorder="1" applyAlignment="1">
      <alignment vertical="top"/>
    </xf>
    <xf numFmtId="0" fontId="39" fillId="3" borderId="0" xfId="0" applyFont="1" applyFill="1" applyBorder="1" applyAlignment="1">
      <alignment wrapText="1"/>
    </xf>
    <xf numFmtId="10" fontId="10" fillId="3" borderId="0" xfId="0" applyNumberFormat="1" applyFont="1" applyFill="1" applyBorder="1"/>
    <xf numFmtId="0" fontId="37" fillId="3" borderId="21" xfId="0" applyFont="1" applyFill="1" applyBorder="1" applyAlignment="1">
      <alignment horizontal="right" vertical="center"/>
    </xf>
    <xf numFmtId="0" fontId="39" fillId="3" borderId="21"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9" fillId="3" borderId="0" xfId="0" applyFont="1" applyFill="1" applyBorder="1" applyAlignment="1">
      <alignment horizontal="right" wrapText="1"/>
    </xf>
    <xf numFmtId="0" fontId="11" fillId="3" borderId="21" xfId="0" applyFont="1" applyFill="1" applyBorder="1" applyAlignment="1">
      <alignment horizontal="left"/>
    </xf>
    <xf numFmtId="0" fontId="39" fillId="3" borderId="0" xfId="0" applyFont="1" applyFill="1" applyBorder="1" applyAlignment="1"/>
    <xf numFmtId="0" fontId="39" fillId="3" borderId="0" xfId="0" applyFont="1" applyFill="1" applyBorder="1" applyAlignment="1">
      <alignment horizontal="right"/>
    </xf>
    <xf numFmtId="0" fontId="40" fillId="3" borderId="0" xfId="0" applyFont="1" applyFill="1" applyBorder="1" applyAlignment="1">
      <alignment horizontal="right" vertical="top" wrapText="1"/>
    </xf>
    <xf numFmtId="0" fontId="40" fillId="3" borderId="0" xfId="0" applyFont="1" applyFill="1" applyBorder="1" applyAlignment="1">
      <alignment horizontal="right" wrapText="1"/>
    </xf>
    <xf numFmtId="0" fontId="40" fillId="3" borderId="0" xfId="0" applyFont="1" applyFill="1" applyBorder="1" applyAlignment="1">
      <alignment horizontal="right"/>
    </xf>
    <xf numFmtId="0" fontId="35"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1"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9" fillId="3" borderId="21"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1" fillId="3" borderId="0" xfId="0" applyFont="1" applyFill="1" applyBorder="1" applyAlignment="1"/>
    <xf numFmtId="0" fontId="39" fillId="3" borderId="21" xfId="0" applyFont="1" applyFill="1" applyBorder="1" applyAlignment="1">
      <alignment horizontal="right" wrapText="1"/>
    </xf>
    <xf numFmtId="3" fontId="10" fillId="3" borderId="0" xfId="1" applyNumberFormat="1" applyFont="1" applyFill="1" applyBorder="1" applyAlignment="1">
      <alignment horizontal="right" vertical="top"/>
    </xf>
    <xf numFmtId="0" fontId="41" fillId="3" borderId="0" xfId="0" applyFont="1" applyFill="1" applyBorder="1" applyAlignment="1">
      <alignment horizontal="right"/>
    </xf>
    <xf numFmtId="170" fontId="11" fillId="2" borderId="7" xfId="11" applyNumberFormat="1" applyFont="1" applyFill="1" applyBorder="1"/>
    <xf numFmtId="170" fontId="39" fillId="3" borderId="21" xfId="11" applyNumberFormat="1" applyFont="1" applyFill="1" applyBorder="1" applyAlignment="1">
      <alignment wrapText="1"/>
    </xf>
    <xf numFmtId="0" fontId="40" fillId="3" borderId="0" xfId="0" applyFont="1" applyFill="1"/>
    <xf numFmtId="0" fontId="40" fillId="3" borderId="0" xfId="0" applyFont="1" applyFill="1" applyBorder="1"/>
    <xf numFmtId="0" fontId="10" fillId="3" borderId="0" xfId="0" applyFont="1" applyFill="1" applyBorder="1" applyAlignment="1">
      <alignment horizontal="left" vertical="center" wrapText="1"/>
    </xf>
    <xf numFmtId="0" fontId="10" fillId="3" borderId="0" xfId="14" quotePrefix="1" applyFont="1" applyFill="1" applyBorder="1">
      <alignment horizontal="center" vertical="center"/>
    </xf>
    <xf numFmtId="10" fontId="11" fillId="3" borderId="0" xfId="10" applyNumberFormat="1" applyFont="1" applyFill="1" applyBorder="1" applyAlignment="1">
      <alignment horizontal="right" vertical="center"/>
    </xf>
    <xf numFmtId="170" fontId="11" fillId="3" borderId="0" xfId="11" applyNumberFormat="1" applyFont="1" applyFill="1" applyBorder="1" applyAlignment="1">
      <alignment horizontal="right"/>
    </xf>
    <xf numFmtId="10" fontId="11" fillId="3" borderId="0" xfId="10" applyNumberFormat="1" applyFont="1" applyFill="1" applyBorder="1" applyAlignment="1">
      <alignment horizontal="right"/>
    </xf>
    <xf numFmtId="14" fontId="11" fillId="2" borderId="6" xfId="0" applyNumberFormat="1" applyFont="1" applyFill="1" applyBorder="1" applyAlignment="1">
      <alignment horizontal="right"/>
    </xf>
    <xf numFmtId="3" fontId="40" fillId="3" borderId="0" xfId="0" applyNumberFormat="1" applyFont="1" applyFill="1" applyBorder="1" applyAlignment="1" applyProtection="1">
      <alignment horizontal="right"/>
      <protection locked="0"/>
    </xf>
    <xf numFmtId="3" fontId="10" fillId="3" borderId="0" xfId="0" applyNumberFormat="1" applyFont="1" applyFill="1" applyBorder="1" applyAlignment="1" applyProtection="1">
      <alignment horizontal="right"/>
      <protection locked="0"/>
    </xf>
    <xf numFmtId="170" fontId="40" fillId="3" borderId="0" xfId="11" applyNumberFormat="1" applyFont="1" applyFill="1" applyBorder="1" applyAlignment="1" applyProtection="1">
      <alignment horizontal="right"/>
      <protection locked="0"/>
    </xf>
    <xf numFmtId="0" fontId="13" fillId="3" borderId="0" xfId="0" applyFont="1" applyFill="1" applyBorder="1" applyAlignment="1">
      <alignment horizontal="left" wrapText="1" indent="2"/>
    </xf>
    <xf numFmtId="3" fontId="10" fillId="3" borderId="0" xfId="0" applyNumberFormat="1" applyFont="1" applyFill="1" applyBorder="1" applyAlignment="1">
      <alignment vertical="top"/>
    </xf>
    <xf numFmtId="170" fontId="10" fillId="3" borderId="0" xfId="0" applyNumberFormat="1" applyFont="1" applyFill="1" applyBorder="1"/>
    <xf numFmtId="0" fontId="10" fillId="3" borderId="0" xfId="0" applyFont="1" applyFill="1" applyAlignment="1">
      <alignment horizontal="right"/>
    </xf>
    <xf numFmtId="0" fontId="10" fillId="3" borderId="0" xfId="0" applyFont="1" applyFill="1" applyAlignment="1">
      <alignment horizontal="left" vertical="top"/>
    </xf>
    <xf numFmtId="0" fontId="10" fillId="3" borderId="21" xfId="0" applyFont="1" applyFill="1" applyBorder="1" applyAlignment="1">
      <alignment horizontal="left" vertical="top"/>
    </xf>
    <xf numFmtId="0" fontId="38"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0" fontId="42" fillId="5" borderId="0" xfId="0" applyFont="1" applyFill="1" applyAlignment="1">
      <alignment horizontal="left" vertical="center"/>
    </xf>
    <xf numFmtId="0" fontId="34" fillId="5" borderId="0" xfId="0" applyFont="1" applyFill="1" applyAlignment="1">
      <alignment horizontal="right"/>
    </xf>
    <xf numFmtId="0" fontId="43" fillId="5" borderId="0" xfId="0" applyFont="1" applyFill="1"/>
    <xf numFmtId="0" fontId="10" fillId="3" borderId="0" xfId="0" applyFont="1" applyFill="1"/>
    <xf numFmtId="3" fontId="11" fillId="3" borderId="0" xfId="0" applyNumberFormat="1" applyFont="1" applyFill="1" applyBorder="1" applyAlignment="1" applyProtection="1">
      <alignment horizontal="right"/>
      <protection locked="0"/>
    </xf>
    <xf numFmtId="3" fontId="11" fillId="3" borderId="22" xfId="1" applyNumberFormat="1" applyFont="1" applyFill="1" applyBorder="1">
      <alignment horizontal="right" vertical="top"/>
    </xf>
    <xf numFmtId="3" fontId="11" fillId="3" borderId="21" xfId="1" applyNumberFormat="1" applyFont="1" applyFill="1" applyBorder="1">
      <alignment horizontal="right" vertical="top"/>
    </xf>
    <xf numFmtId="3" fontId="11" fillId="3" borderId="21"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0" xfId="0" applyFont="1" applyFill="1"/>
    <xf numFmtId="0" fontId="10" fillId="3" borderId="21" xfId="0" applyFont="1" applyFill="1" applyBorder="1"/>
    <xf numFmtId="0" fontId="10" fillId="3" borderId="21" xfId="0" applyFont="1" applyFill="1" applyBorder="1" applyAlignment="1">
      <alignment wrapText="1"/>
    </xf>
    <xf numFmtId="0" fontId="10" fillId="3" borderId="21" xfId="0" applyFont="1" applyFill="1" applyBorder="1" applyAlignment="1">
      <alignment horizontal="right"/>
    </xf>
    <xf numFmtId="0" fontId="10" fillId="3" borderId="21" xfId="0" applyFont="1" applyFill="1" applyBorder="1" applyAlignment="1">
      <alignment horizontal="left" wrapText="1"/>
    </xf>
    <xf numFmtId="0" fontId="37" fillId="3" borderId="21" xfId="0" applyFont="1" applyFill="1" applyBorder="1" applyAlignment="1"/>
    <xf numFmtId="14" fontId="10" fillId="3" borderId="0" xfId="0" applyNumberFormat="1" applyFont="1" applyFill="1" applyBorder="1" applyAlignment="1">
      <alignment horizontal="right"/>
    </xf>
    <xf numFmtId="14" fontId="0" fillId="3" borderId="0" xfId="0" applyNumberFormat="1" applyFill="1"/>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170" fontId="10" fillId="3" borderId="0" xfId="11" applyNumberFormat="1" applyFont="1" applyFill="1" applyBorder="1" applyAlignment="1">
      <alignment horizontal="right"/>
    </xf>
    <xf numFmtId="0" fontId="10" fillId="0" borderId="0" xfId="5" applyNumberFormat="1" applyFont="1" applyFill="1" applyBorder="1" applyAlignment="1">
      <alignment horizontal="right" vertical="top"/>
    </xf>
    <xf numFmtId="0" fontId="44" fillId="0" borderId="0" xfId="0" applyFont="1" applyAlignment="1">
      <alignment horizontal="justify"/>
    </xf>
    <xf numFmtId="0" fontId="45" fillId="0" borderId="0" xfId="0" applyFont="1" applyAlignment="1">
      <alignment horizontal="right" vertical="top"/>
    </xf>
    <xf numFmtId="0" fontId="45" fillId="0" borderId="23" xfId="0" applyFont="1" applyBorder="1" applyAlignment="1">
      <alignment horizontal="right" vertical="top"/>
    </xf>
    <xf numFmtId="0" fontId="45" fillId="0" borderId="23" xfId="0" applyFont="1" applyBorder="1" applyAlignment="1">
      <alignment vertical="top"/>
    </xf>
    <xf numFmtId="0" fontId="46" fillId="0" borderId="0" xfId="0" applyFont="1" applyAlignment="1">
      <alignment vertical="top" wrapText="1"/>
    </xf>
    <xf numFmtId="10" fontId="46" fillId="0" borderId="0" xfId="0" applyNumberFormat="1" applyFont="1" applyAlignment="1">
      <alignment horizontal="right" wrapText="1"/>
    </xf>
    <xf numFmtId="10" fontId="46" fillId="0" borderId="0" xfId="0" applyNumberFormat="1" applyFont="1" applyAlignment="1">
      <alignment horizontal="right" vertical="top" wrapText="1"/>
    </xf>
    <xf numFmtId="0" fontId="45" fillId="0" borderId="0" xfId="0" applyFont="1" applyBorder="1" applyAlignment="1">
      <alignment horizontal="right" vertical="top" wrapText="1"/>
    </xf>
    <xf numFmtId="0" fontId="46" fillId="0" borderId="0" xfId="0" applyFont="1" applyBorder="1" applyAlignment="1">
      <alignment vertical="center" wrapText="1"/>
    </xf>
    <xf numFmtId="169" fontId="46" fillId="0" borderId="0" xfId="0" applyNumberFormat="1" applyFont="1" applyBorder="1" applyAlignment="1">
      <alignment vertical="center" wrapText="1"/>
    </xf>
    <xf numFmtId="169" fontId="46" fillId="0" borderId="0" xfId="0" applyNumberFormat="1" applyFont="1" applyAlignment="1">
      <alignment horizontal="right" vertical="center" wrapText="1"/>
    </xf>
    <xf numFmtId="0" fontId="46" fillId="0" borderId="0" xfId="0" applyFont="1" applyAlignment="1">
      <alignment vertical="center" wrapText="1"/>
    </xf>
    <xf numFmtId="169" fontId="46"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5" fillId="0" borderId="0" xfId="12" applyFont="1" applyBorder="1" applyAlignment="1">
      <alignment horizontal="right" vertical="top" wrapText="1"/>
    </xf>
    <xf numFmtId="0" fontId="45" fillId="0" borderId="23" xfId="12" applyFont="1" applyBorder="1" applyAlignment="1">
      <alignment vertical="top"/>
    </xf>
    <xf numFmtId="0" fontId="45" fillId="0" borderId="23" xfId="12" applyFont="1" applyBorder="1" applyAlignment="1">
      <alignment horizontal="right" vertical="top"/>
    </xf>
    <xf numFmtId="0" fontId="46" fillId="0" borderId="0" xfId="12" applyFont="1" applyBorder="1" applyAlignment="1">
      <alignment vertical="center" wrapText="1"/>
    </xf>
    <xf numFmtId="169" fontId="46" fillId="0" borderId="0" xfId="16" applyNumberFormat="1" applyFont="1" applyBorder="1" applyAlignment="1">
      <alignment vertical="center" wrapText="1"/>
    </xf>
    <xf numFmtId="169" fontId="46" fillId="0" borderId="0" xfId="16" applyNumberFormat="1" applyFont="1" applyAlignment="1">
      <alignment horizontal="right" vertical="center" wrapText="1"/>
    </xf>
    <xf numFmtId="0" fontId="46" fillId="0" borderId="0" xfId="12" applyFont="1" applyAlignment="1">
      <alignment vertical="center" wrapText="1"/>
    </xf>
    <xf numFmtId="169" fontId="46" fillId="0" borderId="0" xfId="16" applyNumberFormat="1" applyFont="1" applyAlignment="1">
      <alignment vertical="center" wrapText="1"/>
    </xf>
    <xf numFmtId="169" fontId="10" fillId="2" borderId="0" xfId="16" applyNumberFormat="1" applyFont="1" applyFill="1" applyAlignment="1">
      <alignment vertical="center"/>
    </xf>
    <xf numFmtId="10" fontId="46" fillId="0" borderId="0" xfId="16" applyNumberFormat="1" applyFont="1" applyBorder="1" applyAlignment="1">
      <alignment vertical="center" wrapText="1"/>
    </xf>
    <xf numFmtId="10" fontId="46" fillId="0" borderId="0" xfId="16" applyNumberFormat="1" applyFont="1" applyAlignment="1">
      <alignment horizontal="right" vertical="center" wrapText="1"/>
    </xf>
    <xf numFmtId="10" fontId="46" fillId="0" borderId="0" xfId="16" applyNumberFormat="1" applyFont="1" applyAlignment="1">
      <alignment vertical="center" wrapText="1"/>
    </xf>
    <xf numFmtId="10" fontId="10" fillId="2" borderId="0" xfId="16" applyNumberFormat="1" applyFont="1" applyFill="1" applyAlignment="1">
      <alignment vertical="center"/>
    </xf>
    <xf numFmtId="0" fontId="10" fillId="5" borderId="0" xfId="12" applyFont="1" applyFill="1"/>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14" fontId="11" fillId="2" borderId="0" xfId="0" applyNumberFormat="1" applyFont="1" applyFill="1" applyBorder="1" applyAlignment="1">
      <alignment horizontal="center"/>
    </xf>
    <xf numFmtId="0" fontId="31" fillId="0" borderId="0" xfId="0" applyFont="1" applyAlignment="1">
      <alignment horizontal="center"/>
    </xf>
    <xf numFmtId="14" fontId="10" fillId="2" borderId="0" xfId="0" applyNumberFormat="1" applyFont="1" applyFill="1" applyBorder="1" applyAlignment="1">
      <alignment horizontal="center"/>
    </xf>
    <xf numFmtId="0" fontId="0" fillId="0" borderId="0" xfId="0"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2" borderId="0" xfId="0" applyFont="1" applyFill="1" applyBorder="1" applyAlignment="1">
      <alignment horizontal="center" vertical="top"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3" fillId="2" borderId="0" xfId="0" applyFont="1" applyFill="1" applyBorder="1" applyAlignment="1">
      <alignment horizontal="left" vertical="top" wrapText="1"/>
    </xf>
    <xf numFmtId="0" fontId="45" fillId="0" borderId="0" xfId="0" applyFont="1" applyAlignment="1">
      <alignment wrapText="1"/>
    </xf>
    <xf numFmtId="0" fontId="45" fillId="0" borderId="23" xfId="0" applyFont="1" applyBorder="1" applyAlignment="1">
      <alignment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5" fillId="2" borderId="0" xfId="0" applyFont="1" applyFill="1" applyBorder="1" applyAlignment="1">
      <alignment horizontal="left" vertical="top" wrapText="1"/>
    </xf>
    <xf numFmtId="0" fontId="35"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39" fillId="3" borderId="0" xfId="0" applyFont="1" applyFill="1" applyBorder="1"/>
  </cellXfs>
  <cellStyles count="17">
    <cellStyle name="EY0dp" xfId="1"/>
    <cellStyle name="EYColumnHeading" xfId="2"/>
    <cellStyle name="EYnumber" xfId="3"/>
    <cellStyle name="EYSheetHeader1" xfId="4"/>
    <cellStyle name="EYtext" xfId="5"/>
    <cellStyle name="greyed 2" xfId="14"/>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abSelected="1" workbookViewId="0">
      <selection activeCell="D25" sqref="D25"/>
    </sheetView>
  </sheetViews>
  <sheetFormatPr baseColWidth="10" defaultColWidth="11" defaultRowHeight="12.75" x14ac:dyDescent="0.2"/>
  <cols>
    <col min="1" max="1" width="9.625" style="330" customWidth="1"/>
    <col min="2" max="2" width="137" style="330" customWidth="1"/>
    <col min="3" max="3" width="17.25" style="330" customWidth="1"/>
    <col min="4" max="4" width="18.875" style="330" customWidth="1"/>
    <col min="5" max="5" width="20.625" style="330" customWidth="1"/>
    <col min="6" max="16384" width="11" style="330"/>
  </cols>
  <sheetData>
    <row r="1" spans="1:5" ht="23.25" x14ac:dyDescent="0.35">
      <c r="A1" s="320" t="s">
        <v>220</v>
      </c>
      <c r="B1" s="321"/>
      <c r="C1" s="321"/>
      <c r="D1" s="321"/>
      <c r="E1" s="322"/>
    </row>
    <row r="2" spans="1:5" x14ac:dyDescent="0.2">
      <c r="A2" s="323" t="s">
        <v>221</v>
      </c>
      <c r="B2" s="324" t="s">
        <v>222</v>
      </c>
      <c r="C2" s="325" t="s">
        <v>223</v>
      </c>
      <c r="D2" s="325" t="s">
        <v>224</v>
      </c>
      <c r="E2" s="325"/>
    </row>
    <row r="3" spans="1:5" ht="15" x14ac:dyDescent="0.25">
      <c r="A3" s="331"/>
      <c r="B3" s="328"/>
      <c r="C3" s="332"/>
      <c r="D3" s="332"/>
      <c r="E3" s="332"/>
    </row>
    <row r="4" spans="1:5" x14ac:dyDescent="0.2">
      <c r="A4" s="333">
        <v>1</v>
      </c>
      <c r="B4" s="334" t="s">
        <v>250</v>
      </c>
      <c r="C4" s="333">
        <v>31</v>
      </c>
      <c r="D4" s="333" t="s">
        <v>226</v>
      </c>
      <c r="E4" s="333"/>
    </row>
    <row r="5" spans="1:5" x14ac:dyDescent="0.2">
      <c r="A5" s="329">
        <v>2</v>
      </c>
      <c r="B5" s="328" t="s">
        <v>253</v>
      </c>
      <c r="C5" s="329">
        <v>32</v>
      </c>
      <c r="D5" s="329" t="s">
        <v>226</v>
      </c>
      <c r="E5" s="329"/>
    </row>
    <row r="6" spans="1:5" x14ac:dyDescent="0.2">
      <c r="A6" s="333">
        <v>3</v>
      </c>
      <c r="B6" s="334" t="s">
        <v>251</v>
      </c>
      <c r="C6" s="333">
        <v>33</v>
      </c>
      <c r="D6" s="333" t="s">
        <v>226</v>
      </c>
      <c r="E6" s="333"/>
    </row>
    <row r="7" spans="1:5" x14ac:dyDescent="0.2">
      <c r="A7" s="329">
        <v>4</v>
      </c>
      <c r="B7" s="328" t="s">
        <v>252</v>
      </c>
      <c r="C7" s="329">
        <v>34</v>
      </c>
      <c r="D7" s="329" t="s">
        <v>226</v>
      </c>
      <c r="E7" s="329"/>
    </row>
    <row r="8" spans="1:5" x14ac:dyDescent="0.2">
      <c r="A8" s="333">
        <v>5</v>
      </c>
      <c r="B8" s="334" t="s">
        <v>338</v>
      </c>
      <c r="C8" s="333">
        <v>36</v>
      </c>
      <c r="D8" s="333" t="s">
        <v>226</v>
      </c>
      <c r="E8" s="333"/>
    </row>
    <row r="9" spans="1:5" x14ac:dyDescent="0.2">
      <c r="A9" s="329">
        <v>6</v>
      </c>
      <c r="B9" s="328" t="s">
        <v>339</v>
      </c>
      <c r="C9" s="329">
        <v>49</v>
      </c>
      <c r="D9" s="329" t="s">
        <v>226</v>
      </c>
      <c r="E9" s="329"/>
    </row>
    <row r="10" spans="1:5" x14ac:dyDescent="0.2">
      <c r="A10" s="333">
        <v>7</v>
      </c>
      <c r="B10" s="334" t="s">
        <v>340</v>
      </c>
      <c r="C10" s="333">
        <v>52</v>
      </c>
      <c r="D10" s="333" t="s">
        <v>226</v>
      </c>
      <c r="E10" s="333"/>
    </row>
    <row r="11" spans="1:5" x14ac:dyDescent="0.2">
      <c r="A11" s="329">
        <v>8</v>
      </c>
      <c r="B11" s="328" t="s">
        <v>254</v>
      </c>
      <c r="C11" s="329">
        <v>35</v>
      </c>
      <c r="D11" s="329" t="s">
        <v>225</v>
      </c>
      <c r="E11" s="329"/>
    </row>
    <row r="12" spans="1:5" x14ac:dyDescent="0.2">
      <c r="A12" s="333">
        <v>9</v>
      </c>
      <c r="B12" s="334" t="s">
        <v>255</v>
      </c>
      <c r="C12" s="333">
        <v>37</v>
      </c>
      <c r="D12" s="333" t="s">
        <v>225</v>
      </c>
      <c r="E12" s="333"/>
    </row>
    <row r="13" spans="1:5" x14ac:dyDescent="0.2">
      <c r="A13" s="329">
        <v>10</v>
      </c>
      <c r="B13" s="335" t="s">
        <v>268</v>
      </c>
      <c r="C13" s="329">
        <v>37</v>
      </c>
      <c r="D13" s="329" t="s">
        <v>225</v>
      </c>
      <c r="E13" s="329"/>
    </row>
    <row r="14" spans="1:5" x14ac:dyDescent="0.2">
      <c r="A14" s="333">
        <v>11</v>
      </c>
      <c r="B14" s="334" t="s">
        <v>256</v>
      </c>
      <c r="C14" s="336">
        <v>38</v>
      </c>
      <c r="D14" s="333" t="s">
        <v>225</v>
      </c>
      <c r="E14" s="333"/>
    </row>
    <row r="15" spans="1:5" x14ac:dyDescent="0.2">
      <c r="A15" s="329">
        <v>12</v>
      </c>
      <c r="B15" s="328" t="s">
        <v>257</v>
      </c>
      <c r="C15" s="332">
        <v>38</v>
      </c>
      <c r="D15" s="329" t="s">
        <v>225</v>
      </c>
      <c r="E15" s="329"/>
    </row>
    <row r="16" spans="1:5" x14ac:dyDescent="0.2">
      <c r="A16" s="333">
        <v>13</v>
      </c>
      <c r="B16" s="334" t="s">
        <v>259</v>
      </c>
      <c r="C16" s="336">
        <v>39</v>
      </c>
      <c r="D16" s="333" t="s">
        <v>226</v>
      </c>
      <c r="E16" s="333"/>
    </row>
    <row r="17" spans="1:5" x14ac:dyDescent="0.2">
      <c r="A17" s="329">
        <v>14</v>
      </c>
      <c r="B17" s="328" t="s">
        <v>258</v>
      </c>
      <c r="C17" s="332">
        <v>40</v>
      </c>
      <c r="D17" s="332" t="s">
        <v>225</v>
      </c>
      <c r="E17" s="329"/>
    </row>
    <row r="18" spans="1:5" x14ac:dyDescent="0.2">
      <c r="A18" s="333">
        <v>15</v>
      </c>
      <c r="B18" s="334" t="s">
        <v>269</v>
      </c>
      <c r="C18" s="336">
        <v>40</v>
      </c>
      <c r="D18" s="336" t="s">
        <v>225</v>
      </c>
      <c r="E18" s="333"/>
    </row>
    <row r="19" spans="1:5" x14ac:dyDescent="0.2">
      <c r="A19" s="329">
        <v>16</v>
      </c>
      <c r="B19" s="328" t="s">
        <v>260</v>
      </c>
      <c r="C19" s="332">
        <v>41</v>
      </c>
      <c r="D19" s="332" t="s">
        <v>225</v>
      </c>
      <c r="E19" s="329"/>
    </row>
    <row r="20" spans="1:5" x14ac:dyDescent="0.2">
      <c r="A20" s="333">
        <v>17</v>
      </c>
      <c r="B20" s="334" t="s">
        <v>245</v>
      </c>
      <c r="C20" s="336">
        <v>41</v>
      </c>
      <c r="D20" s="336" t="s">
        <v>225</v>
      </c>
      <c r="E20" s="333"/>
    </row>
    <row r="21" spans="1:5" x14ac:dyDescent="0.2">
      <c r="A21" s="329">
        <v>18</v>
      </c>
      <c r="B21" s="259" t="s">
        <v>827</v>
      </c>
      <c r="C21" s="332">
        <v>45</v>
      </c>
      <c r="D21" s="332" t="s">
        <v>225</v>
      </c>
      <c r="E21" s="329"/>
    </row>
    <row r="22" spans="1:5" x14ac:dyDescent="0.2">
      <c r="A22" s="333">
        <v>19</v>
      </c>
      <c r="B22" s="624" t="s">
        <v>824</v>
      </c>
      <c r="C22" s="336">
        <v>45</v>
      </c>
      <c r="D22" s="336" t="s">
        <v>225</v>
      </c>
      <c r="E22" s="333"/>
    </row>
    <row r="23" spans="1:5" x14ac:dyDescent="0.2">
      <c r="A23" s="625">
        <v>20</v>
      </c>
      <c r="B23" s="626" t="s">
        <v>828</v>
      </c>
      <c r="C23" s="627">
        <v>46</v>
      </c>
      <c r="D23" s="627" t="s">
        <v>225</v>
      </c>
      <c r="E23" s="625"/>
    </row>
    <row r="24" spans="1:5" x14ac:dyDescent="0.2">
      <c r="A24" s="333">
        <v>21</v>
      </c>
      <c r="B24" s="334" t="s">
        <v>820</v>
      </c>
      <c r="C24" s="336">
        <v>47</v>
      </c>
      <c r="D24" s="336" t="s">
        <v>225</v>
      </c>
      <c r="E24" s="333"/>
    </row>
    <row r="25" spans="1:5" x14ac:dyDescent="0.2">
      <c r="A25" s="329">
        <v>22</v>
      </c>
      <c r="B25" s="328" t="s">
        <v>261</v>
      </c>
      <c r="C25" s="332">
        <v>47</v>
      </c>
      <c r="D25" s="332" t="s">
        <v>225</v>
      </c>
      <c r="E25" s="329"/>
    </row>
    <row r="26" spans="1:5" x14ac:dyDescent="0.2">
      <c r="A26" s="333">
        <v>23</v>
      </c>
      <c r="B26" s="334" t="s">
        <v>262</v>
      </c>
      <c r="C26" s="336">
        <v>48</v>
      </c>
      <c r="D26" s="336" t="s">
        <v>225</v>
      </c>
      <c r="E26" s="333"/>
    </row>
    <row r="27" spans="1:5" x14ac:dyDescent="0.2">
      <c r="A27" s="329">
        <v>24</v>
      </c>
      <c r="B27" s="328" t="s">
        <v>263</v>
      </c>
      <c r="C27" s="332">
        <v>49</v>
      </c>
      <c r="D27" s="332" t="s">
        <v>225</v>
      </c>
      <c r="E27" s="329"/>
    </row>
    <row r="28" spans="1:5" x14ac:dyDescent="0.2">
      <c r="A28" s="333">
        <v>25</v>
      </c>
      <c r="B28" s="334" t="s">
        <v>242</v>
      </c>
      <c r="C28" s="336">
        <v>50</v>
      </c>
      <c r="D28" s="336" t="s">
        <v>225</v>
      </c>
      <c r="E28" s="333"/>
    </row>
    <row r="29" spans="1:5" x14ac:dyDescent="0.2">
      <c r="A29" s="329">
        <v>26</v>
      </c>
      <c r="B29" s="328" t="s">
        <v>243</v>
      </c>
      <c r="C29" s="332">
        <v>50</v>
      </c>
      <c r="D29" s="332" t="s">
        <v>225</v>
      </c>
      <c r="E29" s="332"/>
    </row>
    <row r="30" spans="1:5" x14ac:dyDescent="0.2">
      <c r="A30" s="333">
        <v>27</v>
      </c>
      <c r="B30" s="334" t="s">
        <v>264</v>
      </c>
      <c r="C30" s="336">
        <v>50</v>
      </c>
      <c r="D30" s="336" t="s">
        <v>225</v>
      </c>
      <c r="E30" s="333"/>
    </row>
    <row r="31" spans="1:5" x14ac:dyDescent="0.2">
      <c r="A31" s="329">
        <v>28</v>
      </c>
      <c r="B31" s="328" t="s">
        <v>265</v>
      </c>
      <c r="C31" s="332">
        <v>51</v>
      </c>
      <c r="D31" s="332" t="s">
        <v>225</v>
      </c>
      <c r="E31" s="332"/>
    </row>
    <row r="32" spans="1:5" ht="12.75" customHeight="1" x14ac:dyDescent="0.2">
      <c r="A32" s="568"/>
      <c r="B32" s="570" t="s">
        <v>767</v>
      </c>
      <c r="C32" s="336"/>
      <c r="D32" s="336"/>
      <c r="E32" s="333"/>
    </row>
    <row r="33" spans="1:5" x14ac:dyDescent="0.2">
      <c r="A33" s="330">
        <v>29</v>
      </c>
      <c r="B33" s="328" t="s">
        <v>746</v>
      </c>
      <c r="D33" s="329" t="s">
        <v>226</v>
      </c>
    </row>
    <row r="34" spans="1:5" x14ac:dyDescent="0.2">
      <c r="A34" s="333">
        <v>30</v>
      </c>
      <c r="B34" s="334" t="s">
        <v>747</v>
      </c>
      <c r="C34" s="336"/>
      <c r="D34" s="333" t="s">
        <v>226</v>
      </c>
      <c r="E34" s="333"/>
    </row>
    <row r="35" spans="1:5" x14ac:dyDescent="0.2">
      <c r="A35" s="330">
        <v>31</v>
      </c>
      <c r="B35" s="328" t="s">
        <v>768</v>
      </c>
      <c r="D35" s="329" t="s">
        <v>226</v>
      </c>
    </row>
    <row r="36" spans="1:5" ht="12.75" customHeight="1" x14ac:dyDescent="0.2">
      <c r="A36" s="568"/>
      <c r="B36" s="570" t="s">
        <v>754</v>
      </c>
      <c r="C36" s="336"/>
      <c r="D36" s="569"/>
      <c r="E36" s="333"/>
    </row>
    <row r="37" spans="1:5" x14ac:dyDescent="0.2">
      <c r="A37" s="330">
        <v>32</v>
      </c>
      <c r="B37" s="330" t="s">
        <v>720</v>
      </c>
      <c r="D37" s="329" t="s">
        <v>226</v>
      </c>
    </row>
  </sheetData>
  <phoneticPr fontId="9" type="noConversion"/>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50" sqref="G50"/>
    </sheetView>
  </sheetViews>
  <sheetFormatPr baseColWidth="10" defaultColWidth="11" defaultRowHeight="12" x14ac:dyDescent="0.2"/>
  <cols>
    <col min="1" max="1" width="22.75" style="373" customWidth="1"/>
    <col min="2" max="2" width="14.25" style="373" customWidth="1"/>
    <col min="3" max="3" width="12.875" style="373" customWidth="1"/>
    <col min="4" max="4" width="11.5" style="373" customWidth="1"/>
    <col min="5" max="5" width="10.375" style="373" customWidth="1"/>
    <col min="6" max="6" width="10.375" style="21" customWidth="1"/>
    <col min="7" max="16384" width="11" style="21"/>
  </cols>
  <sheetData>
    <row r="1" spans="1:11" x14ac:dyDescent="0.2">
      <c r="A1" s="182" t="s">
        <v>236</v>
      </c>
      <c r="B1" s="90"/>
    </row>
    <row r="2" spans="1:11" x14ac:dyDescent="0.2">
      <c r="A2" s="86" t="s">
        <v>184</v>
      </c>
      <c r="B2" s="90"/>
      <c r="H2" s="326"/>
      <c r="I2" s="326"/>
      <c r="J2" s="326"/>
      <c r="K2" s="326"/>
    </row>
    <row r="3" spans="1:11" x14ac:dyDescent="0.2">
      <c r="A3" s="95"/>
      <c r="B3" s="90"/>
      <c r="H3" s="326"/>
      <c r="I3" s="326"/>
      <c r="J3" s="326"/>
      <c r="K3" s="326"/>
    </row>
    <row r="4" spans="1:11" ht="12.75" thickBot="1" x14ac:dyDescent="0.25">
      <c r="A4" s="466">
        <v>2014</v>
      </c>
      <c r="B4" s="415" t="s">
        <v>215</v>
      </c>
      <c r="C4" s="183" t="s">
        <v>40</v>
      </c>
      <c r="D4" s="183" t="s">
        <v>41</v>
      </c>
      <c r="E4" s="183" t="s">
        <v>109</v>
      </c>
      <c r="F4" s="79"/>
      <c r="H4" s="326"/>
      <c r="I4" s="326"/>
      <c r="J4" s="326"/>
      <c r="K4" s="326"/>
    </row>
    <row r="5" spans="1:11" x14ac:dyDescent="0.2">
      <c r="A5" s="90" t="s">
        <v>36</v>
      </c>
      <c r="B5" s="184">
        <v>103117</v>
      </c>
      <c r="C5" s="184">
        <v>12980.276507555431</v>
      </c>
      <c r="D5" s="184">
        <v>9377.516191215931</v>
      </c>
      <c r="E5" s="184">
        <f>SUM(B5:D5)</f>
        <v>125474.79269877137</v>
      </c>
      <c r="F5" s="184"/>
    </row>
    <row r="6" spans="1:11" x14ac:dyDescent="0.2">
      <c r="A6" s="90" t="s">
        <v>37</v>
      </c>
      <c r="B6" s="184">
        <v>13102</v>
      </c>
      <c r="C6" s="184">
        <v>1649.2681400932072</v>
      </c>
      <c r="D6" s="184">
        <v>1191.5030221720097</v>
      </c>
      <c r="E6" s="184">
        <f t="shared" ref="E6:E8" si="0">SUM(B6:D6)</f>
        <v>15942.771162265217</v>
      </c>
      <c r="F6" s="184"/>
    </row>
    <row r="7" spans="1:11" x14ac:dyDescent="0.2">
      <c r="A7" s="17" t="s">
        <v>38</v>
      </c>
      <c r="B7" s="184">
        <v>19683</v>
      </c>
      <c r="C7" s="184">
        <v>2477.6785835333994</v>
      </c>
      <c r="D7" s="184">
        <v>1789.9827496116368</v>
      </c>
      <c r="E7" s="184">
        <f t="shared" si="0"/>
        <v>23950.661333145039</v>
      </c>
      <c r="F7" s="184"/>
    </row>
    <row r="8" spans="1:11" x14ac:dyDescent="0.2">
      <c r="A8" s="17" t="s">
        <v>39</v>
      </c>
      <c r="B8" s="184">
        <v>5718</v>
      </c>
      <c r="C8" s="184">
        <f>252+468</f>
        <v>720</v>
      </c>
      <c r="D8" s="184">
        <f>182+338</f>
        <v>520</v>
      </c>
      <c r="E8" s="184">
        <f t="shared" si="0"/>
        <v>6958</v>
      </c>
      <c r="F8" s="184"/>
    </row>
    <row r="9" spans="1:11" x14ac:dyDescent="0.2">
      <c r="A9" s="104" t="s">
        <v>42</v>
      </c>
      <c r="B9" s="185">
        <f>SUM(B5:B8)</f>
        <v>141620</v>
      </c>
      <c r="C9" s="185">
        <f>SUM(C5:C8)</f>
        <v>17827.223231182037</v>
      </c>
      <c r="D9" s="185">
        <f>SUM(D5:D8)</f>
        <v>12879.001962999577</v>
      </c>
      <c r="E9" s="185">
        <f>SUM(E5:E8)</f>
        <v>172326.22519418164</v>
      </c>
      <c r="F9" s="184"/>
      <c r="I9" s="27"/>
    </row>
    <row r="10" spans="1:11" x14ac:dyDescent="0.2">
      <c r="A10" s="428"/>
      <c r="B10" s="428"/>
      <c r="C10" s="428"/>
      <c r="D10" s="428"/>
      <c r="E10" s="428"/>
      <c r="F10" s="17"/>
      <c r="I10" s="27"/>
    </row>
    <row r="11" spans="1:11" x14ac:dyDescent="0.2">
      <c r="A11" s="428"/>
      <c r="B11" s="428"/>
      <c r="C11" s="428"/>
      <c r="D11" s="428"/>
      <c r="E11" s="428"/>
      <c r="F11" s="79"/>
    </row>
    <row r="12" spans="1:11" ht="12.75" thickBot="1" x14ac:dyDescent="0.25">
      <c r="A12" s="466">
        <v>2013</v>
      </c>
      <c r="B12" s="415" t="s">
        <v>215</v>
      </c>
      <c r="C12" s="183" t="s">
        <v>40</v>
      </c>
      <c r="D12" s="183" t="s">
        <v>41</v>
      </c>
      <c r="E12" s="183" t="s">
        <v>109</v>
      </c>
      <c r="F12" s="103"/>
    </row>
    <row r="13" spans="1:11" x14ac:dyDescent="0.2">
      <c r="A13" s="90" t="s">
        <v>36</v>
      </c>
      <c r="B13" s="184">
        <f>82981.572+1</f>
        <v>82982.572</v>
      </c>
      <c r="C13" s="184">
        <v>9903</v>
      </c>
      <c r="D13" s="184">
        <v>8336</v>
      </c>
      <c r="E13" s="184">
        <f>SUM(B13:D13)</f>
        <v>101221.572</v>
      </c>
      <c r="F13" s="103"/>
      <c r="I13" s="27"/>
    </row>
    <row r="14" spans="1:11" x14ac:dyDescent="0.2">
      <c r="A14" s="90" t="s">
        <v>37</v>
      </c>
      <c r="B14" s="184">
        <v>10757.335999999999</v>
      </c>
      <c r="C14" s="184">
        <v>1222</v>
      </c>
      <c r="D14" s="184">
        <v>1029</v>
      </c>
      <c r="E14" s="184">
        <f t="shared" ref="E14:E16" si="1">SUM(B14:D14)</f>
        <v>13008.335999999999</v>
      </c>
      <c r="F14" s="103"/>
    </row>
    <row r="15" spans="1:11" x14ac:dyDescent="0.2">
      <c r="A15" s="17" t="s">
        <v>38</v>
      </c>
      <c r="B15" s="184">
        <v>16301.68</v>
      </c>
      <c r="C15" s="184">
        <v>1887</v>
      </c>
      <c r="D15" s="184">
        <v>1588</v>
      </c>
      <c r="E15" s="184">
        <f t="shared" si="1"/>
        <v>19776.68</v>
      </c>
      <c r="F15" s="103"/>
    </row>
    <row r="16" spans="1:11" x14ac:dyDescent="0.2">
      <c r="A16" s="17" t="s">
        <v>39</v>
      </c>
      <c r="B16" s="184">
        <f>10232.18-1</f>
        <v>10231.18</v>
      </c>
      <c r="C16" s="184">
        <f>159+502</f>
        <v>661</v>
      </c>
      <c r="D16" s="184">
        <v>556</v>
      </c>
      <c r="E16" s="184">
        <f t="shared" si="1"/>
        <v>11448.18</v>
      </c>
      <c r="F16" s="103"/>
    </row>
    <row r="17" spans="1:14" x14ac:dyDescent="0.2">
      <c r="A17" s="104" t="s">
        <v>42</v>
      </c>
      <c r="B17" s="185">
        <f>SUM(B13:B16)</f>
        <v>120272.76799999998</v>
      </c>
      <c r="C17" s="185">
        <f>SUM(C13:C16)</f>
        <v>13673</v>
      </c>
      <c r="D17" s="185">
        <f>SUM(D13:D16)</f>
        <v>11509</v>
      </c>
      <c r="E17" s="185">
        <f>SUM(E13:E16)</f>
        <v>145454.76799999998</v>
      </c>
      <c r="F17" s="17"/>
    </row>
    <row r="19" spans="1:14" x14ac:dyDescent="0.2">
      <c r="J19" s="187"/>
      <c r="K19" s="188"/>
      <c r="L19" s="326"/>
      <c r="M19" s="326"/>
      <c r="N19" s="326"/>
    </row>
    <row r="20" spans="1:14" x14ac:dyDescent="0.2">
      <c r="K20" s="188"/>
      <c r="L20" s="326"/>
      <c r="M20" s="326"/>
      <c r="N20" s="326"/>
    </row>
    <row r="21" spans="1:14" x14ac:dyDescent="0.2">
      <c r="L21" s="326"/>
      <c r="M21" s="326"/>
      <c r="N21" s="326"/>
    </row>
    <row r="22" spans="1:14" x14ac:dyDescent="0.2">
      <c r="L22" s="188"/>
      <c r="M22" s="326"/>
      <c r="N22" s="188"/>
    </row>
    <row r="23" spans="1:14" x14ac:dyDescent="0.2">
      <c r="L23" s="326"/>
      <c r="M23" s="326"/>
      <c r="N23" s="326"/>
    </row>
    <row r="24" spans="1:14" x14ac:dyDescent="0.2">
      <c r="L24" s="326"/>
      <c r="M24" s="326"/>
      <c r="N24" s="326"/>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workbookViewId="0">
      <selection activeCell="G50" sqref="G50"/>
    </sheetView>
  </sheetViews>
  <sheetFormatPr baseColWidth="10" defaultColWidth="11" defaultRowHeight="12" x14ac:dyDescent="0.2"/>
  <cols>
    <col min="1" max="1" width="24" style="373" customWidth="1"/>
    <col min="2" max="2" width="22.375" style="373" customWidth="1"/>
    <col min="3" max="3" width="27.875" style="373" customWidth="1"/>
    <col min="4" max="4" width="11" style="21"/>
    <col min="5" max="5" width="15.625" style="21" customWidth="1"/>
    <col min="6" max="16384" width="11" style="21"/>
  </cols>
  <sheetData>
    <row r="1" spans="1:6" ht="42.75" customHeight="1" x14ac:dyDescent="0.2">
      <c r="A1" s="645" t="s">
        <v>235</v>
      </c>
      <c r="B1" s="645"/>
      <c r="C1" s="645"/>
    </row>
    <row r="2" spans="1:6" x14ac:dyDescent="0.2">
      <c r="A2" s="189" t="s">
        <v>184</v>
      </c>
      <c r="B2" s="374"/>
      <c r="C2" s="374"/>
    </row>
    <row r="3" spans="1:6" ht="24.75" thickBot="1" x14ac:dyDescent="0.25">
      <c r="A3" s="466">
        <v>2014</v>
      </c>
      <c r="B3" s="415" t="s">
        <v>218</v>
      </c>
      <c r="C3" s="190" t="s">
        <v>219</v>
      </c>
    </row>
    <row r="4" spans="1:6" ht="13.5" customHeight="1" x14ac:dyDescent="0.2">
      <c r="A4" s="17" t="s">
        <v>27</v>
      </c>
      <c r="B4" s="467">
        <v>87495</v>
      </c>
      <c r="C4" s="467">
        <f>+(B4+B18)/2</f>
        <v>84428</v>
      </c>
    </row>
    <row r="5" spans="1:6" x14ac:dyDescent="0.2">
      <c r="A5" s="17" t="s">
        <v>28</v>
      </c>
      <c r="B5" s="467">
        <v>84831</v>
      </c>
      <c r="C5" s="467">
        <f>+(B5+B19)/2</f>
        <v>74462.5</v>
      </c>
    </row>
    <row r="6" spans="1:6" x14ac:dyDescent="0.2">
      <c r="A6" s="104" t="s">
        <v>29</v>
      </c>
      <c r="B6" s="468">
        <f>SUM(B4:B5)</f>
        <v>172326</v>
      </c>
      <c r="C6" s="468">
        <f>SUM(C4:C5)</f>
        <v>158890.5</v>
      </c>
    </row>
    <row r="7" spans="1:6" x14ac:dyDescent="0.2">
      <c r="A7" s="428" t="s">
        <v>30</v>
      </c>
      <c r="B7" s="192">
        <v>-322</v>
      </c>
      <c r="C7" s="467">
        <f>+(B7+B21)/2</f>
        <v>-384</v>
      </c>
    </row>
    <row r="8" spans="1:6" x14ac:dyDescent="0.2">
      <c r="A8" s="17" t="s">
        <v>31</v>
      </c>
      <c r="B8" s="467">
        <v>-378</v>
      </c>
      <c r="C8" s="467">
        <f>+(B8+B22)/2</f>
        <v>-340</v>
      </c>
    </row>
    <row r="9" spans="1:6" x14ac:dyDescent="0.2">
      <c r="A9" s="17" t="s">
        <v>170</v>
      </c>
      <c r="B9" s="469">
        <v>0</v>
      </c>
      <c r="C9" s="467">
        <f>+(B9+B23)/2</f>
        <v>0</v>
      </c>
    </row>
    <row r="10" spans="1:6" x14ac:dyDescent="0.2">
      <c r="A10" s="104" t="s">
        <v>32</v>
      </c>
      <c r="B10" s="468">
        <f>SUM(B6:B9)</f>
        <v>171626</v>
      </c>
      <c r="C10" s="468">
        <f>SUM(C6:C9)</f>
        <v>158166.5</v>
      </c>
    </row>
    <row r="11" spans="1:6" x14ac:dyDescent="0.2">
      <c r="A11" s="17"/>
      <c r="B11" s="467"/>
      <c r="C11" s="467"/>
      <c r="F11" s="27"/>
    </row>
    <row r="12" spans="1:6" x14ac:dyDescent="0.2">
      <c r="A12" s="17" t="s">
        <v>33</v>
      </c>
      <c r="B12" s="467">
        <v>1610</v>
      </c>
      <c r="C12" s="467">
        <f>+(B12+B26)/2</f>
        <v>1304</v>
      </c>
    </row>
    <row r="13" spans="1:6" x14ac:dyDescent="0.2">
      <c r="A13" s="17" t="s">
        <v>34</v>
      </c>
      <c r="B13" s="467">
        <v>2222</v>
      </c>
      <c r="C13" s="467">
        <f>+(B13+B27)/2</f>
        <v>1737.5</v>
      </c>
    </row>
    <row r="14" spans="1:6" x14ac:dyDescent="0.2">
      <c r="A14" s="104" t="s">
        <v>35</v>
      </c>
      <c r="B14" s="468">
        <f>SUM(B10:B13)</f>
        <v>175458</v>
      </c>
      <c r="C14" s="468">
        <f>SUM(C10:C13)</f>
        <v>161208</v>
      </c>
    </row>
    <row r="15" spans="1:6" x14ac:dyDescent="0.2">
      <c r="A15" s="428"/>
      <c r="B15" s="428"/>
      <c r="C15" s="428"/>
    </row>
    <row r="16" spans="1:6" x14ac:dyDescent="0.2">
      <c r="A16" s="428"/>
      <c r="B16" s="428"/>
      <c r="C16" s="428"/>
    </row>
    <row r="17" spans="1:3" ht="24.75" thickBot="1" x14ac:dyDescent="0.25">
      <c r="A17" s="466">
        <v>2013</v>
      </c>
      <c r="B17" s="415" t="s">
        <v>218</v>
      </c>
      <c r="C17" s="190" t="s">
        <v>219</v>
      </c>
    </row>
    <row r="18" spans="1:3" x14ac:dyDescent="0.2">
      <c r="A18" s="17" t="s">
        <v>27</v>
      </c>
      <c r="B18" s="467">
        <v>81361</v>
      </c>
      <c r="C18" s="467">
        <v>79998</v>
      </c>
    </row>
    <row r="19" spans="1:3" x14ac:dyDescent="0.2">
      <c r="A19" s="17" t="s">
        <v>28</v>
      </c>
      <c r="B19" s="467">
        <v>64094</v>
      </c>
      <c r="C19" s="467">
        <v>60260</v>
      </c>
    </row>
    <row r="20" spans="1:3" x14ac:dyDescent="0.2">
      <c r="A20" s="104" t="s">
        <v>29</v>
      </c>
      <c r="B20" s="468">
        <f>SUM(B18:B19)</f>
        <v>145455</v>
      </c>
      <c r="C20" s="468">
        <f>SUM(C18:C19)</f>
        <v>140258</v>
      </c>
    </row>
    <row r="21" spans="1:3" x14ac:dyDescent="0.2">
      <c r="A21" s="428" t="s">
        <v>30</v>
      </c>
      <c r="B21" s="192">
        <v>-446</v>
      </c>
      <c r="C21" s="467">
        <v>-434.5</v>
      </c>
    </row>
    <row r="22" spans="1:3" x14ac:dyDescent="0.2">
      <c r="A22" s="17" t="s">
        <v>31</v>
      </c>
      <c r="B22" s="467">
        <v>-302</v>
      </c>
      <c r="C22" s="467">
        <v>-317</v>
      </c>
    </row>
    <row r="23" spans="1:3" x14ac:dyDescent="0.2">
      <c r="A23" s="17" t="s">
        <v>170</v>
      </c>
      <c r="B23" s="469">
        <v>0</v>
      </c>
      <c r="C23" s="467">
        <v>-0.5</v>
      </c>
    </row>
    <row r="24" spans="1:3" x14ac:dyDescent="0.2">
      <c r="A24" s="104" t="s">
        <v>32</v>
      </c>
      <c r="B24" s="468">
        <f>SUM(B20:B23)</f>
        <v>144707</v>
      </c>
      <c r="C24" s="468">
        <f>SUM(C20:C23)</f>
        <v>139506</v>
      </c>
    </row>
    <row r="25" spans="1:3" x14ac:dyDescent="0.2">
      <c r="A25" s="17"/>
      <c r="B25" s="467"/>
      <c r="C25" s="467"/>
    </row>
    <row r="26" spans="1:3" x14ac:dyDescent="0.2">
      <c r="A26" s="17" t="s">
        <v>33</v>
      </c>
      <c r="B26" s="467">
        <v>998</v>
      </c>
      <c r="C26" s="467">
        <v>1002.5</v>
      </c>
    </row>
    <row r="27" spans="1:3" x14ac:dyDescent="0.2">
      <c r="A27" s="17" t="s">
        <v>34</v>
      </c>
      <c r="B27" s="467">
        <v>1253</v>
      </c>
      <c r="C27" s="467">
        <v>1170</v>
      </c>
    </row>
    <row r="28" spans="1:3" x14ac:dyDescent="0.2">
      <c r="A28" s="104" t="s">
        <v>35</v>
      </c>
      <c r="B28" s="468">
        <f>SUM(B24:B27)</f>
        <v>146958</v>
      </c>
      <c r="C28" s="468">
        <f>SUM(C24:C27)</f>
        <v>141678.5</v>
      </c>
    </row>
    <row r="38" spans="1:1" x14ac:dyDescent="0.2">
      <c r="A38" s="195"/>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K58"/>
  <sheetViews>
    <sheetView zoomScaleNormal="100" workbookViewId="0">
      <selection activeCell="G50" sqref="G50"/>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6" width="7.625" style="21" customWidth="1"/>
    <col min="7" max="7" width="9.75" style="21" customWidth="1"/>
    <col min="8" max="9" width="7.625" style="21" customWidth="1"/>
    <col min="10" max="10" width="11" style="21"/>
    <col min="11" max="11" width="21.25" style="21" customWidth="1"/>
    <col min="12" max="16384" width="11" style="21"/>
  </cols>
  <sheetData>
    <row r="1" spans="1:11" x14ac:dyDescent="0.2">
      <c r="A1" s="196" t="s">
        <v>237</v>
      </c>
      <c r="B1" s="378"/>
      <c r="C1" s="383"/>
      <c r="D1" s="378"/>
      <c r="E1" s="378"/>
      <c r="F1" s="101"/>
      <c r="G1" s="101"/>
      <c r="H1" s="373"/>
    </row>
    <row r="2" spans="1:11" x14ac:dyDescent="0.2">
      <c r="A2" s="378" t="s">
        <v>184</v>
      </c>
      <c r="B2" s="378"/>
      <c r="C2" s="79">
        <v>2014</v>
      </c>
      <c r="D2" s="99"/>
      <c r="E2" s="197"/>
      <c r="F2" s="79">
        <v>2013</v>
      </c>
      <c r="G2" s="99"/>
      <c r="H2" s="197"/>
    </row>
    <row r="3" spans="1:11" ht="36.75" thickBot="1" x14ac:dyDescent="0.25">
      <c r="A3" s="376"/>
      <c r="B3" s="183"/>
      <c r="C3" s="183" t="s">
        <v>215</v>
      </c>
      <c r="D3" s="372" t="s">
        <v>183</v>
      </c>
      <c r="E3" s="198" t="s">
        <v>9</v>
      </c>
      <c r="F3" s="384" t="s">
        <v>215</v>
      </c>
      <c r="G3" s="372" t="s">
        <v>183</v>
      </c>
      <c r="H3" s="198" t="s">
        <v>9</v>
      </c>
      <c r="I3" s="79"/>
      <c r="J3" s="79"/>
    </row>
    <row r="4" spans="1:11" x14ac:dyDescent="0.2">
      <c r="A4" s="373" t="s">
        <v>43</v>
      </c>
      <c r="B4" s="199"/>
      <c r="C4" s="385">
        <v>4458</v>
      </c>
      <c r="D4" s="472">
        <v>2766</v>
      </c>
      <c r="E4" s="424">
        <f>+C4+D4</f>
        <v>7224</v>
      </c>
      <c r="F4" s="387">
        <v>4325.7030000000004</v>
      </c>
      <c r="G4" s="201">
        <v>1888</v>
      </c>
      <c r="H4" s="386">
        <f>+F4+G4</f>
        <v>6213.7030000000004</v>
      </c>
      <c r="I4" s="137"/>
      <c r="J4" s="17"/>
    </row>
    <row r="5" spans="1:11" x14ac:dyDescent="0.2">
      <c r="A5" s="373" t="s">
        <v>44</v>
      </c>
      <c r="B5" s="199"/>
      <c r="C5" s="385">
        <v>596</v>
      </c>
      <c r="D5" s="472">
        <v>271</v>
      </c>
      <c r="E5" s="424">
        <f t="shared" ref="E5:E15" si="0">+C5+D5</f>
        <v>867</v>
      </c>
      <c r="F5" s="387">
        <v>541.37900000000002</v>
      </c>
      <c r="G5" s="201">
        <v>190</v>
      </c>
      <c r="H5" s="386">
        <f t="shared" ref="H5:H16" si="1">+F5+G5</f>
        <v>731.37900000000002</v>
      </c>
      <c r="I5" s="200"/>
    </row>
    <row r="6" spans="1:11" x14ac:dyDescent="0.2">
      <c r="A6" s="373" t="s">
        <v>45</v>
      </c>
      <c r="B6" s="199"/>
      <c r="C6" s="385">
        <v>4341</v>
      </c>
      <c r="D6" s="472">
        <v>700</v>
      </c>
      <c r="E6" s="424">
        <f t="shared" si="0"/>
        <v>5041</v>
      </c>
      <c r="F6" s="387">
        <v>2828.5639999999999</v>
      </c>
      <c r="G6" s="201">
        <v>828</v>
      </c>
      <c r="H6" s="386">
        <f t="shared" si="1"/>
        <v>3656.5639999999999</v>
      </c>
      <c r="I6" s="200"/>
    </row>
    <row r="7" spans="1:11" x14ac:dyDescent="0.2">
      <c r="A7" s="373" t="s">
        <v>46</v>
      </c>
      <c r="B7" s="199"/>
      <c r="C7" s="385">
        <v>2650</v>
      </c>
      <c r="D7" s="472">
        <v>1691</v>
      </c>
      <c r="E7" s="424">
        <f t="shared" si="0"/>
        <v>4341</v>
      </c>
      <c r="F7" s="387">
        <v>3402.5729999999999</v>
      </c>
      <c r="G7" s="201">
        <v>1646</v>
      </c>
      <c r="H7" s="386">
        <f t="shared" si="1"/>
        <v>5048.5730000000003</v>
      </c>
      <c r="I7" s="200"/>
      <c r="K7" s="27"/>
    </row>
    <row r="8" spans="1:11" x14ac:dyDescent="0.2">
      <c r="A8" s="373" t="s">
        <v>47</v>
      </c>
      <c r="B8" s="199"/>
      <c r="C8" s="385">
        <v>3520</v>
      </c>
      <c r="D8" s="472">
        <v>1812</v>
      </c>
      <c r="E8" s="424">
        <f t="shared" si="0"/>
        <v>5332</v>
      </c>
      <c r="F8" s="388">
        <v>3100.395</v>
      </c>
      <c r="G8" s="389">
        <v>972</v>
      </c>
      <c r="H8" s="386">
        <f t="shared" si="1"/>
        <v>4072.395</v>
      </c>
      <c r="I8" s="200"/>
    </row>
    <row r="9" spans="1:11" x14ac:dyDescent="0.2">
      <c r="A9" s="373" t="s">
        <v>48</v>
      </c>
      <c r="B9" s="199"/>
      <c r="C9" s="385">
        <v>2529</v>
      </c>
      <c r="D9" s="472">
        <v>1622</v>
      </c>
      <c r="E9" s="424">
        <f t="shared" si="0"/>
        <v>4151</v>
      </c>
      <c r="F9" s="387">
        <v>2877.1610000000001</v>
      </c>
      <c r="G9" s="201">
        <v>1107</v>
      </c>
      <c r="H9" s="386">
        <f t="shared" si="1"/>
        <v>3984.1610000000001</v>
      </c>
      <c r="I9" s="200"/>
    </row>
    <row r="10" spans="1:11" x14ac:dyDescent="0.2">
      <c r="A10" s="373" t="s">
        <v>49</v>
      </c>
      <c r="B10" s="199"/>
      <c r="C10" s="385">
        <v>8239</v>
      </c>
      <c r="D10" s="472">
        <v>424</v>
      </c>
      <c r="E10" s="424">
        <f t="shared" si="0"/>
        <v>8663</v>
      </c>
      <c r="F10" s="387">
        <v>7296.8710000000001</v>
      </c>
      <c r="G10" s="201">
        <v>1481</v>
      </c>
      <c r="H10" s="386">
        <f t="shared" si="1"/>
        <v>8777.8709999999992</v>
      </c>
      <c r="I10" s="200"/>
    </row>
    <row r="11" spans="1:11" x14ac:dyDescent="0.2">
      <c r="A11" s="373" t="s">
        <v>50</v>
      </c>
      <c r="B11" s="199"/>
      <c r="C11" s="385">
        <v>27164</v>
      </c>
      <c r="D11" s="472">
        <v>9359</v>
      </c>
      <c r="E11" s="424">
        <f t="shared" si="0"/>
        <v>36523</v>
      </c>
      <c r="F11" s="387">
        <v>25740.154999999999</v>
      </c>
      <c r="G11" s="201">
        <v>8367</v>
      </c>
      <c r="H11" s="386">
        <f t="shared" si="1"/>
        <v>34107.154999999999</v>
      </c>
      <c r="I11" s="200"/>
    </row>
    <row r="12" spans="1:11" x14ac:dyDescent="0.2">
      <c r="A12" s="373" t="s">
        <v>51</v>
      </c>
      <c r="B12" s="199"/>
      <c r="C12" s="385">
        <v>7859</v>
      </c>
      <c r="D12" s="472">
        <v>2731</v>
      </c>
      <c r="E12" s="424">
        <f t="shared" si="0"/>
        <v>10590</v>
      </c>
      <c r="F12" s="387">
        <v>7544.7809999999999</v>
      </c>
      <c r="G12" s="135">
        <v>2167</v>
      </c>
      <c r="H12" s="386">
        <f t="shared" si="1"/>
        <v>9711.780999999999</v>
      </c>
      <c r="I12" s="200"/>
    </row>
    <row r="13" spans="1:11" x14ac:dyDescent="0.2">
      <c r="A13" s="17" t="s">
        <v>52</v>
      </c>
      <c r="B13" s="199"/>
      <c r="C13" s="385">
        <v>1877</v>
      </c>
      <c r="D13" s="472">
        <v>2886</v>
      </c>
      <c r="E13" s="424">
        <f t="shared" si="0"/>
        <v>4763</v>
      </c>
      <c r="F13" s="387">
        <v>2277</v>
      </c>
      <c r="G13" s="390">
        <v>2780</v>
      </c>
      <c r="H13" s="386">
        <f t="shared" si="1"/>
        <v>5057</v>
      </c>
      <c r="I13" s="200"/>
    </row>
    <row r="14" spans="1:11" x14ac:dyDescent="0.2">
      <c r="A14" s="17" t="s">
        <v>53</v>
      </c>
      <c r="B14" s="199"/>
      <c r="C14" s="385">
        <v>736</v>
      </c>
      <c r="D14" s="472">
        <v>-736</v>
      </c>
      <c r="E14" s="424">
        <f t="shared" si="0"/>
        <v>0</v>
      </c>
      <c r="F14" s="135">
        <v>490</v>
      </c>
      <c r="G14" s="476">
        <v>-490</v>
      </c>
      <c r="H14" s="386">
        <f t="shared" si="1"/>
        <v>0</v>
      </c>
      <c r="I14" s="200"/>
      <c r="K14" s="326"/>
    </row>
    <row r="15" spans="1:11" x14ac:dyDescent="0.2">
      <c r="A15" s="16" t="s">
        <v>54</v>
      </c>
      <c r="B15" s="202"/>
      <c r="C15" s="397">
        <v>63969</v>
      </c>
      <c r="D15" s="473">
        <v>23526</v>
      </c>
      <c r="E15" s="424">
        <f t="shared" si="0"/>
        <v>87495</v>
      </c>
      <c r="F15" s="388">
        <v>60424.582000000002</v>
      </c>
      <c r="G15" s="204">
        <v>20936</v>
      </c>
      <c r="H15" s="391">
        <f t="shared" si="1"/>
        <v>81360.581999999995</v>
      </c>
      <c r="I15" s="203"/>
      <c r="K15" s="27"/>
    </row>
    <row r="16" spans="1:11" x14ac:dyDescent="0.2">
      <c r="A16" s="205" t="s">
        <v>28</v>
      </c>
      <c r="B16" s="206"/>
      <c r="C16" s="423">
        <v>77650.692999999999</v>
      </c>
      <c r="D16" s="474">
        <v>7180</v>
      </c>
      <c r="E16" s="425">
        <f t="shared" ref="E16" si="2">+C16+D16</f>
        <v>84830.692999999999</v>
      </c>
      <c r="F16" s="392">
        <v>59848.40179127</v>
      </c>
      <c r="G16" s="207">
        <v>4246</v>
      </c>
      <c r="H16" s="393">
        <f t="shared" si="1"/>
        <v>64094.40179127</v>
      </c>
      <c r="I16" s="137"/>
      <c r="K16" s="326"/>
    </row>
    <row r="17" spans="1:11" x14ac:dyDescent="0.2">
      <c r="A17" s="104" t="s">
        <v>42</v>
      </c>
      <c r="B17" s="208"/>
      <c r="C17" s="398">
        <f>SUM(C15:C16)</f>
        <v>141619.693</v>
      </c>
      <c r="D17" s="475">
        <f>SUM(D15:D16)</f>
        <v>30706</v>
      </c>
      <c r="E17" s="394">
        <f>SUM(E15:E16)</f>
        <v>172325.693</v>
      </c>
      <c r="F17" s="395">
        <f>SUM(F15:F16)</f>
        <v>120272.98379127</v>
      </c>
      <c r="G17" s="186">
        <f>+G15+G16</f>
        <v>25182</v>
      </c>
      <c r="H17" s="396">
        <f>+H15+H16</f>
        <v>145454.98379127</v>
      </c>
      <c r="I17" s="184"/>
      <c r="K17" s="326"/>
    </row>
    <row r="22" spans="1:11" x14ac:dyDescent="0.2">
      <c r="H22" s="79"/>
      <c r="I22" s="79"/>
      <c r="K22" s="89"/>
    </row>
    <row r="23" spans="1:11" x14ac:dyDescent="0.2">
      <c r="H23" s="201"/>
      <c r="I23" s="201"/>
    </row>
    <row r="24" spans="1:11" x14ac:dyDescent="0.2">
      <c r="H24" s="201"/>
      <c r="I24" s="201"/>
    </row>
    <row r="25" spans="1:11" x14ac:dyDescent="0.2">
      <c r="H25" s="201"/>
      <c r="I25" s="201"/>
    </row>
    <row r="26" spans="1:11" x14ac:dyDescent="0.2">
      <c r="H26" s="201"/>
      <c r="I26" s="201"/>
    </row>
    <row r="27" spans="1:11" x14ac:dyDescent="0.2">
      <c r="H27" s="201"/>
      <c r="I27" s="201"/>
    </row>
    <row r="28" spans="1:11" x14ac:dyDescent="0.2">
      <c r="H28" s="201"/>
      <c r="I28" s="201"/>
    </row>
    <row r="29" spans="1:11" x14ac:dyDescent="0.2">
      <c r="H29" s="201"/>
      <c r="I29" s="201"/>
    </row>
    <row r="30" spans="1:11" x14ac:dyDescent="0.2">
      <c r="H30" s="201"/>
      <c r="I30" s="201"/>
    </row>
    <row r="31" spans="1:11" x14ac:dyDescent="0.2">
      <c r="H31" s="201"/>
      <c r="I31" s="201"/>
    </row>
    <row r="32" spans="1:11" x14ac:dyDescent="0.2">
      <c r="H32" s="201"/>
      <c r="I32" s="201"/>
    </row>
    <row r="33" spans="5:10" x14ac:dyDescent="0.2">
      <c r="H33" s="201"/>
      <c r="I33" s="201"/>
    </row>
    <row r="34" spans="5:10" x14ac:dyDescent="0.2">
      <c r="H34" s="203"/>
      <c r="I34" s="203"/>
    </row>
    <row r="35" spans="5:10" x14ac:dyDescent="0.2">
      <c r="H35" s="135"/>
      <c r="I35" s="135"/>
    </row>
    <row r="36" spans="5:10" x14ac:dyDescent="0.2">
      <c r="H36" s="184"/>
      <c r="I36" s="184"/>
    </row>
    <row r="46" spans="5:10" x14ac:dyDescent="0.2">
      <c r="E46" s="209"/>
      <c r="F46" s="209"/>
      <c r="G46" s="209"/>
      <c r="H46" s="209"/>
      <c r="I46" s="209"/>
      <c r="J46" s="209"/>
    </row>
    <row r="47" spans="5:10" x14ac:dyDescent="0.2">
      <c r="E47" s="209"/>
      <c r="F47" s="209"/>
      <c r="G47" s="209"/>
      <c r="H47" s="209"/>
      <c r="I47" s="209"/>
      <c r="J47" s="209"/>
    </row>
    <row r="48" spans="5:10" x14ac:dyDescent="0.2">
      <c r="E48" s="209"/>
      <c r="F48" s="209"/>
      <c r="G48" s="209"/>
      <c r="H48" s="209"/>
      <c r="I48" s="209"/>
      <c r="J48" s="209"/>
    </row>
    <row r="49" spans="1:10" x14ac:dyDescent="0.2">
      <c r="E49" s="209"/>
      <c r="F49" s="209"/>
      <c r="G49" s="209"/>
      <c r="H49" s="209"/>
      <c r="I49" s="209"/>
      <c r="J49" s="209"/>
    </row>
    <row r="50" spans="1:10" x14ac:dyDescent="0.2">
      <c r="E50" s="209"/>
      <c r="F50" s="209"/>
      <c r="G50" s="209"/>
      <c r="H50" s="209"/>
      <c r="I50" s="209"/>
      <c r="J50" s="209"/>
    </row>
    <row r="51" spans="1:10" x14ac:dyDescent="0.2">
      <c r="E51" s="209"/>
      <c r="F51" s="209"/>
      <c r="G51" s="209"/>
      <c r="H51" s="209"/>
      <c r="I51" s="209"/>
      <c r="J51" s="209"/>
    </row>
    <row r="52" spans="1:10" x14ac:dyDescent="0.2">
      <c r="E52" s="209"/>
      <c r="F52" s="209"/>
      <c r="G52" s="209"/>
      <c r="H52" s="209"/>
      <c r="I52" s="209"/>
      <c r="J52" s="209"/>
    </row>
    <row r="53" spans="1:10" x14ac:dyDescent="0.2">
      <c r="E53" s="209"/>
      <c r="F53" s="209"/>
      <c r="G53" s="209"/>
      <c r="H53" s="209"/>
      <c r="I53" s="209"/>
      <c r="J53" s="209"/>
    </row>
    <row r="54" spans="1:10" x14ac:dyDescent="0.2">
      <c r="E54" s="209"/>
      <c r="F54" s="209"/>
      <c r="G54" s="209"/>
      <c r="H54" s="209"/>
      <c r="I54" s="209"/>
      <c r="J54" s="209"/>
    </row>
    <row r="55" spans="1:10" x14ac:dyDescent="0.2">
      <c r="A55" s="17"/>
      <c r="E55" s="209"/>
      <c r="F55" s="209"/>
      <c r="G55" s="209"/>
      <c r="H55" s="209"/>
      <c r="I55" s="209"/>
      <c r="J55" s="209"/>
    </row>
    <row r="56" spans="1:10" x14ac:dyDescent="0.2">
      <c r="A56" s="17"/>
      <c r="E56" s="209"/>
      <c r="F56" s="209"/>
      <c r="G56" s="209"/>
      <c r="H56" s="209"/>
      <c r="I56" s="209"/>
      <c r="J56" s="209"/>
    </row>
    <row r="57" spans="1:10" x14ac:dyDescent="0.2">
      <c r="A57" s="210"/>
      <c r="E57" s="209"/>
      <c r="F57" s="209"/>
      <c r="G57" s="209"/>
      <c r="H57" s="209"/>
      <c r="I57" s="209"/>
      <c r="J57" s="209"/>
    </row>
    <row r="58" spans="1:10" x14ac:dyDescent="0.2">
      <c r="A58" s="211"/>
      <c r="E58" s="209"/>
      <c r="F58" s="209"/>
      <c r="G58" s="209"/>
      <c r="H58" s="209"/>
      <c r="I58" s="209"/>
      <c r="J58" s="209"/>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rowBreaks count="1" manualBreakCount="1">
    <brk id="42" max="16383" man="1"/>
  </rowBreaks>
  <ignoredErrors>
    <ignoredError sqref="C17:D17 F17"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G50" sqref="G50"/>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96" t="s">
        <v>238</v>
      </c>
      <c r="B1" s="83"/>
      <c r="C1" s="101"/>
      <c r="D1" s="212"/>
    </row>
    <row r="2" spans="1:19" x14ac:dyDescent="0.2">
      <c r="A2" s="83" t="s">
        <v>184</v>
      </c>
      <c r="B2" s="83"/>
      <c r="C2" s="101"/>
    </row>
    <row r="3" spans="1:19" x14ac:dyDescent="0.2">
      <c r="A3" s="83"/>
      <c r="B3" s="83"/>
      <c r="C3" s="101"/>
    </row>
    <row r="4" spans="1:19" ht="12.75" thickBot="1" x14ac:dyDescent="0.25">
      <c r="A4" s="134">
        <v>2014</v>
      </c>
      <c r="B4" s="183" t="s">
        <v>55</v>
      </c>
      <c r="C4" s="183" t="s">
        <v>56</v>
      </c>
      <c r="D4" s="183" t="s">
        <v>57</v>
      </c>
      <c r="E4" s="183" t="s">
        <v>58</v>
      </c>
      <c r="F4" s="183" t="s">
        <v>9</v>
      </c>
      <c r="G4" s="79"/>
    </row>
    <row r="5" spans="1:19" x14ac:dyDescent="0.2">
      <c r="A5" s="75" t="s">
        <v>215</v>
      </c>
      <c r="B5" s="103">
        <v>46156</v>
      </c>
      <c r="C5" s="103">
        <v>5848</v>
      </c>
      <c r="D5" s="103">
        <v>20109</v>
      </c>
      <c r="E5" s="103">
        <v>69507</v>
      </c>
      <c r="F5" s="103">
        <f>SUM(B5:E5)</f>
        <v>141620</v>
      </c>
      <c r="G5" s="103"/>
      <c r="I5" s="27"/>
    </row>
    <row r="6" spans="1:19" x14ac:dyDescent="0.2">
      <c r="A6" s="17" t="s">
        <v>40</v>
      </c>
      <c r="B6" s="103">
        <v>17827</v>
      </c>
      <c r="C6" s="103"/>
      <c r="D6" s="103"/>
      <c r="E6" s="103"/>
      <c r="F6" s="103">
        <f>SUM(B6:E6)</f>
        <v>17827</v>
      </c>
      <c r="G6" s="103"/>
    </row>
    <row r="7" spans="1:19" x14ac:dyDescent="0.2">
      <c r="A7" s="213" t="s">
        <v>41</v>
      </c>
      <c r="B7" s="214"/>
      <c r="C7" s="214">
        <v>5135</v>
      </c>
      <c r="D7" s="214">
        <v>5946</v>
      </c>
      <c r="E7" s="214">
        <v>1798</v>
      </c>
      <c r="F7" s="103">
        <f>SUM(B7:E7)</f>
        <v>12879</v>
      </c>
      <c r="G7" s="103"/>
    </row>
    <row r="8" spans="1:19" x14ac:dyDescent="0.2">
      <c r="A8" s="210" t="s">
        <v>42</v>
      </c>
      <c r="B8" s="477">
        <f>SUM(B5:B7)</f>
        <v>63983</v>
      </c>
      <c r="C8" s="477">
        <f t="shared" ref="C8:F8" si="0">SUM(C5:C7)</f>
        <v>10983</v>
      </c>
      <c r="D8" s="477">
        <f t="shared" si="0"/>
        <v>26055</v>
      </c>
      <c r="E8" s="477">
        <f t="shared" si="0"/>
        <v>71305</v>
      </c>
      <c r="F8" s="477">
        <f t="shared" si="0"/>
        <v>172326</v>
      </c>
      <c r="G8" s="184"/>
    </row>
    <row r="9" spans="1:19" ht="8.25" customHeight="1" x14ac:dyDescent="0.2">
      <c r="A9" s="196"/>
      <c r="B9" s="103"/>
      <c r="C9" s="103"/>
      <c r="D9" s="103"/>
      <c r="E9" s="103"/>
      <c r="F9" s="103"/>
      <c r="G9" s="89"/>
    </row>
    <row r="10" spans="1:19" x14ac:dyDescent="0.2">
      <c r="A10" s="17" t="s">
        <v>33</v>
      </c>
      <c r="B10" s="103">
        <v>1610</v>
      </c>
      <c r="C10" s="220" t="s">
        <v>141</v>
      </c>
      <c r="D10" s="103" t="s">
        <v>141</v>
      </c>
      <c r="E10" s="103" t="s">
        <v>141</v>
      </c>
      <c r="F10" s="103">
        <f>SUM(B10:E10)</f>
        <v>1610</v>
      </c>
      <c r="G10" s="103"/>
    </row>
    <row r="11" spans="1:19" x14ac:dyDescent="0.2">
      <c r="A11" s="17" t="s">
        <v>34</v>
      </c>
      <c r="B11" s="214">
        <v>2222</v>
      </c>
      <c r="C11" s="220" t="s">
        <v>141</v>
      </c>
      <c r="D11" s="214" t="s">
        <v>141</v>
      </c>
      <c r="E11" s="214" t="s">
        <v>141</v>
      </c>
      <c r="F11" s="103">
        <f>SUM(B11:E11)</f>
        <v>2222</v>
      </c>
      <c r="G11" s="103"/>
    </row>
    <row r="12" spans="1:19" x14ac:dyDescent="0.2">
      <c r="B12" s="184"/>
      <c r="C12" s="184"/>
      <c r="D12" s="184"/>
      <c r="E12" s="184"/>
      <c r="F12" s="184"/>
    </row>
    <row r="13" spans="1:19" ht="12.75" thickBot="1" x14ac:dyDescent="0.25">
      <c r="A13" s="216">
        <v>2013</v>
      </c>
      <c r="B13" s="216" t="s">
        <v>55</v>
      </c>
      <c r="C13" s="216" t="s">
        <v>56</v>
      </c>
      <c r="D13" s="216" t="s">
        <v>57</v>
      </c>
      <c r="E13" s="216" t="s">
        <v>58</v>
      </c>
      <c r="F13" s="216" t="s">
        <v>9</v>
      </c>
    </row>
    <row r="14" spans="1:19" x14ac:dyDescent="0.2">
      <c r="A14" s="75" t="s">
        <v>215</v>
      </c>
      <c r="B14" s="103">
        <v>37629</v>
      </c>
      <c r="C14" s="103">
        <v>5023</v>
      </c>
      <c r="D14" s="103">
        <v>18486</v>
      </c>
      <c r="E14" s="103">
        <v>59135</v>
      </c>
      <c r="F14" s="103">
        <f>SUM(B14:E14)</f>
        <v>120273</v>
      </c>
    </row>
    <row r="15" spans="1:19" x14ac:dyDescent="0.2">
      <c r="A15" s="17" t="s">
        <v>40</v>
      </c>
      <c r="B15" s="103">
        <v>13673</v>
      </c>
      <c r="C15" s="103"/>
      <c r="D15" s="103"/>
      <c r="E15" s="103"/>
      <c r="F15" s="103">
        <f>SUM(B15:E15)</f>
        <v>13673</v>
      </c>
      <c r="J15" s="23"/>
      <c r="K15" s="23"/>
      <c r="L15" s="23"/>
      <c r="M15" s="23"/>
      <c r="N15" s="23"/>
      <c r="O15" s="23"/>
      <c r="P15" s="23"/>
      <c r="Q15" s="23"/>
      <c r="R15" s="23"/>
      <c r="S15" s="23"/>
    </row>
    <row r="16" spans="1:19" x14ac:dyDescent="0.2">
      <c r="A16" s="17" t="s">
        <v>41</v>
      </c>
      <c r="B16" s="103"/>
      <c r="C16" s="103">
        <v>8101</v>
      </c>
      <c r="D16" s="103">
        <v>1798</v>
      </c>
      <c r="E16" s="103">
        <v>1610</v>
      </c>
      <c r="F16" s="103">
        <f>SUM(B16:E16)</f>
        <v>11509</v>
      </c>
      <c r="I16" s="71"/>
      <c r="J16" s="109"/>
      <c r="K16" s="109"/>
      <c r="L16" s="109"/>
      <c r="M16" s="109"/>
      <c r="N16" s="109"/>
      <c r="O16" s="109"/>
      <c r="P16" s="109"/>
      <c r="Q16" s="109"/>
      <c r="R16" s="109"/>
      <c r="S16" s="109"/>
    </row>
    <row r="17" spans="1:19" x14ac:dyDescent="0.2">
      <c r="A17" s="104" t="s">
        <v>42</v>
      </c>
      <c r="B17" s="186">
        <f>SUM(B14:B16)</f>
        <v>51302</v>
      </c>
      <c r="C17" s="186">
        <f t="shared" ref="C17:E17" si="1">SUM(C14:C16)</f>
        <v>13124</v>
      </c>
      <c r="D17" s="186">
        <f t="shared" si="1"/>
        <v>20284</v>
      </c>
      <c r="E17" s="186">
        <f t="shared" si="1"/>
        <v>60745</v>
      </c>
      <c r="F17" s="217">
        <f>SUM(B17:E17)</f>
        <v>145455</v>
      </c>
      <c r="H17" s="178"/>
      <c r="J17" s="23"/>
      <c r="K17" s="23"/>
      <c r="L17" s="23"/>
      <c r="M17" s="23"/>
      <c r="N17" s="23"/>
      <c r="O17" s="23"/>
      <c r="P17" s="23"/>
      <c r="Q17" s="23"/>
      <c r="R17" s="23"/>
      <c r="S17" s="23"/>
    </row>
    <row r="18" spans="1:19" ht="8.25" customHeight="1" x14ac:dyDescent="0.2">
      <c r="A18" s="196"/>
      <c r="B18" s="218"/>
      <c r="C18" s="103"/>
      <c r="D18" s="219"/>
      <c r="E18" s="89"/>
      <c r="F18" s="89"/>
    </row>
    <row r="19" spans="1:19" x14ac:dyDescent="0.2">
      <c r="A19" s="17" t="s">
        <v>33</v>
      </c>
      <c r="B19" s="214">
        <v>998</v>
      </c>
      <c r="C19" s="220" t="s">
        <v>141</v>
      </c>
      <c r="D19" s="220" t="s">
        <v>141</v>
      </c>
      <c r="E19" s="220" t="s">
        <v>141</v>
      </c>
      <c r="F19" s="103">
        <f>SUM(B19:E19)</f>
        <v>998</v>
      </c>
      <c r="H19" s="89"/>
    </row>
    <row r="20" spans="1:19" x14ac:dyDescent="0.2">
      <c r="A20" s="17" t="s">
        <v>34</v>
      </c>
      <c r="B20" s="214">
        <v>1253</v>
      </c>
      <c r="C20" s="220" t="s">
        <v>141</v>
      </c>
      <c r="D20" s="220" t="s">
        <v>141</v>
      </c>
      <c r="E20" s="220" t="s">
        <v>141</v>
      </c>
      <c r="F20" s="103">
        <f>SUM(B20:E20)</f>
        <v>1253</v>
      </c>
    </row>
    <row r="21" spans="1:19" x14ac:dyDescent="0.2">
      <c r="G21" s="79"/>
    </row>
    <row r="22" spans="1:19" x14ac:dyDescent="0.2">
      <c r="G22" s="103"/>
    </row>
    <row r="23" spans="1:19" x14ac:dyDescent="0.2">
      <c r="G23" s="103"/>
    </row>
    <row r="24" spans="1:19" x14ac:dyDescent="0.2">
      <c r="G24" s="103"/>
    </row>
    <row r="25" spans="1:19" x14ac:dyDescent="0.2">
      <c r="G25" s="184"/>
    </row>
    <row r="26" spans="1:19" x14ac:dyDescent="0.2">
      <c r="G26" s="89"/>
    </row>
    <row r="27" spans="1:19" x14ac:dyDescent="0.2">
      <c r="D27" s="23"/>
      <c r="G27" s="103"/>
    </row>
    <row r="28" spans="1:19" x14ac:dyDescent="0.2">
      <c r="G28" s="103"/>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38"/>
  <sheetViews>
    <sheetView zoomScaleNormal="100" workbookViewId="0">
      <selection activeCell="G50" sqref="G50"/>
    </sheetView>
  </sheetViews>
  <sheetFormatPr baseColWidth="10" defaultColWidth="11" defaultRowHeight="12" x14ac:dyDescent="0.2"/>
  <cols>
    <col min="1" max="1" width="31.875" style="21" customWidth="1"/>
    <col min="2" max="2" width="15.125" style="21" customWidth="1"/>
    <col min="3" max="3" width="14.125" style="21" customWidth="1"/>
    <col min="4" max="4" width="15.5" style="21" customWidth="1"/>
    <col min="5" max="5" width="17.625" style="21" customWidth="1"/>
    <col min="6" max="6" width="5.625" style="21" customWidth="1"/>
    <col min="7" max="16384" width="11" style="21"/>
  </cols>
  <sheetData>
    <row r="1" spans="1:7" x14ac:dyDescent="0.2">
      <c r="A1" s="436">
        <v>42004</v>
      </c>
      <c r="B1" s="646" t="s">
        <v>59</v>
      </c>
      <c r="C1" s="646"/>
      <c r="D1" s="401"/>
      <c r="E1" s="401"/>
    </row>
    <row r="2" spans="1:7" s="373" customFormat="1" ht="36" x14ac:dyDescent="0.2">
      <c r="A2" s="221" t="s">
        <v>162</v>
      </c>
      <c r="B2" s="222" t="s">
        <v>171</v>
      </c>
      <c r="C2" s="222" t="s">
        <v>172</v>
      </c>
      <c r="D2" s="222" t="s">
        <v>30</v>
      </c>
      <c r="E2" s="223" t="s">
        <v>60</v>
      </c>
    </row>
    <row r="3" spans="1:7" ht="12" customHeight="1" x14ac:dyDescent="0.2">
      <c r="A3" s="401" t="s">
        <v>43</v>
      </c>
      <c r="B3" s="224">
        <v>7</v>
      </c>
      <c r="C3" s="225">
        <v>34</v>
      </c>
      <c r="D3" s="225">
        <v>20</v>
      </c>
      <c r="E3" s="226">
        <v>2</v>
      </c>
    </row>
    <row r="4" spans="1:7" s="373" customFormat="1" x14ac:dyDescent="0.2">
      <c r="A4" s="401" t="s">
        <v>44</v>
      </c>
      <c r="B4" s="224">
        <v>0</v>
      </c>
      <c r="C4" s="225">
        <v>0</v>
      </c>
      <c r="D4" s="225">
        <v>0</v>
      </c>
      <c r="E4" s="220">
        <v>0</v>
      </c>
    </row>
    <row r="5" spans="1:7" s="373" customFormat="1" x14ac:dyDescent="0.2">
      <c r="A5" s="401" t="s">
        <v>45</v>
      </c>
      <c r="B5" s="224">
        <v>0</v>
      </c>
      <c r="C5" s="225">
        <v>0</v>
      </c>
      <c r="D5" s="225">
        <v>0</v>
      </c>
      <c r="E5" s="220">
        <v>-5</v>
      </c>
      <c r="G5" s="402"/>
    </row>
    <row r="6" spans="1:7" s="373" customFormat="1" x14ac:dyDescent="0.2">
      <c r="A6" s="401" t="s">
        <v>46</v>
      </c>
      <c r="B6" s="224">
        <v>40</v>
      </c>
      <c r="C6" s="226">
        <v>14</v>
      </c>
      <c r="D6" s="226">
        <v>15</v>
      </c>
      <c r="E6" s="226">
        <v>5</v>
      </c>
    </row>
    <row r="7" spans="1:7" s="373" customFormat="1" x14ac:dyDescent="0.2">
      <c r="A7" s="401" t="s">
        <v>47</v>
      </c>
      <c r="B7" s="224">
        <v>24</v>
      </c>
      <c r="C7" s="225">
        <v>18</v>
      </c>
      <c r="D7" s="225">
        <v>22</v>
      </c>
      <c r="E7" s="226">
        <v>22</v>
      </c>
    </row>
    <row r="8" spans="1:7" s="373" customFormat="1" x14ac:dyDescent="0.2">
      <c r="A8" s="401" t="s">
        <v>48</v>
      </c>
      <c r="B8" s="224">
        <v>26</v>
      </c>
      <c r="C8" s="225">
        <v>15</v>
      </c>
      <c r="D8" s="225">
        <v>24</v>
      </c>
      <c r="E8" s="226">
        <v>26</v>
      </c>
    </row>
    <row r="9" spans="1:7" s="373" customFormat="1" x14ac:dyDescent="0.2">
      <c r="A9" s="401" t="s">
        <v>49</v>
      </c>
      <c r="B9" s="224">
        <v>54</v>
      </c>
      <c r="C9" s="225">
        <v>1</v>
      </c>
      <c r="D9" s="225">
        <v>36</v>
      </c>
      <c r="E9" s="226">
        <v>-6</v>
      </c>
    </row>
    <row r="10" spans="1:7" s="373" customFormat="1" x14ac:dyDescent="0.2">
      <c r="A10" s="401" t="s">
        <v>50</v>
      </c>
      <c r="B10" s="224">
        <v>251</v>
      </c>
      <c r="C10" s="225">
        <v>126</v>
      </c>
      <c r="D10" s="225">
        <v>118</v>
      </c>
      <c r="E10" s="226">
        <v>112</v>
      </c>
    </row>
    <row r="11" spans="1:7" s="373" customFormat="1" x14ac:dyDescent="0.2">
      <c r="A11" s="401" t="s">
        <v>51</v>
      </c>
      <c r="B11" s="224">
        <v>68</v>
      </c>
      <c r="C11" s="225">
        <v>7</v>
      </c>
      <c r="D11" s="225">
        <v>44</v>
      </c>
      <c r="E11" s="226">
        <v>8</v>
      </c>
    </row>
    <row r="12" spans="1:7" s="373" customFormat="1" x14ac:dyDescent="0.2">
      <c r="A12" s="17" t="s">
        <v>52</v>
      </c>
      <c r="B12" s="224">
        <v>1</v>
      </c>
      <c r="C12" s="225">
        <v>0</v>
      </c>
      <c r="D12" s="490">
        <v>0</v>
      </c>
      <c r="E12" s="226">
        <v>0</v>
      </c>
    </row>
    <row r="13" spans="1:7" s="373" customFormat="1" x14ac:dyDescent="0.2">
      <c r="A13" s="210" t="s">
        <v>54</v>
      </c>
      <c r="B13" s="227">
        <f>SUM(B3:B12)</f>
        <v>471</v>
      </c>
      <c r="C13" s="227">
        <f t="shared" ref="C13:E13" si="0">SUM(C3:C12)</f>
        <v>215</v>
      </c>
      <c r="D13" s="227">
        <f t="shared" si="0"/>
        <v>279</v>
      </c>
      <c r="E13" s="227">
        <f t="shared" si="0"/>
        <v>164</v>
      </c>
    </row>
    <row r="14" spans="1:7" s="373" customFormat="1" x14ac:dyDescent="0.2">
      <c r="A14" s="109" t="s">
        <v>127</v>
      </c>
      <c r="B14" s="228">
        <v>0</v>
      </c>
      <c r="C14" s="229">
        <v>0</v>
      </c>
      <c r="D14" s="230">
        <v>0</v>
      </c>
      <c r="E14" s="230">
        <v>75</v>
      </c>
    </row>
    <row r="15" spans="1:7" s="373" customFormat="1" x14ac:dyDescent="0.2">
      <c r="A15" s="231" t="s">
        <v>28</v>
      </c>
      <c r="B15" s="232">
        <v>42</v>
      </c>
      <c r="C15" s="232">
        <v>212</v>
      </c>
      <c r="D15" s="232">
        <v>43</v>
      </c>
      <c r="E15" s="232">
        <v>18</v>
      </c>
    </row>
    <row r="16" spans="1:7" s="373" customFormat="1" x14ac:dyDescent="0.2">
      <c r="A16" s="399" t="s">
        <v>9</v>
      </c>
      <c r="B16" s="394">
        <f>+B15+B13</f>
        <v>513</v>
      </c>
      <c r="C16" s="394">
        <f>+C15+C13</f>
        <v>427</v>
      </c>
      <c r="D16" s="394">
        <f>+D15+D13</f>
        <v>322</v>
      </c>
      <c r="E16" s="394">
        <f>+E13+E14+E15</f>
        <v>257</v>
      </c>
    </row>
    <row r="17" spans="1:5" s="373" customFormat="1" x14ac:dyDescent="0.2">
      <c r="A17" s="129"/>
      <c r="B17" s="129"/>
      <c r="C17" s="129"/>
      <c r="D17" s="129"/>
      <c r="E17" s="401"/>
    </row>
    <row r="18" spans="1:5" s="373" customFormat="1" x14ac:dyDescent="0.2">
      <c r="A18" s="129"/>
      <c r="B18" s="129"/>
      <c r="C18" s="129"/>
      <c r="D18" s="129"/>
      <c r="E18" s="401"/>
    </row>
    <row r="19" spans="1:5" s="373" customFormat="1" ht="12.75" x14ac:dyDescent="0.2">
      <c r="A19" s="129"/>
      <c r="B19" s="417"/>
      <c r="C19" s="85"/>
      <c r="D19" s="129"/>
      <c r="E19" s="401"/>
    </row>
    <row r="20" spans="1:5" s="373" customFormat="1" x14ac:dyDescent="0.2">
      <c r="A20" s="129"/>
      <c r="B20" s="85"/>
      <c r="C20" s="85"/>
      <c r="D20" s="129"/>
      <c r="E20" s="401"/>
    </row>
    <row r="21" spans="1:5" s="373" customFormat="1" x14ac:dyDescent="0.2">
      <c r="A21" s="436">
        <v>41639</v>
      </c>
      <c r="B21" s="646" t="s">
        <v>59</v>
      </c>
      <c r="C21" s="646"/>
      <c r="D21" s="401"/>
      <c r="E21" s="401"/>
    </row>
    <row r="22" spans="1:5" ht="36.75" customHeight="1" x14ac:dyDescent="0.2">
      <c r="A22" s="221" t="s">
        <v>162</v>
      </c>
      <c r="B22" s="222" t="s">
        <v>171</v>
      </c>
      <c r="C22" s="222" t="s">
        <v>172</v>
      </c>
      <c r="D22" s="222" t="s">
        <v>30</v>
      </c>
      <c r="E22" s="223" t="s">
        <v>60</v>
      </c>
    </row>
    <row r="23" spans="1:5" x14ac:dyDescent="0.2">
      <c r="A23" s="401" t="s">
        <v>43</v>
      </c>
      <c r="B23" s="228">
        <v>2</v>
      </c>
      <c r="C23" s="225">
        <v>17</v>
      </c>
      <c r="D23" s="226">
        <v>8</v>
      </c>
      <c r="E23" s="226">
        <v>5</v>
      </c>
    </row>
    <row r="24" spans="1:5" x14ac:dyDescent="0.2">
      <c r="A24" s="401" t="s">
        <v>44</v>
      </c>
      <c r="B24" s="228">
        <v>0</v>
      </c>
      <c r="C24" s="225">
        <v>0</v>
      </c>
      <c r="D24" s="226">
        <v>0</v>
      </c>
      <c r="E24" s="220">
        <v>0</v>
      </c>
    </row>
    <row r="25" spans="1:5" x14ac:dyDescent="0.2">
      <c r="A25" s="401" t="s">
        <v>45</v>
      </c>
      <c r="B25" s="228">
        <v>0</v>
      </c>
      <c r="C25" s="225">
        <v>0</v>
      </c>
      <c r="D25" s="220">
        <v>5</v>
      </c>
      <c r="E25" s="220">
        <v>-2</v>
      </c>
    </row>
    <row r="26" spans="1:5" x14ac:dyDescent="0.2">
      <c r="A26" s="401" t="s">
        <v>46</v>
      </c>
      <c r="B26" s="228">
        <v>39</v>
      </c>
      <c r="C26" s="226">
        <v>4</v>
      </c>
      <c r="D26" s="226">
        <v>31</v>
      </c>
      <c r="E26" s="226">
        <v>3</v>
      </c>
    </row>
    <row r="27" spans="1:5" x14ac:dyDescent="0.2">
      <c r="A27" s="401" t="s">
        <v>47</v>
      </c>
      <c r="B27" s="228">
        <v>22</v>
      </c>
      <c r="C27" s="225">
        <v>8</v>
      </c>
      <c r="D27" s="226">
        <v>10</v>
      </c>
      <c r="E27" s="226">
        <v>4</v>
      </c>
    </row>
    <row r="28" spans="1:5" x14ac:dyDescent="0.2">
      <c r="A28" s="401" t="s">
        <v>48</v>
      </c>
      <c r="B28" s="228">
        <v>25</v>
      </c>
      <c r="C28" s="225">
        <v>12</v>
      </c>
      <c r="D28" s="226">
        <v>26.45</v>
      </c>
      <c r="E28" s="226">
        <v>14</v>
      </c>
    </row>
    <row r="29" spans="1:5" x14ac:dyDescent="0.2">
      <c r="A29" s="401" t="s">
        <v>49</v>
      </c>
      <c r="B29" s="228">
        <v>74</v>
      </c>
      <c r="C29" s="225">
        <v>11</v>
      </c>
      <c r="D29" s="226">
        <v>64.45</v>
      </c>
      <c r="E29" s="226">
        <v>8</v>
      </c>
    </row>
    <row r="30" spans="1:5" x14ac:dyDescent="0.2">
      <c r="A30" s="401" t="s">
        <v>50</v>
      </c>
      <c r="B30" s="228">
        <v>177</v>
      </c>
      <c r="C30" s="225">
        <v>566</v>
      </c>
      <c r="D30" s="226">
        <v>210</v>
      </c>
      <c r="E30" s="226">
        <v>153</v>
      </c>
    </row>
    <row r="31" spans="1:5" x14ac:dyDescent="0.2">
      <c r="A31" s="401" t="s">
        <v>51</v>
      </c>
      <c r="B31" s="228">
        <v>58</v>
      </c>
      <c r="C31" s="225">
        <v>8</v>
      </c>
      <c r="D31" s="226">
        <v>37</v>
      </c>
      <c r="E31" s="226">
        <v>-27</v>
      </c>
    </row>
    <row r="32" spans="1:5" x14ac:dyDescent="0.2">
      <c r="A32" s="17" t="s">
        <v>52</v>
      </c>
      <c r="B32" s="228">
        <v>0</v>
      </c>
      <c r="C32" s="225">
        <v>0</v>
      </c>
      <c r="D32" s="226">
        <v>0</v>
      </c>
      <c r="E32" s="226">
        <v>0</v>
      </c>
    </row>
    <row r="33" spans="1:5" x14ac:dyDescent="0.2">
      <c r="A33" s="210" t="s">
        <v>54</v>
      </c>
      <c r="B33" s="494">
        <f>SUM(B23:B32)</f>
        <v>397</v>
      </c>
      <c r="C33" s="227">
        <f>SUM(C23:C32)</f>
        <v>626</v>
      </c>
      <c r="D33" s="227">
        <f>SUM(D23:D32)</f>
        <v>391.9</v>
      </c>
      <c r="E33" s="227">
        <f>SUM(E23:E32)</f>
        <v>158</v>
      </c>
    </row>
    <row r="34" spans="1:5" x14ac:dyDescent="0.2">
      <c r="A34" s="109" t="s">
        <v>127</v>
      </c>
      <c r="B34" s="228">
        <v>0</v>
      </c>
      <c r="C34" s="229">
        <v>0</v>
      </c>
      <c r="D34" s="230">
        <v>0</v>
      </c>
      <c r="E34" s="230">
        <v>-30</v>
      </c>
    </row>
    <row r="35" spans="1:5" x14ac:dyDescent="0.2">
      <c r="A35" s="231" t="s">
        <v>28</v>
      </c>
      <c r="B35" s="232">
        <v>42</v>
      </c>
      <c r="C35" s="232">
        <v>204</v>
      </c>
      <c r="D35" s="232">
        <v>54</v>
      </c>
      <c r="E35" s="232">
        <v>4</v>
      </c>
    </row>
    <row r="36" spans="1:5" ht="14.25" customHeight="1" x14ac:dyDescent="0.2">
      <c r="A36" s="399" t="s">
        <v>9</v>
      </c>
      <c r="B36" s="495">
        <f>+B33+B35</f>
        <v>439</v>
      </c>
      <c r="C36" s="394">
        <f t="shared" ref="C36:D36" si="1">+C33+C35</f>
        <v>830</v>
      </c>
      <c r="D36" s="394">
        <f t="shared" si="1"/>
        <v>445.9</v>
      </c>
      <c r="E36" s="394">
        <f>+E33+E35+E34</f>
        <v>132</v>
      </c>
    </row>
    <row r="38" spans="1:5" x14ac:dyDescent="0.2">
      <c r="B38" s="136"/>
      <c r="C38" s="136"/>
      <c r="D38" s="136"/>
      <c r="E38" s="136"/>
    </row>
  </sheetData>
  <mergeCells count="2">
    <mergeCell ref="B1:C1"/>
    <mergeCell ref="B21:C21"/>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enableFormatConditionsCalculation="0">
    <pageSetUpPr fitToPage="1"/>
  </sheetPr>
  <dimension ref="A1:F16"/>
  <sheetViews>
    <sheetView zoomScaleNormal="100" workbookViewId="0">
      <selection activeCell="G50" sqref="G50"/>
    </sheetView>
  </sheetViews>
  <sheetFormatPr baseColWidth="10" defaultColWidth="11" defaultRowHeight="12" x14ac:dyDescent="0.2"/>
  <cols>
    <col min="1" max="1" width="17.375" style="373" customWidth="1"/>
    <col min="2" max="4" width="11.5" style="373" customWidth="1"/>
    <col min="5" max="16384" width="11" style="21"/>
  </cols>
  <sheetData>
    <row r="1" spans="1:6" ht="12.75" x14ac:dyDescent="0.2">
      <c r="A1" s="337" t="s">
        <v>306</v>
      </c>
    </row>
    <row r="2" spans="1:6" ht="12.75" x14ac:dyDescent="0.2">
      <c r="A2" s="338" t="s">
        <v>184</v>
      </c>
      <c r="B2" s="94"/>
      <c r="C2" s="94"/>
      <c r="D2" s="94"/>
    </row>
    <row r="3" spans="1:6" x14ac:dyDescent="0.2">
      <c r="A3" s="99"/>
      <c r="B3" s="125"/>
      <c r="C3" s="125"/>
      <c r="D3" s="125"/>
    </row>
    <row r="4" spans="1:6" ht="12.75" thickBot="1" x14ac:dyDescent="0.25">
      <c r="A4" s="233"/>
      <c r="B4" s="134"/>
      <c r="C4" s="183">
        <v>2014</v>
      </c>
      <c r="D4" s="1">
        <v>2013</v>
      </c>
      <c r="F4" s="27"/>
    </row>
    <row r="5" spans="1:6" x14ac:dyDescent="0.2">
      <c r="A5" s="17" t="s">
        <v>132</v>
      </c>
      <c r="B5" s="17"/>
      <c r="C5" s="234">
        <v>0</v>
      </c>
      <c r="D5" s="235">
        <v>0</v>
      </c>
      <c r="F5" s="27"/>
    </row>
    <row r="6" spans="1:6" x14ac:dyDescent="0.2">
      <c r="A6" s="17" t="s">
        <v>133</v>
      </c>
      <c r="B6" s="17"/>
      <c r="C6" s="234">
        <v>0</v>
      </c>
      <c r="D6" s="235">
        <v>0</v>
      </c>
      <c r="F6" s="27"/>
    </row>
    <row r="7" spans="1:6" x14ac:dyDescent="0.2">
      <c r="A7" s="17" t="s">
        <v>134</v>
      </c>
      <c r="B7" s="17"/>
      <c r="C7" s="234">
        <v>0</v>
      </c>
      <c r="D7" s="235">
        <v>0</v>
      </c>
      <c r="F7" s="27"/>
    </row>
    <row r="8" spans="1:6" x14ac:dyDescent="0.2">
      <c r="A8" s="17" t="s">
        <v>135</v>
      </c>
      <c r="B8" s="17"/>
      <c r="C8" s="234">
        <v>0</v>
      </c>
      <c r="D8" s="235">
        <v>0</v>
      </c>
    </row>
    <row r="9" spans="1:6" x14ac:dyDescent="0.2">
      <c r="A9" s="17" t="s">
        <v>136</v>
      </c>
      <c r="B9" s="17"/>
      <c r="C9" s="234">
        <v>0</v>
      </c>
      <c r="D9" s="235">
        <v>0</v>
      </c>
    </row>
    <row r="10" spans="1:6" x14ac:dyDescent="0.2">
      <c r="A10" s="17" t="s">
        <v>137</v>
      </c>
      <c r="B10" s="17"/>
      <c r="C10" s="234">
        <v>0</v>
      </c>
      <c r="D10" s="235">
        <v>0</v>
      </c>
    </row>
    <row r="11" spans="1:6" x14ac:dyDescent="0.2">
      <c r="A11" s="17" t="s">
        <v>138</v>
      </c>
      <c r="B11" s="17"/>
      <c r="C11" s="234">
        <v>0</v>
      </c>
      <c r="D11" s="235">
        <v>0</v>
      </c>
    </row>
    <row r="12" spans="1:6" x14ac:dyDescent="0.2">
      <c r="A12" s="17" t="s">
        <v>139</v>
      </c>
      <c r="B12" s="17"/>
      <c r="C12" s="234">
        <v>0</v>
      </c>
      <c r="D12" s="235">
        <v>0</v>
      </c>
    </row>
    <row r="13" spans="1:6" x14ac:dyDescent="0.2">
      <c r="A13" s="17" t="s">
        <v>140</v>
      </c>
      <c r="B13" s="17"/>
      <c r="C13" s="234">
        <v>0</v>
      </c>
      <c r="D13" s="235">
        <v>0</v>
      </c>
    </row>
    <row r="14" spans="1:6" x14ac:dyDescent="0.2">
      <c r="A14" s="17" t="s">
        <v>85</v>
      </c>
      <c r="B14" s="17"/>
      <c r="C14" s="234">
        <v>0</v>
      </c>
      <c r="D14" s="235">
        <v>0</v>
      </c>
    </row>
    <row r="15" spans="1:6" x14ac:dyDescent="0.2">
      <c r="A15" s="17" t="s">
        <v>86</v>
      </c>
      <c r="B15" s="17"/>
      <c r="C15" s="16">
        <v>257</v>
      </c>
      <c r="D15" s="16">
        <v>132</v>
      </c>
    </row>
    <row r="16" spans="1:6" x14ac:dyDescent="0.2">
      <c r="A16" s="104" t="s">
        <v>9</v>
      </c>
      <c r="B16" s="104"/>
      <c r="C16" s="236">
        <f>SUM(C5:C15)</f>
        <v>257</v>
      </c>
      <c r="D16" s="237">
        <f>SUM(D5:D15)</f>
        <v>132</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G50" sqref="G50"/>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50" t="s">
        <v>304</v>
      </c>
      <c r="B1" s="650"/>
      <c r="C1" s="650"/>
      <c r="D1" s="650"/>
    </row>
    <row r="2" spans="1:6" ht="13.5" customHeight="1" x14ac:dyDescent="0.2">
      <c r="A2" s="650"/>
      <c r="B2" s="650"/>
      <c r="C2" s="650"/>
      <c r="D2" s="650"/>
    </row>
    <row r="3" spans="1:6" x14ac:dyDescent="0.2">
      <c r="A3" s="189" t="s">
        <v>184</v>
      </c>
      <c r="B3" s="374"/>
      <c r="C3" s="374"/>
      <c r="D3" s="374"/>
    </row>
    <row r="4" spans="1:6" ht="12" customHeight="1" x14ac:dyDescent="0.2">
      <c r="A4" s="189"/>
      <c r="B4" s="374"/>
      <c r="C4" s="374"/>
      <c r="D4" s="374"/>
      <c r="F4" s="27"/>
    </row>
    <row r="5" spans="1:6" ht="12" customHeight="1" x14ac:dyDescent="0.2">
      <c r="A5" s="99"/>
      <c r="B5" s="647" t="s">
        <v>59</v>
      </c>
      <c r="C5" s="647"/>
      <c r="D5" s="648" t="s">
        <v>30</v>
      </c>
      <c r="F5" s="402"/>
    </row>
    <row r="6" spans="1:6" ht="12.75" thickBot="1" x14ac:dyDescent="0.25">
      <c r="A6" s="134">
        <v>2014</v>
      </c>
      <c r="B6" s="403" t="s">
        <v>171</v>
      </c>
      <c r="C6" s="403" t="s">
        <v>172</v>
      </c>
      <c r="D6" s="649"/>
    </row>
    <row r="7" spans="1:6" x14ac:dyDescent="0.2">
      <c r="A7" s="17" t="s">
        <v>36</v>
      </c>
      <c r="B7" s="238">
        <v>255</v>
      </c>
      <c r="C7" s="238">
        <v>234</v>
      </c>
      <c r="D7" s="238">
        <v>163</v>
      </c>
      <c r="F7" s="27"/>
    </row>
    <row r="8" spans="1:6" x14ac:dyDescent="0.2">
      <c r="A8" s="17" t="s">
        <v>37</v>
      </c>
      <c r="B8" s="238">
        <v>176</v>
      </c>
      <c r="C8" s="238">
        <v>80</v>
      </c>
      <c r="D8" s="238">
        <v>99</v>
      </c>
    </row>
    <row r="9" spans="1:6" x14ac:dyDescent="0.2">
      <c r="A9" s="17" t="s">
        <v>38</v>
      </c>
      <c r="B9" s="238">
        <v>80</v>
      </c>
      <c r="C9" s="238">
        <v>94</v>
      </c>
      <c r="D9" s="238">
        <v>44</v>
      </c>
    </row>
    <row r="10" spans="1:6" x14ac:dyDescent="0.2">
      <c r="A10" s="85" t="s">
        <v>39</v>
      </c>
      <c r="B10" s="238">
        <v>2</v>
      </c>
      <c r="C10" s="238">
        <v>19</v>
      </c>
      <c r="D10" s="238">
        <v>16</v>
      </c>
    </row>
    <row r="11" spans="1:6" x14ac:dyDescent="0.2">
      <c r="A11" s="104" t="s">
        <v>9</v>
      </c>
      <c r="B11" s="239">
        <f>SUM(B7:B10)</f>
        <v>513</v>
      </c>
      <c r="C11" s="239">
        <f>SUM(C7:C10)</f>
        <v>427</v>
      </c>
      <c r="D11" s="239">
        <f>SUM(D7:D10)</f>
        <v>322</v>
      </c>
    </row>
    <row r="12" spans="1:6" x14ac:dyDescent="0.2">
      <c r="A12" s="189"/>
      <c r="B12" s="422"/>
      <c r="C12" s="418"/>
      <c r="D12" s="400"/>
    </row>
    <row r="13" spans="1:6" x14ac:dyDescent="0.2">
      <c r="A13" s="99"/>
      <c r="B13" s="647" t="s">
        <v>59</v>
      </c>
      <c r="C13" s="647"/>
      <c r="D13" s="648" t="s">
        <v>30</v>
      </c>
    </row>
    <row r="14" spans="1:6" ht="12.75" thickBot="1" x14ac:dyDescent="0.25">
      <c r="A14" s="134">
        <v>2013</v>
      </c>
      <c r="B14" s="375" t="s">
        <v>171</v>
      </c>
      <c r="C14" s="375" t="s">
        <v>172</v>
      </c>
      <c r="D14" s="649"/>
    </row>
    <row r="15" spans="1:6" x14ac:dyDescent="0.2">
      <c r="A15" s="17" t="s">
        <v>36</v>
      </c>
      <c r="B15" s="238">
        <v>261</v>
      </c>
      <c r="C15" s="238">
        <v>186</v>
      </c>
      <c r="D15" s="238">
        <v>165</v>
      </c>
    </row>
    <row r="16" spans="1:6" x14ac:dyDescent="0.2">
      <c r="A16" s="17" t="s">
        <v>37</v>
      </c>
      <c r="B16" s="238">
        <v>105</v>
      </c>
      <c r="C16" s="238">
        <v>92</v>
      </c>
      <c r="D16" s="238">
        <v>88</v>
      </c>
    </row>
    <row r="17" spans="1:4" x14ac:dyDescent="0.2">
      <c r="A17" s="17" t="s">
        <v>38</v>
      </c>
      <c r="B17" s="238">
        <v>70</v>
      </c>
      <c r="C17" s="238">
        <v>524</v>
      </c>
      <c r="D17" s="238">
        <v>170</v>
      </c>
    </row>
    <row r="18" spans="1:4" x14ac:dyDescent="0.2">
      <c r="A18" s="85" t="s">
        <v>39</v>
      </c>
      <c r="B18" s="238">
        <v>3</v>
      </c>
      <c r="C18" s="238">
        <v>28</v>
      </c>
      <c r="D18" s="238">
        <v>23</v>
      </c>
    </row>
    <row r="19" spans="1:4" x14ac:dyDescent="0.2">
      <c r="A19" s="104" t="s">
        <v>9</v>
      </c>
      <c r="B19" s="491">
        <f>SUM(B15:B18)</f>
        <v>439</v>
      </c>
      <c r="C19" s="239">
        <f>SUM(C15:C18)</f>
        <v>830</v>
      </c>
      <c r="D19" s="239">
        <f>SUM(D15:D18)</f>
        <v>446</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G50" sqref="G50"/>
    </sheetView>
  </sheetViews>
  <sheetFormatPr baseColWidth="10" defaultColWidth="11" defaultRowHeight="12" x14ac:dyDescent="0.2"/>
  <cols>
    <col min="1" max="1" width="22.375" style="21" customWidth="1"/>
    <col min="2" max="2" width="14" style="21" customWidth="1"/>
    <col min="3" max="3" width="11" style="21" customWidth="1"/>
    <col min="4" max="4" width="15.625" style="21" customWidth="1"/>
    <col min="5" max="5" width="12.625" style="21" customWidth="1"/>
    <col min="6" max="16384" width="11" style="21"/>
  </cols>
  <sheetData>
    <row r="1" spans="1:5" ht="12" customHeight="1" x14ac:dyDescent="0.2">
      <c r="A1" s="651" t="s">
        <v>244</v>
      </c>
      <c r="B1" s="651"/>
      <c r="C1" s="651"/>
      <c r="D1" s="651"/>
      <c r="E1" s="651"/>
    </row>
    <row r="2" spans="1:5" x14ac:dyDescent="0.2">
      <c r="A2" s="377" t="s">
        <v>184</v>
      </c>
      <c r="B2" s="377"/>
      <c r="C2" s="377"/>
      <c r="D2" s="377"/>
      <c r="E2" s="377"/>
    </row>
    <row r="3" spans="1:5" ht="36.75" thickBot="1" x14ac:dyDescent="0.25">
      <c r="A3" s="470">
        <v>2014</v>
      </c>
      <c r="B3" s="415" t="s">
        <v>217</v>
      </c>
      <c r="C3" s="415" t="s">
        <v>61</v>
      </c>
      <c r="D3" s="415" t="s">
        <v>62</v>
      </c>
      <c r="E3" s="415" t="s">
        <v>216</v>
      </c>
    </row>
    <row r="4" spans="1:5" x14ac:dyDescent="0.2">
      <c r="A4" s="471" t="s">
        <v>30</v>
      </c>
      <c r="B4" s="241">
        <v>446</v>
      </c>
      <c r="C4" s="241">
        <v>282.5</v>
      </c>
      <c r="D4" s="103">
        <v>159</v>
      </c>
      <c r="E4" s="103">
        <f>+B4-C4+D4-0.5</f>
        <v>322</v>
      </c>
    </row>
    <row r="5" spans="1:5" x14ac:dyDescent="0.2">
      <c r="A5" s="471" t="s">
        <v>63</v>
      </c>
      <c r="B5" s="103">
        <v>302.459</v>
      </c>
      <c r="C5" s="103"/>
      <c r="D5" s="103">
        <v>75.45</v>
      </c>
      <c r="E5" s="103">
        <f>+B5-C5+D5</f>
        <v>377.90899999999999</v>
      </c>
    </row>
    <row r="6" spans="1:5" x14ac:dyDescent="0.2">
      <c r="A6" s="471" t="s">
        <v>64</v>
      </c>
      <c r="B6" s="91">
        <v>0</v>
      </c>
      <c r="C6" s="91"/>
      <c r="D6" s="91">
        <v>0</v>
      </c>
      <c r="E6" s="103">
        <f>+B6-C6+D6</f>
        <v>0</v>
      </c>
    </row>
    <row r="7" spans="1:5" x14ac:dyDescent="0.2">
      <c r="A7" s="92" t="s">
        <v>9</v>
      </c>
      <c r="B7" s="105">
        <f>SUM(B4:B6)</f>
        <v>748.45900000000006</v>
      </c>
      <c r="C7" s="105">
        <f>SUM(C4:C6)</f>
        <v>282.5</v>
      </c>
      <c r="D7" s="105">
        <f>SUM(D4:D6)</f>
        <v>234.45</v>
      </c>
      <c r="E7" s="105">
        <f>+B7-C7+D7</f>
        <v>700.40900000000011</v>
      </c>
    </row>
    <row r="8" spans="1:5" x14ac:dyDescent="0.2">
      <c r="A8" s="377"/>
      <c r="B8" s="377"/>
      <c r="C8" s="377"/>
      <c r="D8" s="377"/>
      <c r="E8" s="377"/>
    </row>
    <row r="9" spans="1:5" ht="36.75" thickBot="1" x14ac:dyDescent="0.25">
      <c r="A9" s="470">
        <v>2013</v>
      </c>
      <c r="B9" s="415" t="s">
        <v>217</v>
      </c>
      <c r="C9" s="415" t="s">
        <v>61</v>
      </c>
      <c r="D9" s="415" t="s">
        <v>62</v>
      </c>
      <c r="E9" s="415" t="s">
        <v>216</v>
      </c>
    </row>
    <row r="10" spans="1:5" x14ac:dyDescent="0.2">
      <c r="A10" s="471" t="s">
        <v>30</v>
      </c>
      <c r="B10" s="241">
        <v>423</v>
      </c>
      <c r="C10" s="241">
        <v>294</v>
      </c>
      <c r="D10" s="103">
        <v>317</v>
      </c>
      <c r="E10" s="103">
        <f>+B10-C10+D10</f>
        <v>446</v>
      </c>
    </row>
    <row r="11" spans="1:5" x14ac:dyDescent="0.2">
      <c r="A11" s="471" t="s">
        <v>63</v>
      </c>
      <c r="B11" s="103">
        <v>332</v>
      </c>
      <c r="C11" s="103"/>
      <c r="D11" s="103">
        <v>-30</v>
      </c>
      <c r="E11" s="103">
        <f>+B11-C11+D11</f>
        <v>302</v>
      </c>
    </row>
    <row r="12" spans="1:5" x14ac:dyDescent="0.2">
      <c r="A12" s="471" t="s">
        <v>64</v>
      </c>
      <c r="B12" s="91">
        <v>1</v>
      </c>
      <c r="C12" s="91"/>
      <c r="D12" s="91">
        <v>-1</v>
      </c>
      <c r="E12" s="103">
        <f>+B12-C12+D12</f>
        <v>0</v>
      </c>
    </row>
    <row r="13" spans="1:5" x14ac:dyDescent="0.2">
      <c r="A13" s="92" t="s">
        <v>9</v>
      </c>
      <c r="B13" s="105">
        <f>SUM(B10:B12)</f>
        <v>756</v>
      </c>
      <c r="C13" s="105">
        <f>SUM(C10:C12)</f>
        <v>294</v>
      </c>
      <c r="D13" s="105">
        <f>SUM(D10:D12)</f>
        <v>286</v>
      </c>
      <c r="E13" s="105">
        <f>+B13-C13+D13</f>
        <v>748</v>
      </c>
    </row>
    <row r="26" spans="1:5" x14ac:dyDescent="0.2">
      <c r="A26" s="27"/>
    </row>
    <row r="27" spans="1:5" x14ac:dyDescent="0.2">
      <c r="A27" s="651"/>
      <c r="B27" s="651"/>
      <c r="C27" s="651"/>
      <c r="D27" s="651"/>
      <c r="E27" s="651"/>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31"/>
  <sheetViews>
    <sheetView zoomScaleNormal="100" workbookViewId="0">
      <selection activeCell="G50" sqref="G50"/>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420" t="s">
        <v>245</v>
      </c>
      <c r="B1" s="90"/>
      <c r="C1" s="17"/>
      <c r="D1" s="17"/>
      <c r="E1" s="17"/>
      <c r="F1" s="17"/>
      <c r="G1" s="243"/>
    </row>
    <row r="2" spans="1:7" x14ac:dyDescent="0.2">
      <c r="A2" s="242"/>
      <c r="B2" s="90"/>
      <c r="C2" s="17"/>
      <c r="D2" s="17"/>
      <c r="E2" s="17"/>
      <c r="F2" s="17"/>
      <c r="G2" s="17"/>
    </row>
    <row r="3" spans="1:7" x14ac:dyDescent="0.2">
      <c r="A3" s="244"/>
      <c r="B3" s="90"/>
      <c r="C3" s="17"/>
      <c r="D3" s="17"/>
      <c r="E3" s="17"/>
      <c r="F3" s="17"/>
      <c r="G3" s="17"/>
    </row>
    <row r="4" spans="1:7" ht="51" customHeight="1" thickBot="1" x14ac:dyDescent="0.25">
      <c r="A4" s="81" t="s">
        <v>384</v>
      </c>
      <c r="B4" s="245" t="s">
        <v>165</v>
      </c>
      <c r="C4" s="131" t="s">
        <v>74</v>
      </c>
      <c r="D4" s="131" t="s">
        <v>75</v>
      </c>
      <c r="E4" s="131" t="s">
        <v>187</v>
      </c>
      <c r="F4" s="131" t="s">
        <v>188</v>
      </c>
      <c r="G4" s="131" t="s">
        <v>189</v>
      </c>
    </row>
    <row r="5" spans="1:7" s="428" customFormat="1" ht="12" customHeight="1" x14ac:dyDescent="0.2">
      <c r="A5" s="85" t="s">
        <v>385</v>
      </c>
      <c r="B5" s="95"/>
      <c r="C5" s="76"/>
      <c r="D5" s="76"/>
      <c r="E5" s="76"/>
      <c r="F5" s="76"/>
      <c r="G5" s="76"/>
    </row>
    <row r="6" spans="1:7" ht="12" customHeight="1" x14ac:dyDescent="0.2">
      <c r="B6" s="246" t="s">
        <v>76</v>
      </c>
      <c r="C6" s="103">
        <v>0</v>
      </c>
      <c r="D6" s="103">
        <v>0</v>
      </c>
      <c r="E6" s="247">
        <v>0</v>
      </c>
      <c r="F6" s="247">
        <v>0</v>
      </c>
      <c r="G6" s="247">
        <v>0</v>
      </c>
    </row>
    <row r="7" spans="1:7" x14ac:dyDescent="0.2">
      <c r="A7" s="85"/>
      <c r="B7" s="246" t="s">
        <v>77</v>
      </c>
      <c r="C7" s="103">
        <v>564.9337309</v>
      </c>
      <c r="D7" s="103">
        <v>313.33586043000003</v>
      </c>
      <c r="E7" s="247">
        <v>0.41314536203437208</v>
      </c>
      <c r="F7" s="247">
        <v>0.45</v>
      </c>
      <c r="G7" s="247">
        <v>0.85112514097266478</v>
      </c>
    </row>
    <row r="8" spans="1:7" x14ac:dyDescent="0.2">
      <c r="A8" s="85"/>
      <c r="B8" s="246" t="s">
        <v>78</v>
      </c>
      <c r="C8" s="103">
        <v>3694.0057887400003</v>
      </c>
      <c r="D8" s="103">
        <v>1302.3895000799998</v>
      </c>
      <c r="E8" s="247">
        <v>0.5595863597990326</v>
      </c>
      <c r="F8" s="247">
        <v>0.45</v>
      </c>
      <c r="G8" s="247">
        <v>0.89557973634207955</v>
      </c>
    </row>
    <row r="9" spans="1:7" x14ac:dyDescent="0.2">
      <c r="A9" s="85"/>
      <c r="B9" s="246" t="s">
        <v>79</v>
      </c>
      <c r="C9" s="103">
        <v>5673.78477484</v>
      </c>
      <c r="D9" s="103">
        <v>1667.13478179</v>
      </c>
      <c r="E9" s="247">
        <v>0.70129565217563528</v>
      </c>
      <c r="F9" s="247">
        <v>0.45</v>
      </c>
      <c r="G9" s="247">
        <v>0.91115344018856781</v>
      </c>
    </row>
    <row r="10" spans="1:7" x14ac:dyDescent="0.2">
      <c r="A10" s="85"/>
      <c r="B10" s="246" t="s">
        <v>80</v>
      </c>
      <c r="C10" s="103">
        <v>1723.8868027700003</v>
      </c>
      <c r="D10" s="103">
        <v>190.421783</v>
      </c>
      <c r="E10" s="247">
        <v>0.78060543280469397</v>
      </c>
      <c r="F10" s="247">
        <v>0.45</v>
      </c>
      <c r="G10" s="247">
        <v>0.96483944255752641</v>
      </c>
    </row>
    <row r="11" spans="1:7" x14ac:dyDescent="0.2">
      <c r="A11" s="85"/>
      <c r="B11" s="246" t="s">
        <v>81</v>
      </c>
      <c r="C11" s="103">
        <v>5798.8927411092009</v>
      </c>
      <c r="D11" s="103">
        <v>1372.2857500700002</v>
      </c>
      <c r="E11" s="247">
        <v>1.0130679653388142</v>
      </c>
      <c r="F11" s="247">
        <v>0.45</v>
      </c>
      <c r="G11" s="247">
        <v>0.92689649066431157</v>
      </c>
    </row>
    <row r="12" spans="1:7" x14ac:dyDescent="0.2">
      <c r="A12" s="85"/>
      <c r="B12" s="246" t="s">
        <v>82</v>
      </c>
      <c r="C12" s="103">
        <v>5490.0125074899997</v>
      </c>
      <c r="D12" s="103">
        <v>1807.2005045100002</v>
      </c>
      <c r="E12" s="247">
        <v>1.1757615488148379</v>
      </c>
      <c r="F12" s="247">
        <v>0.45</v>
      </c>
      <c r="G12" s="247">
        <v>0.90112288842672961</v>
      </c>
    </row>
    <row r="13" spans="1:7" x14ac:dyDescent="0.2">
      <c r="A13" s="85"/>
      <c r="B13" s="246" t="s">
        <v>83</v>
      </c>
      <c r="C13" s="103">
        <v>397.55686234000001</v>
      </c>
      <c r="D13" s="103">
        <v>27.912341670000004</v>
      </c>
      <c r="E13" s="247">
        <v>1.7260502541771821</v>
      </c>
      <c r="F13" s="247">
        <v>0.45</v>
      </c>
      <c r="G13" s="247">
        <v>0.97713195815046061</v>
      </c>
    </row>
    <row r="14" spans="1:7" x14ac:dyDescent="0.2">
      <c r="A14" s="85"/>
      <c r="B14" s="246" t="s">
        <v>84</v>
      </c>
      <c r="C14" s="103">
        <v>631.65496628000005</v>
      </c>
      <c r="D14" s="103">
        <v>157.61430566000001</v>
      </c>
      <c r="E14" s="247">
        <v>1.8168262744137305</v>
      </c>
      <c r="F14" s="247">
        <v>0.45</v>
      </c>
      <c r="G14" s="247">
        <v>0.92321158432027872</v>
      </c>
    </row>
    <row r="15" spans="1:7" x14ac:dyDescent="0.2">
      <c r="A15" s="85"/>
      <c r="B15" s="246" t="s">
        <v>85</v>
      </c>
      <c r="C15" s="103">
        <v>6.2825498399999997</v>
      </c>
      <c r="D15" s="103">
        <v>2.0842302399999997</v>
      </c>
      <c r="E15" s="247">
        <v>0</v>
      </c>
      <c r="F15" s="247">
        <v>0.45</v>
      </c>
      <c r="G15" s="247">
        <v>0.90042794747089061</v>
      </c>
    </row>
    <row r="16" spans="1:7" x14ac:dyDescent="0.2">
      <c r="A16" s="85"/>
      <c r="B16" s="246" t="s">
        <v>86</v>
      </c>
      <c r="C16" s="103">
        <v>200.08377525999998</v>
      </c>
      <c r="D16" s="103">
        <v>30.974340420000001</v>
      </c>
      <c r="E16" s="247">
        <v>0</v>
      </c>
      <c r="F16" s="247">
        <v>0.45</v>
      </c>
      <c r="G16" s="247">
        <v>0.9509298464986653</v>
      </c>
    </row>
    <row r="17" spans="1:7" ht="12" customHeight="1" x14ac:dyDescent="0.2">
      <c r="A17" s="248" t="s">
        <v>386</v>
      </c>
      <c r="B17" s="249"/>
      <c r="C17" s="250">
        <v>24181.094499569201</v>
      </c>
      <c r="D17" s="250">
        <v>6871.3533978700007</v>
      </c>
      <c r="E17" s="251">
        <v>0.90106010474373244</v>
      </c>
      <c r="F17" s="251"/>
      <c r="G17" s="251">
        <v>0.91389770318743091</v>
      </c>
    </row>
    <row r="18" spans="1:7" s="428" customFormat="1" ht="12" customHeight="1" x14ac:dyDescent="0.2">
      <c r="A18" s="85" t="s">
        <v>125</v>
      </c>
      <c r="B18" s="488"/>
      <c r="C18" s="234"/>
      <c r="D18" s="234"/>
      <c r="E18" s="489"/>
      <c r="F18" s="489"/>
      <c r="G18" s="489"/>
    </row>
    <row r="19" spans="1:7" s="428" customFormat="1" ht="12" customHeight="1" x14ac:dyDescent="0.2">
      <c r="B19" s="246" t="s">
        <v>76</v>
      </c>
      <c r="C19" s="103">
        <v>444.90001485963086</v>
      </c>
      <c r="D19" s="103">
        <v>11.180615851254998</v>
      </c>
      <c r="E19" s="247">
        <v>0.17268172306857055</v>
      </c>
      <c r="F19" s="247">
        <v>0.23606744859037854</v>
      </c>
      <c r="G19" s="247">
        <v>0.99928062445083665</v>
      </c>
    </row>
    <row r="20" spans="1:7" s="428" customFormat="1" ht="12" customHeight="1" x14ac:dyDescent="0.2">
      <c r="A20" s="85"/>
      <c r="B20" s="246" t="s">
        <v>77</v>
      </c>
      <c r="C20" s="103">
        <v>620.21023843305636</v>
      </c>
      <c r="D20" s="103">
        <v>87.639814376700002</v>
      </c>
      <c r="E20" s="247">
        <v>0.41683370023628741</v>
      </c>
      <c r="F20" s="247">
        <v>0.40190669637280452</v>
      </c>
      <c r="G20" s="247">
        <v>0.96267303212004607</v>
      </c>
    </row>
    <row r="21" spans="1:7" s="428" customFormat="1" ht="12" customHeight="1" x14ac:dyDescent="0.2">
      <c r="A21" s="85"/>
      <c r="B21" s="246" t="s">
        <v>78</v>
      </c>
      <c r="C21" s="103">
        <v>4207.2827805445204</v>
      </c>
      <c r="D21" s="103">
        <v>1420.5292247438201</v>
      </c>
      <c r="E21" s="247">
        <v>0.58293468572525242</v>
      </c>
      <c r="F21" s="247">
        <v>0.42537131641770837</v>
      </c>
      <c r="G21" s="247">
        <v>0.90200165663574272</v>
      </c>
    </row>
    <row r="22" spans="1:7" s="428" customFormat="1" ht="12" customHeight="1" x14ac:dyDescent="0.2">
      <c r="A22" s="85"/>
      <c r="B22" s="246" t="s">
        <v>79</v>
      </c>
      <c r="C22" s="103">
        <v>7700.6165797911754</v>
      </c>
      <c r="D22" s="103">
        <v>1102.51532189</v>
      </c>
      <c r="E22" s="247">
        <v>0.65712445923533114</v>
      </c>
      <c r="F22" s="247">
        <v>0.44798674217524898</v>
      </c>
      <c r="G22" s="247">
        <v>0.95450947086431936</v>
      </c>
    </row>
    <row r="23" spans="1:7" s="428" customFormat="1" ht="12" customHeight="1" x14ac:dyDescent="0.2">
      <c r="A23" s="85"/>
      <c r="B23" s="246" t="s">
        <v>80</v>
      </c>
      <c r="C23" s="103">
        <v>3966.3110925109909</v>
      </c>
      <c r="D23" s="103">
        <v>691.06470694751499</v>
      </c>
      <c r="E23" s="247">
        <v>0.72565867063158718</v>
      </c>
      <c r="F23" s="247">
        <v>0.40994461657815323</v>
      </c>
      <c r="G23" s="247">
        <v>0.94610874868111516</v>
      </c>
    </row>
    <row r="24" spans="1:7" s="428" customFormat="1" ht="12" customHeight="1" x14ac:dyDescent="0.2">
      <c r="A24" s="85"/>
      <c r="B24" s="246" t="s">
        <v>81</v>
      </c>
      <c r="C24" s="103">
        <v>10150.563535468342</v>
      </c>
      <c r="D24" s="103">
        <v>1001.303228049655</v>
      </c>
      <c r="E24" s="247">
        <v>0.90800291445396586</v>
      </c>
      <c r="F24" s="247">
        <v>0.43887347784192743</v>
      </c>
      <c r="G24" s="247">
        <v>0.96822603348047898</v>
      </c>
    </row>
    <row r="25" spans="1:7" s="428" customFormat="1" ht="12" customHeight="1" x14ac:dyDescent="0.2">
      <c r="A25" s="85"/>
      <c r="B25" s="246" t="s">
        <v>82</v>
      </c>
      <c r="C25" s="103">
        <v>8556.0553148487616</v>
      </c>
      <c r="D25" s="103">
        <v>1185.0289809763049</v>
      </c>
      <c r="E25" s="247">
        <v>1.0821659355936168</v>
      </c>
      <c r="F25" s="247">
        <v>0.43497935589051412</v>
      </c>
      <c r="G25" s="247">
        <v>0.95606803497550108</v>
      </c>
    </row>
    <row r="26" spans="1:7" s="428" customFormat="1" ht="12" customHeight="1" x14ac:dyDescent="0.2">
      <c r="A26" s="85"/>
      <c r="B26" s="246" t="s">
        <v>83</v>
      </c>
      <c r="C26" s="103">
        <v>891.24291243105995</v>
      </c>
      <c r="D26" s="103">
        <v>97.855372619999997</v>
      </c>
      <c r="E26" s="247">
        <v>1.2070464847292799</v>
      </c>
      <c r="F26" s="247">
        <v>0.35736527478950153</v>
      </c>
      <c r="G26" s="247">
        <v>0.96554776702214185</v>
      </c>
    </row>
    <row r="27" spans="1:7" s="428" customFormat="1" ht="12" customHeight="1" x14ac:dyDescent="0.2">
      <c r="A27" s="85"/>
      <c r="B27" s="246" t="s">
        <v>84</v>
      </c>
      <c r="C27" s="103">
        <v>1314.38652625138</v>
      </c>
      <c r="D27" s="103">
        <v>50.020629829999997</v>
      </c>
      <c r="E27" s="247">
        <v>1.6420116534905826</v>
      </c>
      <c r="F27" s="247">
        <v>0.42422193729544083</v>
      </c>
      <c r="G27" s="247">
        <v>0.98755710072929925</v>
      </c>
    </row>
    <row r="28" spans="1:7" s="428" customFormat="1" ht="12" customHeight="1" x14ac:dyDescent="0.2">
      <c r="A28" s="85"/>
      <c r="B28" s="246" t="s">
        <v>85</v>
      </c>
      <c r="C28" s="103">
        <v>50.138066222274993</v>
      </c>
      <c r="D28" s="103">
        <v>0</v>
      </c>
      <c r="E28" s="247">
        <v>0.42262378584067456</v>
      </c>
      <c r="F28" s="247">
        <v>0.32908069028111969</v>
      </c>
      <c r="G28" s="247">
        <v>1</v>
      </c>
    </row>
    <row r="29" spans="1:7" s="428" customFormat="1" ht="12" customHeight="1" x14ac:dyDescent="0.2">
      <c r="A29" s="85"/>
      <c r="B29" s="246" t="s">
        <v>86</v>
      </c>
      <c r="C29" s="103">
        <v>425.38751354368497</v>
      </c>
      <c r="D29" s="103">
        <v>7.37606545545</v>
      </c>
      <c r="E29" s="247">
        <v>0.53515878470626521</v>
      </c>
      <c r="F29" s="247">
        <v>0.45315808853211126</v>
      </c>
      <c r="G29" s="247">
        <v>0.99432394721948103</v>
      </c>
    </row>
    <row r="30" spans="1:7" s="428" customFormat="1" ht="12" customHeight="1" x14ac:dyDescent="0.2">
      <c r="A30" s="248" t="s">
        <v>389</v>
      </c>
      <c r="B30" s="249"/>
      <c r="C30" s="250">
        <v>38327.09457490487</v>
      </c>
      <c r="D30" s="250">
        <v>5654.5139607406991</v>
      </c>
      <c r="E30" s="251">
        <v>0.85279188256928817</v>
      </c>
      <c r="F30" s="251"/>
      <c r="G30" s="251">
        <v>0.9538195385283923</v>
      </c>
    </row>
    <row r="31" spans="1:7" s="428" customFormat="1" ht="12" customHeight="1" x14ac:dyDescent="0.2">
      <c r="A31" s="85" t="s">
        <v>124</v>
      </c>
      <c r="B31" s="488"/>
      <c r="C31" s="234"/>
      <c r="D31" s="234"/>
      <c r="E31" s="489"/>
      <c r="F31" s="489"/>
      <c r="G31" s="489"/>
    </row>
    <row r="32" spans="1:7" s="428" customFormat="1" ht="12" customHeight="1" x14ac:dyDescent="0.2">
      <c r="B32" s="246" t="s">
        <v>76</v>
      </c>
      <c r="C32" s="103">
        <v>46.094845457534994</v>
      </c>
      <c r="D32" s="103">
        <v>0</v>
      </c>
      <c r="E32" s="247">
        <v>0.16716465173467748</v>
      </c>
      <c r="F32" s="247">
        <v>0</v>
      </c>
      <c r="G32" s="247">
        <v>0</v>
      </c>
    </row>
    <row r="33" spans="1:7" s="428" customFormat="1" ht="12" customHeight="1" x14ac:dyDescent="0.2">
      <c r="A33" s="85"/>
      <c r="B33" s="246" t="s">
        <v>77</v>
      </c>
      <c r="C33" s="103">
        <v>45.071485512599985</v>
      </c>
      <c r="D33" s="103">
        <v>7.5000000000000002E-4</v>
      </c>
      <c r="E33" s="247">
        <v>0.23594331412102915</v>
      </c>
      <c r="F33" s="247">
        <v>1.0523548287715376E-5</v>
      </c>
      <c r="G33" s="247">
        <v>0.99999583994186425</v>
      </c>
    </row>
    <row r="34" spans="1:7" s="428" customFormat="1" ht="12" customHeight="1" x14ac:dyDescent="0.2">
      <c r="A34" s="85"/>
      <c r="B34" s="246" t="s">
        <v>78</v>
      </c>
      <c r="C34" s="103">
        <v>1715.3905738156141</v>
      </c>
      <c r="D34" s="103">
        <v>1121.6108224100001</v>
      </c>
      <c r="E34" s="247">
        <v>0.65158445945608645</v>
      </c>
      <c r="F34" s="247">
        <v>0.39655961541018303</v>
      </c>
      <c r="G34" s="247">
        <v>0.82129210021792531</v>
      </c>
    </row>
    <row r="35" spans="1:7" s="428" customFormat="1" ht="12" customHeight="1" x14ac:dyDescent="0.2">
      <c r="A35" s="85"/>
      <c r="B35" s="246" t="s">
        <v>79</v>
      </c>
      <c r="C35" s="103">
        <v>2742.2752607458801</v>
      </c>
      <c r="D35" s="103">
        <v>1115.00240796</v>
      </c>
      <c r="E35" s="247">
        <v>0.7921098168586409</v>
      </c>
      <c r="F35" s="247">
        <v>0.2420461333795407</v>
      </c>
      <c r="G35" s="247">
        <v>0.8810821478033678</v>
      </c>
    </row>
    <row r="36" spans="1:7" s="428" customFormat="1" ht="12" customHeight="1" x14ac:dyDescent="0.2">
      <c r="A36" s="85"/>
      <c r="B36" s="246" t="s">
        <v>80</v>
      </c>
      <c r="C36" s="103">
        <v>531.08535241740503</v>
      </c>
      <c r="D36" s="103">
        <v>339.89495302</v>
      </c>
      <c r="E36" s="247">
        <v>0.87723578744725828</v>
      </c>
      <c r="F36" s="247">
        <v>0.40153549870531058</v>
      </c>
      <c r="G36" s="247">
        <v>0.82651886369057315</v>
      </c>
    </row>
    <row r="37" spans="1:7" s="428" customFormat="1" ht="12" customHeight="1" x14ac:dyDescent="0.2">
      <c r="A37" s="85"/>
      <c r="B37" s="246" t="s">
        <v>81</v>
      </c>
      <c r="C37" s="103">
        <v>2232.0324854005412</v>
      </c>
      <c r="D37" s="103">
        <v>717.01077696000004</v>
      </c>
      <c r="E37" s="247">
        <v>1.2167123691581274</v>
      </c>
      <c r="F37" s="247">
        <v>0.268501007458602</v>
      </c>
      <c r="G37" s="247">
        <v>0.903471603372347</v>
      </c>
    </row>
    <row r="38" spans="1:7" s="428" customFormat="1" ht="12" customHeight="1" x14ac:dyDescent="0.2">
      <c r="A38" s="85"/>
      <c r="B38" s="246" t="s">
        <v>82</v>
      </c>
      <c r="C38" s="103">
        <v>1569.484583787664</v>
      </c>
      <c r="D38" s="103">
        <v>444.93120988885494</v>
      </c>
      <c r="E38" s="247">
        <v>1.3535437114355495</v>
      </c>
      <c r="F38" s="247">
        <v>0.21508225046022111</v>
      </c>
      <c r="G38" s="247">
        <v>0.91417853895729917</v>
      </c>
    </row>
    <row r="39" spans="1:7" s="428" customFormat="1" ht="12" customHeight="1" x14ac:dyDescent="0.2">
      <c r="A39" s="85"/>
      <c r="B39" s="246" t="s">
        <v>83</v>
      </c>
      <c r="C39" s="103">
        <v>85.843476307354493</v>
      </c>
      <c r="D39" s="103">
        <v>2.4149999999999998E-2</v>
      </c>
      <c r="E39" s="247">
        <v>1.1210721371818011</v>
      </c>
      <c r="F39" s="247">
        <v>2.0739415111751259E-4</v>
      </c>
      <c r="G39" s="247">
        <v>1</v>
      </c>
    </row>
    <row r="40" spans="1:7" s="428" customFormat="1" ht="12" customHeight="1" x14ac:dyDescent="0.2">
      <c r="A40" s="85"/>
      <c r="B40" s="246" t="s">
        <v>84</v>
      </c>
      <c r="C40" s="103">
        <v>50.805166911649493</v>
      </c>
      <c r="D40" s="103">
        <v>0</v>
      </c>
      <c r="E40" s="247">
        <v>1.5492703096870122</v>
      </c>
      <c r="F40" s="247">
        <v>0</v>
      </c>
      <c r="G40" s="247">
        <v>1</v>
      </c>
    </row>
    <row r="41" spans="1:7" s="428" customFormat="1" ht="12" customHeight="1" x14ac:dyDescent="0.2">
      <c r="A41" s="85"/>
      <c r="B41" s="246" t="s">
        <v>85</v>
      </c>
      <c r="C41" s="103">
        <v>0</v>
      </c>
      <c r="D41" s="103">
        <v>0</v>
      </c>
      <c r="E41" s="247">
        <v>0</v>
      </c>
      <c r="F41" s="247">
        <v>0</v>
      </c>
      <c r="G41" s="247">
        <v>0</v>
      </c>
    </row>
    <row r="42" spans="1:7" s="428" customFormat="1" ht="12" customHeight="1" x14ac:dyDescent="0.2">
      <c r="A42" s="85"/>
      <c r="B42" s="246" t="s">
        <v>86</v>
      </c>
      <c r="C42" s="103">
        <v>0</v>
      </c>
      <c r="D42" s="103">
        <v>0</v>
      </c>
      <c r="E42" s="247">
        <v>0</v>
      </c>
      <c r="F42" s="247">
        <v>0</v>
      </c>
      <c r="G42" s="247">
        <v>0</v>
      </c>
    </row>
    <row r="43" spans="1:7" s="428" customFormat="1" ht="12" customHeight="1" x14ac:dyDescent="0.2">
      <c r="A43" s="248" t="s">
        <v>387</v>
      </c>
      <c r="B43" s="249"/>
      <c r="C43" s="250">
        <v>9018.0832303562456</v>
      </c>
      <c r="D43" s="250">
        <v>3738.4750702388546</v>
      </c>
      <c r="E43" s="251">
        <v>0.97461808454031218</v>
      </c>
      <c r="F43" s="251"/>
      <c r="G43" s="251">
        <v>0.87946717814067488</v>
      </c>
    </row>
    <row r="44" spans="1:7" s="428" customFormat="1" ht="12" customHeight="1" x14ac:dyDescent="0.2">
      <c r="A44" s="85" t="s">
        <v>388</v>
      </c>
      <c r="B44" s="488"/>
      <c r="C44" s="234"/>
      <c r="D44" s="234"/>
      <c r="E44" s="489"/>
      <c r="F44" s="489"/>
      <c r="G44" s="489"/>
    </row>
    <row r="45" spans="1:7" s="428" customFormat="1" ht="12" customHeight="1" x14ac:dyDescent="0.2">
      <c r="A45" s="85"/>
      <c r="B45" s="246" t="s">
        <v>76</v>
      </c>
      <c r="C45" s="103">
        <v>449.57297758369799</v>
      </c>
      <c r="D45" s="103">
        <v>255.87527535863697</v>
      </c>
      <c r="E45" s="247">
        <v>4.3811230523710949E-2</v>
      </c>
      <c r="F45" s="247">
        <v>0.19577320882980645</v>
      </c>
      <c r="G45" s="247">
        <v>0.99930482346777316</v>
      </c>
    </row>
    <row r="46" spans="1:7" s="428" customFormat="1" ht="12" customHeight="1" x14ac:dyDescent="0.2">
      <c r="A46" s="85"/>
      <c r="B46" s="246" t="s">
        <v>77</v>
      </c>
      <c r="C46" s="103">
        <v>1952.2345190604678</v>
      </c>
      <c r="D46" s="103">
        <v>409.29925086266303</v>
      </c>
      <c r="E46" s="247">
        <v>7.465464317606918E-2</v>
      </c>
      <c r="F46" s="247">
        <v>0.19927955477363452</v>
      </c>
      <c r="G46" s="247">
        <v>0.99939276201806437</v>
      </c>
    </row>
    <row r="47" spans="1:7" s="428" customFormat="1" ht="12" customHeight="1" x14ac:dyDescent="0.2">
      <c r="A47" s="85"/>
      <c r="B47" s="246" t="s">
        <v>78</v>
      </c>
      <c r="C47" s="103">
        <v>1486.4672406439809</v>
      </c>
      <c r="D47" s="103">
        <v>107.360630569926</v>
      </c>
      <c r="E47" s="247">
        <v>0.13788879679856003</v>
      </c>
      <c r="F47" s="247">
        <v>0.21302997289983203</v>
      </c>
      <c r="G47" s="247">
        <v>0.99970282312795655</v>
      </c>
    </row>
    <row r="48" spans="1:7" s="428" customFormat="1" ht="12" customHeight="1" x14ac:dyDescent="0.2">
      <c r="A48" s="85"/>
      <c r="B48" s="246" t="s">
        <v>79</v>
      </c>
      <c r="C48" s="103">
        <v>646.16225120942806</v>
      </c>
      <c r="D48" s="103">
        <v>17.18025684318</v>
      </c>
      <c r="E48" s="247">
        <v>0.21605329208233209</v>
      </c>
      <c r="F48" s="247">
        <v>0.22572608479809378</v>
      </c>
      <c r="G48" s="247">
        <v>0.99970178926497155</v>
      </c>
    </row>
    <row r="49" spans="1:7" s="428" customFormat="1" ht="12" customHeight="1" x14ac:dyDescent="0.2">
      <c r="A49" s="85"/>
      <c r="B49" s="246" t="s">
        <v>80</v>
      </c>
      <c r="C49" s="103">
        <v>663.947271803582</v>
      </c>
      <c r="D49" s="103">
        <v>13.177418483662001</v>
      </c>
      <c r="E49" s="247">
        <v>0.32109569575647379</v>
      </c>
      <c r="F49" s="247">
        <v>0.24759425087467582</v>
      </c>
      <c r="G49" s="247">
        <v>0.99930032134084779</v>
      </c>
    </row>
    <row r="50" spans="1:7" s="428" customFormat="1" ht="12" customHeight="1" x14ac:dyDescent="0.2">
      <c r="A50" s="85"/>
      <c r="B50" s="246" t="s">
        <v>81</v>
      </c>
      <c r="C50" s="103">
        <v>239.61839959903398</v>
      </c>
      <c r="D50" s="103">
        <v>2.917439427233</v>
      </c>
      <c r="E50" s="247">
        <v>0.37895821514790134</v>
      </c>
      <c r="F50" s="247">
        <v>0.21149429189265695</v>
      </c>
      <c r="G50" s="247">
        <v>0.99963392678850005</v>
      </c>
    </row>
    <row r="51" spans="1:7" s="428" customFormat="1" ht="12" customHeight="1" x14ac:dyDescent="0.2">
      <c r="A51" s="85"/>
      <c r="B51" s="246" t="s">
        <v>82</v>
      </c>
      <c r="C51" s="103">
        <v>137.406149630838</v>
      </c>
      <c r="D51" s="103">
        <v>1.597685375842</v>
      </c>
      <c r="E51" s="247">
        <v>0.77299201755010927</v>
      </c>
      <c r="F51" s="247">
        <v>0.27908953992403507</v>
      </c>
      <c r="G51" s="247">
        <v>0.99842595093304087</v>
      </c>
    </row>
    <row r="52" spans="1:7" s="428" customFormat="1" ht="12" customHeight="1" x14ac:dyDescent="0.2">
      <c r="A52" s="85"/>
      <c r="B52" s="246" t="s">
        <v>83</v>
      </c>
      <c r="C52" s="103">
        <v>72.514242493099999</v>
      </c>
      <c r="D52" s="103">
        <v>0.64208438633799991</v>
      </c>
      <c r="E52" s="247">
        <v>0.86627561328685043</v>
      </c>
      <c r="F52" s="247">
        <v>0.20303304666095998</v>
      </c>
      <c r="G52" s="247">
        <v>0.99917326040288046</v>
      </c>
    </row>
    <row r="53" spans="1:7" s="428" customFormat="1" ht="12" customHeight="1" x14ac:dyDescent="0.2">
      <c r="A53" s="85"/>
      <c r="B53" s="246" t="s">
        <v>84</v>
      </c>
      <c r="C53" s="103">
        <v>135.722801936119</v>
      </c>
      <c r="D53" s="103">
        <v>0.58632778349600001</v>
      </c>
      <c r="E53" s="247">
        <v>1.1857321697727281</v>
      </c>
      <c r="F53" s="247">
        <v>0.20558722043644775</v>
      </c>
      <c r="G53" s="247">
        <v>0.99964094098281397</v>
      </c>
    </row>
    <row r="54" spans="1:7" s="428" customFormat="1" ht="12" customHeight="1" x14ac:dyDescent="0.2">
      <c r="A54" s="85"/>
      <c r="B54" s="246" t="s">
        <v>85</v>
      </c>
      <c r="C54" s="103">
        <v>2.4866599999999996</v>
      </c>
      <c r="D54" s="103">
        <v>0.11545925999999999</v>
      </c>
      <c r="E54" s="247">
        <v>0</v>
      </c>
      <c r="F54" s="247">
        <v>0.165824</v>
      </c>
      <c r="G54" s="247">
        <v>1</v>
      </c>
    </row>
    <row r="55" spans="1:7" s="428" customFormat="1" ht="12" customHeight="1" x14ac:dyDescent="0.2">
      <c r="A55" s="85"/>
      <c r="B55" s="246" t="s">
        <v>86</v>
      </c>
      <c r="C55" s="103">
        <v>15.15710193</v>
      </c>
      <c r="D55" s="103">
        <v>0</v>
      </c>
      <c r="E55" s="247">
        <v>0</v>
      </c>
      <c r="F55" s="247">
        <v>0.728120428793679</v>
      </c>
      <c r="G55" s="247">
        <v>1</v>
      </c>
    </row>
    <row r="56" spans="1:7" s="428" customFormat="1" ht="12" customHeight="1" x14ac:dyDescent="0.2">
      <c r="A56" s="248" t="s">
        <v>390</v>
      </c>
      <c r="B56" s="92"/>
      <c r="C56" s="252">
        <v>5801.2896158902477</v>
      </c>
      <c r="D56" s="252">
        <v>808.75182835097701</v>
      </c>
      <c r="E56" s="253">
        <v>0.19719243388284458</v>
      </c>
      <c r="F56" s="253"/>
      <c r="G56" s="254">
        <v>0.99948114921064624</v>
      </c>
    </row>
    <row r="57" spans="1:7" s="428" customFormat="1" ht="12" customHeight="1" x14ac:dyDescent="0.2">
      <c r="A57" s="85" t="s">
        <v>392</v>
      </c>
      <c r="B57" s="488"/>
      <c r="C57" s="234"/>
      <c r="D57" s="234"/>
      <c r="E57" s="489"/>
      <c r="F57" s="489"/>
      <c r="G57" s="489"/>
    </row>
    <row r="58" spans="1:7" ht="12" customHeight="1" x14ac:dyDescent="0.2">
      <c r="B58" s="246" t="s">
        <v>76</v>
      </c>
      <c r="C58" s="103">
        <v>7810.1409444664159</v>
      </c>
      <c r="D58" s="103">
        <v>3202.968151631173</v>
      </c>
      <c r="E58" s="247">
        <v>4.0890074986193334E-2</v>
      </c>
      <c r="F58" s="247">
        <v>0.18331778277487717</v>
      </c>
      <c r="G58" s="247">
        <v>0.99987316988155195</v>
      </c>
    </row>
    <row r="59" spans="1:7" x14ac:dyDescent="0.2">
      <c r="A59" s="85"/>
      <c r="B59" s="246" t="s">
        <v>77</v>
      </c>
      <c r="C59" s="103">
        <v>35940.430513965875</v>
      </c>
      <c r="D59" s="103">
        <v>6137.7412525942418</v>
      </c>
      <c r="E59" s="247">
        <v>7.1035966061916492E-2</v>
      </c>
      <c r="F59" s="247">
        <v>0.19270598771249478</v>
      </c>
      <c r="G59" s="247">
        <v>0.99992975674978701</v>
      </c>
    </row>
    <row r="60" spans="1:7" x14ac:dyDescent="0.2">
      <c r="A60" s="85"/>
      <c r="B60" s="246" t="s">
        <v>78</v>
      </c>
      <c r="C60" s="103">
        <v>32586.931431067234</v>
      </c>
      <c r="D60" s="103">
        <v>901.70989194186802</v>
      </c>
      <c r="E60" s="247">
        <v>0.13049761874403745</v>
      </c>
      <c r="F60" s="247">
        <v>0.19787445813423843</v>
      </c>
      <c r="G60" s="247">
        <v>0.99995705708262184</v>
      </c>
    </row>
    <row r="61" spans="1:7" x14ac:dyDescent="0.2">
      <c r="A61" s="85"/>
      <c r="B61" s="246" t="s">
        <v>79</v>
      </c>
      <c r="C61" s="103">
        <v>18791.082383079178</v>
      </c>
      <c r="D61" s="103">
        <v>170.92524952787502</v>
      </c>
      <c r="E61" s="247">
        <v>0.19702790045892785</v>
      </c>
      <c r="F61" s="247">
        <v>0.20734167432222544</v>
      </c>
      <c r="G61" s="247">
        <v>0.99997105426157795</v>
      </c>
    </row>
    <row r="62" spans="1:7" x14ac:dyDescent="0.2">
      <c r="A62" s="85"/>
      <c r="B62" s="246" t="s">
        <v>80</v>
      </c>
      <c r="C62" s="103">
        <v>13244.914899156151</v>
      </c>
      <c r="D62" s="103">
        <v>80.445162902814005</v>
      </c>
      <c r="E62" s="247">
        <v>0.26594323497500655</v>
      </c>
      <c r="F62" s="247">
        <v>0.20909829489633658</v>
      </c>
      <c r="G62" s="247">
        <v>0.9999604432132384</v>
      </c>
    </row>
    <row r="63" spans="1:7" x14ac:dyDescent="0.2">
      <c r="A63" s="85"/>
      <c r="B63" s="246" t="s">
        <v>81</v>
      </c>
      <c r="C63" s="103">
        <v>5750.478955932741</v>
      </c>
      <c r="D63" s="103">
        <v>38.578014701341004</v>
      </c>
      <c r="E63" s="247">
        <v>0.39033941296138436</v>
      </c>
      <c r="F63" s="247">
        <v>0.21218036075906466</v>
      </c>
      <c r="G63" s="247">
        <v>0.99992033819999171</v>
      </c>
    </row>
    <row r="64" spans="1:7" x14ac:dyDescent="0.2">
      <c r="A64" s="85"/>
      <c r="B64" s="246" t="s">
        <v>82</v>
      </c>
      <c r="C64" s="103">
        <v>2009.9413039785607</v>
      </c>
      <c r="D64" s="103">
        <v>13.246739424692</v>
      </c>
      <c r="E64" s="247">
        <v>0.586070461505379</v>
      </c>
      <c r="F64" s="247">
        <v>0.20413080559900182</v>
      </c>
      <c r="G64" s="247">
        <v>0.99986431793198327</v>
      </c>
    </row>
    <row r="65" spans="1:7" x14ac:dyDescent="0.2">
      <c r="A65" s="85"/>
      <c r="B65" s="246" t="s">
        <v>83</v>
      </c>
      <c r="C65" s="103">
        <v>1323.704312168466</v>
      </c>
      <c r="D65" s="103">
        <v>3.3264213033040004</v>
      </c>
      <c r="E65" s="247">
        <v>0.83608387702311315</v>
      </c>
      <c r="F65" s="247">
        <v>0.20397573132339042</v>
      </c>
      <c r="G65" s="247">
        <v>0.99993465734978304</v>
      </c>
    </row>
    <row r="66" spans="1:7" x14ac:dyDescent="0.2">
      <c r="A66" s="85"/>
      <c r="B66" s="246" t="s">
        <v>84</v>
      </c>
      <c r="C66" s="103">
        <v>1395.7670131469272</v>
      </c>
      <c r="D66" s="103">
        <v>6.3604582392549993</v>
      </c>
      <c r="E66" s="247">
        <v>1.2666951274268665</v>
      </c>
      <c r="F66" s="247">
        <v>0.22133649433978281</v>
      </c>
      <c r="G66" s="247">
        <v>0.99980229835513601</v>
      </c>
    </row>
    <row r="67" spans="1:7" x14ac:dyDescent="0.2">
      <c r="A67" s="85"/>
      <c r="B67" s="246" t="s">
        <v>85</v>
      </c>
      <c r="C67" s="103">
        <v>166.20432695618803</v>
      </c>
      <c r="D67" s="103">
        <v>0.154966622139</v>
      </c>
      <c r="E67" s="247">
        <v>5.8833267950513336E-2</v>
      </c>
      <c r="F67" s="247">
        <v>0.25276969639740376</v>
      </c>
      <c r="G67" s="247">
        <v>0.99970677234435279</v>
      </c>
    </row>
    <row r="68" spans="1:7" x14ac:dyDescent="0.2">
      <c r="A68" s="85"/>
      <c r="B68" s="246" t="s">
        <v>86</v>
      </c>
      <c r="C68" s="103">
        <v>143.59494766529502</v>
      </c>
      <c r="D68" s="103">
        <v>11.611391101398</v>
      </c>
      <c r="E68" s="247">
        <v>3.0334087210024757E-2</v>
      </c>
      <c r="F68" s="247">
        <v>0.22566079805033298</v>
      </c>
      <c r="G68" s="247">
        <v>1</v>
      </c>
    </row>
    <row r="69" spans="1:7" ht="12" customHeight="1" x14ac:dyDescent="0.2">
      <c r="A69" s="248" t="s">
        <v>212</v>
      </c>
      <c r="B69" s="92"/>
      <c r="C69" s="252">
        <v>119163.19103158303</v>
      </c>
      <c r="D69" s="252">
        <v>10567.067699990099</v>
      </c>
      <c r="E69" s="253">
        <v>0.17338558435319534</v>
      </c>
      <c r="F69" s="253"/>
      <c r="G69" s="254">
        <v>0.99994021255045795</v>
      </c>
    </row>
    <row r="70" spans="1:7" x14ac:dyDescent="0.2">
      <c r="A70" s="85" t="s">
        <v>161</v>
      </c>
      <c r="B70" s="246" t="s">
        <v>76</v>
      </c>
      <c r="C70" s="103">
        <v>71.189775501699998</v>
      </c>
      <c r="D70" s="103">
        <v>38.031959026460996</v>
      </c>
      <c r="E70" s="247">
        <v>0.11491602594349866</v>
      </c>
      <c r="F70" s="247">
        <v>0.48804231317905128</v>
      </c>
      <c r="G70" s="247">
        <v>0.99184779754730679</v>
      </c>
    </row>
    <row r="71" spans="1:7" x14ac:dyDescent="0.2">
      <c r="A71" s="85"/>
      <c r="B71" s="246" t="s">
        <v>77</v>
      </c>
      <c r="C71" s="103">
        <v>373.80900024954997</v>
      </c>
      <c r="D71" s="103">
        <v>98.588737851516996</v>
      </c>
      <c r="E71" s="247">
        <v>0.18202888067228151</v>
      </c>
      <c r="F71" s="247">
        <v>0.48288824205243519</v>
      </c>
      <c r="G71" s="247">
        <v>0.99743105782085739</v>
      </c>
    </row>
    <row r="72" spans="1:7" x14ac:dyDescent="0.2">
      <c r="A72" s="85"/>
      <c r="B72" s="246" t="s">
        <v>78</v>
      </c>
      <c r="C72" s="103">
        <v>333.788090852273</v>
      </c>
      <c r="D72" s="103">
        <v>86.986996995170998</v>
      </c>
      <c r="E72" s="247">
        <v>0.31120721532157569</v>
      </c>
      <c r="F72" s="247">
        <v>0.48750139620998917</v>
      </c>
      <c r="G72" s="247">
        <v>0.99602666631367132</v>
      </c>
    </row>
    <row r="73" spans="1:7" x14ac:dyDescent="0.2">
      <c r="A73" s="85"/>
      <c r="B73" s="246" t="s">
        <v>79</v>
      </c>
      <c r="C73" s="103">
        <v>300.14684718820598</v>
      </c>
      <c r="D73" s="103">
        <v>84.474677890673007</v>
      </c>
      <c r="E73" s="247">
        <v>0.41126197271074799</v>
      </c>
      <c r="F73" s="247">
        <v>0.48713497365319025</v>
      </c>
      <c r="G73" s="247">
        <v>0.99740458867594728</v>
      </c>
    </row>
    <row r="74" spans="1:7" x14ac:dyDescent="0.2">
      <c r="A74" s="85"/>
      <c r="B74" s="246" t="s">
        <v>80</v>
      </c>
      <c r="C74" s="103">
        <v>263.243607839552</v>
      </c>
      <c r="D74" s="103">
        <v>34.150715692473</v>
      </c>
      <c r="E74" s="247">
        <v>0.52870629768267308</v>
      </c>
      <c r="F74" s="247">
        <v>0.49021422392330682</v>
      </c>
      <c r="G74" s="247">
        <v>0.9982964853930576</v>
      </c>
    </row>
    <row r="75" spans="1:7" x14ac:dyDescent="0.2">
      <c r="A75" s="85"/>
      <c r="B75" s="246" t="s">
        <v>81</v>
      </c>
      <c r="C75" s="103">
        <v>225.74757422770298</v>
      </c>
      <c r="D75" s="103">
        <v>12.022615844085999</v>
      </c>
      <c r="E75" s="247">
        <v>0.65662443934177206</v>
      </c>
      <c r="F75" s="247">
        <v>0.50169671329473442</v>
      </c>
      <c r="G75" s="247">
        <v>0.99798959259191156</v>
      </c>
    </row>
    <row r="76" spans="1:7" x14ac:dyDescent="0.2">
      <c r="A76" s="85"/>
      <c r="B76" s="246" t="s">
        <v>82</v>
      </c>
      <c r="C76" s="103">
        <v>190.86597002528998</v>
      </c>
      <c r="D76" s="103">
        <v>3.67486127951</v>
      </c>
      <c r="E76" s="247">
        <v>0.73879502700031596</v>
      </c>
      <c r="F76" s="247">
        <v>0.49055999006133921</v>
      </c>
      <c r="G76" s="247">
        <v>0.99919130135187451</v>
      </c>
    </row>
    <row r="77" spans="1:7" x14ac:dyDescent="0.2">
      <c r="A77" s="85"/>
      <c r="B77" s="246" t="s">
        <v>83</v>
      </c>
      <c r="C77" s="103">
        <v>48.732759419719997</v>
      </c>
      <c r="D77" s="103">
        <v>1.3696511186689999</v>
      </c>
      <c r="E77" s="247">
        <v>0.81018853106270383</v>
      </c>
      <c r="F77" s="247">
        <v>0.50435389772685679</v>
      </c>
      <c r="G77" s="247">
        <v>0.995555228139685</v>
      </c>
    </row>
    <row r="78" spans="1:7" x14ac:dyDescent="0.2">
      <c r="A78" s="85"/>
      <c r="B78" s="246" t="s">
        <v>84</v>
      </c>
      <c r="C78" s="103">
        <v>55.973382888678003</v>
      </c>
      <c r="D78" s="103">
        <v>4.1843829625100009</v>
      </c>
      <c r="E78" s="247">
        <v>1.1458775457373331</v>
      </c>
      <c r="F78" s="247">
        <v>0.49051583985539932</v>
      </c>
      <c r="G78" s="247">
        <v>0.99685285486622366</v>
      </c>
    </row>
    <row r="79" spans="1:7" x14ac:dyDescent="0.2">
      <c r="A79" s="85"/>
      <c r="B79" s="246" t="s">
        <v>85</v>
      </c>
      <c r="C79" s="103">
        <v>3.3946453700000001</v>
      </c>
      <c r="D79" s="103">
        <v>0.15453395</v>
      </c>
      <c r="E79" s="247">
        <v>1.4987660801888121</v>
      </c>
      <c r="F79" s="247">
        <v>0.39102004883001956</v>
      </c>
      <c r="G79" s="247">
        <v>0.98893181091880233</v>
      </c>
    </row>
    <row r="80" spans="1:7" x14ac:dyDescent="0.2">
      <c r="A80" s="85"/>
      <c r="B80" s="246" t="s">
        <v>86</v>
      </c>
      <c r="C80" s="103">
        <v>25.72017984</v>
      </c>
      <c r="D80" s="103">
        <v>4.2208000000000002E-4</v>
      </c>
      <c r="E80" s="247">
        <v>0.17617079870927529</v>
      </c>
      <c r="F80" s="247">
        <v>0.85340792911415853</v>
      </c>
      <c r="G80" s="247">
        <v>1</v>
      </c>
    </row>
    <row r="81" spans="1:9" x14ac:dyDescent="0.2">
      <c r="A81" s="248" t="s">
        <v>213</v>
      </c>
      <c r="B81" s="92"/>
      <c r="C81" s="252">
        <v>1892.6118334026717</v>
      </c>
      <c r="D81" s="252">
        <v>363.63955469107009</v>
      </c>
      <c r="E81" s="253">
        <v>0.44657977842011298</v>
      </c>
      <c r="F81" s="253"/>
      <c r="G81" s="254">
        <v>0.99728526716494537</v>
      </c>
    </row>
    <row r="82" spans="1:9" x14ac:dyDescent="0.2">
      <c r="A82" s="102"/>
      <c r="B82" s="99"/>
      <c r="C82" s="255"/>
      <c r="D82" s="255"/>
      <c r="E82" s="256"/>
      <c r="F82" s="256"/>
      <c r="G82" s="257"/>
    </row>
    <row r="83" spans="1:9" x14ac:dyDescent="0.2">
      <c r="A83" s="102"/>
      <c r="B83" s="99"/>
      <c r="C83" s="255"/>
      <c r="D83" s="255"/>
      <c r="E83" s="256"/>
      <c r="F83" s="256"/>
      <c r="G83" s="257"/>
    </row>
    <row r="84" spans="1:9" x14ac:dyDescent="0.2">
      <c r="A84" s="102"/>
      <c r="B84" s="99"/>
      <c r="C84" s="255"/>
      <c r="D84" s="255"/>
      <c r="E84" s="256"/>
      <c r="F84" s="256"/>
      <c r="G84" s="257"/>
    </row>
    <row r="85" spans="1:9" ht="48.75" thickBot="1" x14ac:dyDescent="0.25">
      <c r="A85" s="416" t="s">
        <v>305</v>
      </c>
      <c r="B85" s="245" t="s">
        <v>165</v>
      </c>
      <c r="C85" s="415" t="s">
        <v>74</v>
      </c>
      <c r="D85" s="415" t="s">
        <v>75</v>
      </c>
      <c r="E85" s="415" t="s">
        <v>187</v>
      </c>
      <c r="F85" s="415" t="s">
        <v>188</v>
      </c>
      <c r="G85" s="415" t="s">
        <v>189</v>
      </c>
    </row>
    <row r="86" spans="1:9" x14ac:dyDescent="0.2">
      <c r="A86" s="85" t="s">
        <v>27</v>
      </c>
      <c r="B86" s="246" t="s">
        <v>76</v>
      </c>
      <c r="C86" s="103">
        <v>150.91334651</v>
      </c>
      <c r="D86" s="103">
        <v>23.134042950000001</v>
      </c>
      <c r="E86" s="247">
        <v>0.24308435135296771</v>
      </c>
      <c r="F86" s="247">
        <v>0.45000000000000007</v>
      </c>
      <c r="G86" s="247">
        <v>0.99494309721991625</v>
      </c>
    </row>
    <row r="87" spans="1:9" x14ac:dyDescent="0.2">
      <c r="A87" s="85"/>
      <c r="B87" s="246" t="s">
        <v>77</v>
      </c>
      <c r="C87" s="103">
        <v>694.44986517999996</v>
      </c>
      <c r="D87" s="103">
        <v>365.90025910999998</v>
      </c>
      <c r="E87" s="247">
        <v>0.42967995181859908</v>
      </c>
      <c r="F87" s="247">
        <v>0.44999999999999996</v>
      </c>
      <c r="G87" s="247">
        <v>0.85960106540876102</v>
      </c>
      <c r="I87" s="27"/>
    </row>
    <row r="88" spans="1:9" x14ac:dyDescent="0.2">
      <c r="A88" s="85"/>
      <c r="B88" s="246" t="s">
        <v>78</v>
      </c>
      <c r="C88" s="103">
        <v>8782.2998339399001</v>
      </c>
      <c r="D88" s="103">
        <v>3067.1250302600001</v>
      </c>
      <c r="E88" s="247">
        <v>0.58643929806275075</v>
      </c>
      <c r="F88" s="247">
        <v>0.44999999999999996</v>
      </c>
      <c r="G88" s="247">
        <v>0.89006143532465209</v>
      </c>
    </row>
    <row r="89" spans="1:9" x14ac:dyDescent="0.2">
      <c r="A89" s="85"/>
      <c r="B89" s="246" t="s">
        <v>79</v>
      </c>
      <c r="C89" s="103">
        <v>12855.7491687</v>
      </c>
      <c r="D89" s="103">
        <v>3216.4097382400005</v>
      </c>
      <c r="E89" s="247">
        <v>0.67119142680632393</v>
      </c>
      <c r="F89" s="247">
        <v>0.45</v>
      </c>
      <c r="G89" s="247">
        <v>0.93605803517227115</v>
      </c>
    </row>
    <row r="90" spans="1:9" x14ac:dyDescent="0.2">
      <c r="A90" s="85"/>
      <c r="B90" s="246" t="s">
        <v>80</v>
      </c>
      <c r="C90" s="103">
        <v>7765.40425383</v>
      </c>
      <c r="D90" s="103">
        <v>1336.0662420705</v>
      </c>
      <c r="E90" s="247">
        <v>0.79878010654173071</v>
      </c>
      <c r="F90" s="247">
        <v>0.44999999999999996</v>
      </c>
      <c r="G90" s="247">
        <v>0.94331733606691692</v>
      </c>
    </row>
    <row r="91" spans="1:9" x14ac:dyDescent="0.2">
      <c r="A91" s="85"/>
      <c r="B91" s="246" t="s">
        <v>81</v>
      </c>
      <c r="C91" s="103">
        <v>17659.451292630001</v>
      </c>
      <c r="D91" s="103">
        <v>4310.4996972600002</v>
      </c>
      <c r="E91" s="247">
        <v>0.98927235894351617</v>
      </c>
      <c r="F91" s="247">
        <v>0.44999999999999996</v>
      </c>
      <c r="G91" s="247">
        <v>0.91655828083246904</v>
      </c>
    </row>
    <row r="92" spans="1:9" x14ac:dyDescent="0.2">
      <c r="A92" s="85"/>
      <c r="B92" s="246" t="s">
        <v>82</v>
      </c>
      <c r="C92" s="103">
        <v>11129.054100900001</v>
      </c>
      <c r="D92" s="103">
        <v>1359.2215823399999</v>
      </c>
      <c r="E92" s="247">
        <v>1.1181000803339698</v>
      </c>
      <c r="F92" s="247">
        <v>0.44999999999999996</v>
      </c>
      <c r="G92" s="247">
        <v>0.962358433648974</v>
      </c>
    </row>
    <row r="93" spans="1:9" x14ac:dyDescent="0.2">
      <c r="A93" s="85"/>
      <c r="B93" s="246" t="s">
        <v>83</v>
      </c>
      <c r="C93" s="103">
        <v>972.20368281999993</v>
      </c>
      <c r="D93" s="103">
        <v>181.75390088</v>
      </c>
      <c r="E93" s="247">
        <v>1.5206476709244843</v>
      </c>
      <c r="F93" s="247">
        <v>0.45000000000000007</v>
      </c>
      <c r="G93" s="247">
        <v>0.94137112303125137</v>
      </c>
    </row>
    <row r="94" spans="1:9" x14ac:dyDescent="0.2">
      <c r="A94" s="85"/>
      <c r="B94" s="246" t="s">
        <v>84</v>
      </c>
      <c r="C94" s="103">
        <v>2094.1363081999998</v>
      </c>
      <c r="D94" s="103">
        <v>296.93589242000002</v>
      </c>
      <c r="E94" s="247">
        <v>1.7715413114452296</v>
      </c>
      <c r="F94" s="247">
        <v>0.45000000000000007</v>
      </c>
      <c r="G94" s="247">
        <v>0.95702438431476833</v>
      </c>
    </row>
    <row r="95" spans="1:9" x14ac:dyDescent="0.2">
      <c r="A95" s="85"/>
      <c r="B95" s="246" t="s">
        <v>85</v>
      </c>
      <c r="C95" s="103">
        <v>72.419528249999999</v>
      </c>
      <c r="D95" s="103">
        <v>14.33882163</v>
      </c>
      <c r="E95" s="247">
        <v>0</v>
      </c>
      <c r="F95" s="247">
        <v>0.45</v>
      </c>
      <c r="G95" s="247">
        <v>0.88472989913011957</v>
      </c>
    </row>
    <row r="96" spans="1:9" x14ac:dyDescent="0.2">
      <c r="A96" s="85"/>
      <c r="B96" s="246" t="s">
        <v>86</v>
      </c>
      <c r="C96" s="103">
        <v>1192.1322702500001</v>
      </c>
      <c r="D96" s="103">
        <v>85.892516560000004</v>
      </c>
      <c r="E96" s="247">
        <v>0</v>
      </c>
      <c r="F96" s="247">
        <v>0.45</v>
      </c>
      <c r="G96" s="247">
        <v>0.97647258779418744</v>
      </c>
    </row>
    <row r="97" spans="1:7" x14ac:dyDescent="0.2">
      <c r="A97" s="248" t="s">
        <v>87</v>
      </c>
      <c r="B97" s="249"/>
      <c r="C97" s="250">
        <f>SUM(C86:C96)</f>
        <v>63368.21365120991</v>
      </c>
      <c r="D97" s="250">
        <f>SUM(D86:D96)</f>
        <v>14257.277723720503</v>
      </c>
      <c r="E97" s="251">
        <v>0.87454749074804794</v>
      </c>
      <c r="F97" s="251"/>
      <c r="G97" s="251">
        <v>0.92971443718997127</v>
      </c>
    </row>
    <row r="98" spans="1:7" ht="24" x14ac:dyDescent="0.2">
      <c r="A98" s="85" t="s">
        <v>110</v>
      </c>
      <c r="B98" s="246" t="s">
        <v>76</v>
      </c>
      <c r="C98" s="103">
        <v>12298.545755679859</v>
      </c>
      <c r="D98" s="103">
        <v>3212.2324876309158</v>
      </c>
      <c r="E98" s="247">
        <v>1.6193189944111397E-2</v>
      </c>
      <c r="F98" s="247">
        <v>9.3573891355791153E-2</v>
      </c>
      <c r="G98" s="247">
        <v>0.99987945664053235</v>
      </c>
    </row>
    <row r="99" spans="1:7" x14ac:dyDescent="0.2">
      <c r="A99" s="85"/>
      <c r="B99" s="246" t="s">
        <v>77</v>
      </c>
      <c r="C99" s="103">
        <v>11628.986421669801</v>
      </c>
      <c r="D99" s="103">
        <v>1119.201845622847</v>
      </c>
      <c r="E99" s="247">
        <v>4.383813625892654E-2</v>
      </c>
      <c r="F99" s="247">
        <v>9.6071053735979697E-2</v>
      </c>
      <c r="G99" s="247">
        <v>0.99994641264666029</v>
      </c>
    </row>
    <row r="100" spans="1:7" x14ac:dyDescent="0.2">
      <c r="A100" s="85"/>
      <c r="B100" s="246" t="s">
        <v>78</v>
      </c>
      <c r="C100" s="103">
        <v>34755.528479846507</v>
      </c>
      <c r="D100" s="103">
        <v>2651.8102952534432</v>
      </c>
      <c r="E100" s="247">
        <v>6.4527273890019388E-2</v>
      </c>
      <c r="F100" s="247">
        <v>9.8050369113746497E-2</v>
      </c>
      <c r="G100" s="247">
        <v>0.99992501036084036</v>
      </c>
    </row>
    <row r="101" spans="1:7" x14ac:dyDescent="0.2">
      <c r="A101" s="85"/>
      <c r="B101" s="246" t="s">
        <v>79</v>
      </c>
      <c r="C101" s="103">
        <v>19310.769682789622</v>
      </c>
      <c r="D101" s="103">
        <v>1112.7827355149971</v>
      </c>
      <c r="E101" s="247">
        <v>9.6141480693123157E-2</v>
      </c>
      <c r="F101" s="247">
        <v>0.10102751046639552</v>
      </c>
      <c r="G101" s="247">
        <v>0.99994494098507014</v>
      </c>
    </row>
    <row r="102" spans="1:7" x14ac:dyDescent="0.2">
      <c r="A102" s="85"/>
      <c r="B102" s="246" t="s">
        <v>80</v>
      </c>
      <c r="C102" s="103">
        <v>22197.292791841264</v>
      </c>
      <c r="D102" s="103">
        <v>914.65471490261291</v>
      </c>
      <c r="E102" s="247">
        <v>0.12973297238572432</v>
      </c>
      <c r="F102" s="247">
        <v>0.10043344521833633</v>
      </c>
      <c r="G102" s="247">
        <v>0.99995585242107843</v>
      </c>
    </row>
    <row r="103" spans="1:7" x14ac:dyDescent="0.2">
      <c r="A103" s="85"/>
      <c r="B103" s="246" t="s">
        <v>81</v>
      </c>
      <c r="C103" s="103">
        <v>7445.0514618581501</v>
      </c>
      <c r="D103" s="103">
        <v>184.06030825626601</v>
      </c>
      <c r="E103" s="247">
        <v>0.19143951534675019</v>
      </c>
      <c r="F103" s="247">
        <v>0.10583440296429136</v>
      </c>
      <c r="G103" s="247">
        <v>0.99997562910358595</v>
      </c>
    </row>
    <row r="104" spans="1:7" x14ac:dyDescent="0.2">
      <c r="A104" s="85"/>
      <c r="B104" s="246" t="s">
        <v>82</v>
      </c>
      <c r="C104" s="103">
        <v>1277.388912223405</v>
      </c>
      <c r="D104" s="103">
        <v>42.172320870501999</v>
      </c>
      <c r="E104" s="247">
        <v>0.29616511604317425</v>
      </c>
      <c r="F104" s="247">
        <v>0.10508254626385657</v>
      </c>
      <c r="G104" s="247">
        <v>0.99978358966490388</v>
      </c>
    </row>
    <row r="105" spans="1:7" x14ac:dyDescent="0.2">
      <c r="A105" s="85"/>
      <c r="B105" s="246" t="s">
        <v>83</v>
      </c>
      <c r="C105" s="103">
        <v>962.23087633287696</v>
      </c>
      <c r="D105" s="103">
        <v>21.070019379862998</v>
      </c>
      <c r="E105" s="247">
        <v>0.48798912989961596</v>
      </c>
      <c r="F105" s="247">
        <v>0.11726028328092178</v>
      </c>
      <c r="G105" s="247">
        <v>0.99993453143416011</v>
      </c>
    </row>
    <row r="106" spans="1:7" x14ac:dyDescent="0.2">
      <c r="A106" s="85"/>
      <c r="B106" s="246" t="s">
        <v>84</v>
      </c>
      <c r="C106" s="103">
        <v>1133.433342045043</v>
      </c>
      <c r="D106" s="103">
        <v>7.9678109545269997</v>
      </c>
      <c r="E106" s="247">
        <v>0.58658297979166407</v>
      </c>
      <c r="F106" s="247">
        <v>0.10673418594020501</v>
      </c>
      <c r="G106" s="247">
        <v>0.99983514761260783</v>
      </c>
    </row>
    <row r="107" spans="1:7" x14ac:dyDescent="0.2">
      <c r="A107" s="85"/>
      <c r="B107" s="246" t="s">
        <v>85</v>
      </c>
      <c r="C107" s="103">
        <v>93.51966704283501</v>
      </c>
      <c r="D107" s="103">
        <v>0.29229436510000001</v>
      </c>
      <c r="E107" s="247">
        <v>0.11686382626382497</v>
      </c>
      <c r="F107" s="247">
        <v>9.3019599241146333E-2</v>
      </c>
      <c r="G107" s="247">
        <v>0.99913995879982609</v>
      </c>
    </row>
    <row r="108" spans="1:7" x14ac:dyDescent="0.2">
      <c r="A108" s="85"/>
      <c r="B108" s="246" t="s">
        <v>86</v>
      </c>
      <c r="C108" s="103">
        <v>103.953645568505</v>
      </c>
      <c r="D108" s="103">
        <v>7.8792574345000005E-2</v>
      </c>
      <c r="E108" s="247">
        <v>0.74926432301607915</v>
      </c>
      <c r="F108" s="247">
        <v>0.19849570276308648</v>
      </c>
      <c r="G108" s="247">
        <v>0.99981966367229036</v>
      </c>
    </row>
    <row r="109" spans="1:7" x14ac:dyDescent="0.2">
      <c r="A109" s="248" t="s">
        <v>212</v>
      </c>
      <c r="B109" s="92"/>
      <c r="C109" s="252">
        <f>SUM(C98:C108)</f>
        <v>111206.70103689787</v>
      </c>
      <c r="D109" s="252">
        <f>SUM(D98:D108)</f>
        <v>9266.3236253254199</v>
      </c>
      <c r="E109" s="253">
        <v>9.634973221919578E-2</v>
      </c>
      <c r="F109" s="253">
        <v>9.9287260146630016E-2</v>
      </c>
      <c r="G109" s="254">
        <v>0.99993199834272872</v>
      </c>
    </row>
    <row r="110" spans="1:7" x14ac:dyDescent="0.2">
      <c r="A110" s="85" t="s">
        <v>161</v>
      </c>
      <c r="B110" s="246" t="s">
        <v>76</v>
      </c>
      <c r="C110" s="103">
        <v>1444.4515405298753</v>
      </c>
      <c r="D110" s="103">
        <v>524.27238255296197</v>
      </c>
      <c r="E110" s="247">
        <v>3.2177991424141836E-2</v>
      </c>
      <c r="F110" s="247">
        <v>0.18848043477053794</v>
      </c>
      <c r="G110" s="247">
        <v>0.99798034667993885</v>
      </c>
    </row>
    <row r="111" spans="1:7" x14ac:dyDescent="0.2">
      <c r="A111" s="85"/>
      <c r="B111" s="246" t="s">
        <v>77</v>
      </c>
      <c r="C111" s="103">
        <v>890.6908776490709</v>
      </c>
      <c r="D111" s="103">
        <v>171.37297033563598</v>
      </c>
      <c r="E111" s="247">
        <v>0.10543199494950485</v>
      </c>
      <c r="F111" s="247">
        <v>0.23073187091708908</v>
      </c>
      <c r="G111" s="247">
        <v>0.99573700746369165</v>
      </c>
    </row>
    <row r="112" spans="1:7" x14ac:dyDescent="0.2">
      <c r="A112" s="85"/>
      <c r="B112" s="246" t="s">
        <v>78</v>
      </c>
      <c r="C112" s="103">
        <v>2380.1156695461973</v>
      </c>
      <c r="D112" s="103">
        <v>271.17308789509002</v>
      </c>
      <c r="E112" s="247">
        <v>0.14263433506387771</v>
      </c>
      <c r="F112" s="247">
        <v>0.22455558368095596</v>
      </c>
      <c r="G112" s="247">
        <v>0.99877865757258744</v>
      </c>
    </row>
    <row r="113" spans="1:7" x14ac:dyDescent="0.2">
      <c r="A113" s="85"/>
      <c r="B113" s="246" t="s">
        <v>79</v>
      </c>
      <c r="C113" s="103">
        <v>1043.8269471078881</v>
      </c>
      <c r="D113" s="103">
        <v>79.94460940652101</v>
      </c>
      <c r="E113" s="247">
        <v>0.212045073653708</v>
      </c>
      <c r="F113" s="247">
        <v>0.23946172693137749</v>
      </c>
      <c r="G113" s="247">
        <v>0.99952578322791952</v>
      </c>
    </row>
    <row r="114" spans="1:7" x14ac:dyDescent="0.2">
      <c r="A114" s="85"/>
      <c r="B114" s="246" t="s">
        <v>80</v>
      </c>
      <c r="C114" s="103">
        <v>1093.38459349038</v>
      </c>
      <c r="D114" s="103">
        <v>73.151015941533998</v>
      </c>
      <c r="E114" s="247">
        <v>0.26703033858514086</v>
      </c>
      <c r="F114" s="247">
        <v>0.23680524400826353</v>
      </c>
      <c r="G114" s="247">
        <v>0.99753756642011571</v>
      </c>
    </row>
    <row r="115" spans="1:7" x14ac:dyDescent="0.2">
      <c r="A115" s="85"/>
      <c r="B115" s="246" t="s">
        <v>81</v>
      </c>
      <c r="C115" s="103">
        <v>331.678284183747</v>
      </c>
      <c r="D115" s="103">
        <v>20.584699039657</v>
      </c>
      <c r="E115" s="247">
        <v>0.38388968598529616</v>
      </c>
      <c r="F115" s="247">
        <v>0.26596825757908249</v>
      </c>
      <c r="G115" s="247">
        <v>0.99915811412622713</v>
      </c>
    </row>
    <row r="116" spans="1:7" x14ac:dyDescent="0.2">
      <c r="A116" s="85"/>
      <c r="B116" s="246" t="s">
        <v>82</v>
      </c>
      <c r="C116" s="103">
        <v>97.721754242200007</v>
      </c>
      <c r="D116" s="103">
        <v>5.7005556700840003</v>
      </c>
      <c r="E116" s="247">
        <v>0.43854100423993636</v>
      </c>
      <c r="F116" s="247">
        <v>0.2249768157545671</v>
      </c>
      <c r="G116" s="247">
        <v>0.9971700883170691</v>
      </c>
    </row>
    <row r="117" spans="1:7" x14ac:dyDescent="0.2">
      <c r="A117" s="85"/>
      <c r="B117" s="246" t="s">
        <v>83</v>
      </c>
      <c r="C117" s="103">
        <v>69.033682863514002</v>
      </c>
      <c r="D117" s="103">
        <v>3.7710750375940001</v>
      </c>
      <c r="E117" s="247">
        <v>0.61105250675447664</v>
      </c>
      <c r="F117" s="247">
        <v>0.21724461979506099</v>
      </c>
      <c r="G117" s="247">
        <v>0.99889760881001943</v>
      </c>
    </row>
    <row r="118" spans="1:7" x14ac:dyDescent="0.2">
      <c r="A118" s="85"/>
      <c r="B118" s="246" t="s">
        <v>84</v>
      </c>
      <c r="C118" s="103">
        <v>129.525136656634</v>
      </c>
      <c r="D118" s="103">
        <v>4.0124564001029999</v>
      </c>
      <c r="E118" s="247">
        <v>0.9754672155542321</v>
      </c>
      <c r="F118" s="247">
        <v>0.29245718101275581</v>
      </c>
      <c r="G118" s="247">
        <v>0.99460898153361532</v>
      </c>
    </row>
    <row r="119" spans="1:7" x14ac:dyDescent="0.2">
      <c r="A119" s="85"/>
      <c r="B119" s="246" t="s">
        <v>85</v>
      </c>
      <c r="C119" s="103">
        <v>13.634137445</v>
      </c>
      <c r="D119" s="103">
        <v>6.1239537694999992E-2</v>
      </c>
      <c r="E119" s="247">
        <v>0.41360545549715194</v>
      </c>
      <c r="F119" s="247">
        <v>0.22182002582317151</v>
      </c>
      <c r="G119" s="247">
        <v>0.83537608803779539</v>
      </c>
    </row>
    <row r="120" spans="1:7" x14ac:dyDescent="0.2">
      <c r="A120" s="85"/>
      <c r="B120" s="246" t="s">
        <v>86</v>
      </c>
      <c r="C120" s="103">
        <v>60.191932010000002</v>
      </c>
      <c r="D120" s="103">
        <v>0.12418739000000001</v>
      </c>
      <c r="E120" s="247">
        <v>1.1112424355727206</v>
      </c>
      <c r="F120" s="247">
        <v>0.56978645158867536</v>
      </c>
      <c r="G120" s="247">
        <v>0.40930173060248315</v>
      </c>
    </row>
    <row r="121" spans="1:7" x14ac:dyDescent="0.2">
      <c r="A121" s="248" t="s">
        <v>213</v>
      </c>
      <c r="B121" s="92"/>
      <c r="C121" s="252">
        <f>SUM(C110:C120)</f>
        <v>7554.2545557245076</v>
      </c>
      <c r="D121" s="252">
        <f>SUM(D110:D120)</f>
        <v>1154.1682792068762</v>
      </c>
      <c r="E121" s="253">
        <v>0.18591098191729455</v>
      </c>
      <c r="F121" s="253">
        <v>0.22788553596175293</v>
      </c>
      <c r="G121" s="254">
        <v>0.99744774097261835</v>
      </c>
    </row>
    <row r="122" spans="1:7" x14ac:dyDescent="0.2">
      <c r="A122" s="102"/>
      <c r="B122" s="99"/>
      <c r="C122" s="255"/>
      <c r="D122" s="255"/>
      <c r="E122" s="256"/>
      <c r="F122" s="256"/>
      <c r="G122" s="257"/>
    </row>
    <row r="123" spans="1:7" x14ac:dyDescent="0.2">
      <c r="A123" s="102"/>
      <c r="B123" s="99"/>
      <c r="C123" s="255"/>
      <c r="D123" s="255"/>
      <c r="E123" s="256"/>
      <c r="F123" s="256"/>
      <c r="G123" s="257"/>
    </row>
    <row r="124" spans="1:7" x14ac:dyDescent="0.2">
      <c r="A124" s="102"/>
      <c r="B124" s="99"/>
      <c r="C124" s="255"/>
      <c r="D124" s="255"/>
      <c r="E124" s="256"/>
      <c r="F124" s="256"/>
      <c r="G124" s="257"/>
    </row>
    <row r="125" spans="1:7" x14ac:dyDescent="0.2">
      <c r="A125" s="102"/>
      <c r="B125" s="99"/>
      <c r="C125" s="255"/>
      <c r="D125" s="255"/>
      <c r="E125" s="256"/>
      <c r="F125" s="256"/>
      <c r="G125" s="257"/>
    </row>
    <row r="126" spans="1:7" x14ac:dyDescent="0.2">
      <c r="A126" s="102"/>
      <c r="B126" s="99"/>
      <c r="C126" s="255"/>
      <c r="D126" s="255"/>
      <c r="E126" s="256"/>
      <c r="F126" s="256"/>
      <c r="G126" s="257"/>
    </row>
    <row r="127" spans="1:7" x14ac:dyDescent="0.2">
      <c r="A127" s="102"/>
      <c r="B127" s="99"/>
      <c r="C127" s="255"/>
      <c r="D127" s="255"/>
      <c r="E127" s="256"/>
      <c r="F127" s="256"/>
      <c r="G127" s="257"/>
    </row>
    <row r="128" spans="1:7" x14ac:dyDescent="0.2">
      <c r="A128" s="102"/>
      <c r="B128" s="99"/>
      <c r="C128" s="255"/>
      <c r="D128" s="255"/>
      <c r="E128" s="256"/>
      <c r="F128" s="256"/>
      <c r="G128" s="257"/>
    </row>
    <row r="129" spans="1:7" x14ac:dyDescent="0.2">
      <c r="A129" s="102"/>
      <c r="B129" s="99"/>
      <c r="C129" s="255"/>
      <c r="D129" s="255"/>
      <c r="E129" s="256"/>
      <c r="F129" s="256"/>
      <c r="G129" s="257"/>
    </row>
    <row r="130" spans="1:7" x14ac:dyDescent="0.2">
      <c r="A130" s="102"/>
      <c r="B130" s="99"/>
      <c r="C130" s="255"/>
      <c r="D130" s="255"/>
      <c r="E130" s="256"/>
      <c r="F130" s="256"/>
      <c r="G130" s="257"/>
    </row>
    <row r="131" spans="1:7" x14ac:dyDescent="0.2">
      <c r="A131" s="102"/>
      <c r="B131" s="99"/>
      <c r="C131" s="255"/>
      <c r="D131" s="255"/>
      <c r="E131" s="256"/>
      <c r="F131" s="256"/>
      <c r="G131" s="257"/>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2" manualBreakCount="2">
    <brk id="43" max="6" man="1"/>
    <brk id="84"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zoomScaleNormal="100" workbookViewId="0">
      <selection activeCell="A14" sqref="A14"/>
    </sheetView>
  </sheetViews>
  <sheetFormatPr baseColWidth="10" defaultColWidth="11" defaultRowHeight="12" x14ac:dyDescent="0.2"/>
  <cols>
    <col min="1" max="1" width="14.875" style="259" customWidth="1"/>
    <col min="2" max="2" width="19.875" style="259" customWidth="1"/>
    <col min="3" max="3" width="15" style="259" customWidth="1"/>
    <col min="4" max="4" width="15.375" style="259" customWidth="1"/>
    <col min="5" max="5" width="15.875" style="259" customWidth="1"/>
    <col min="6" max="16384" width="11" style="259"/>
  </cols>
  <sheetData>
    <row r="1" spans="1:6" x14ac:dyDescent="0.2">
      <c r="A1" s="258" t="s">
        <v>825</v>
      </c>
      <c r="C1" s="260"/>
      <c r="F1" s="21"/>
    </row>
    <row r="2" spans="1:6" x14ac:dyDescent="0.2">
      <c r="F2" s="21"/>
    </row>
    <row r="3" spans="1:6" x14ac:dyDescent="0.2">
      <c r="A3" s="261"/>
      <c r="B3" s="261"/>
      <c r="C3" s="263"/>
      <c r="D3" s="263"/>
    </row>
    <row r="4" spans="1:6" ht="12.75" x14ac:dyDescent="0.2">
      <c r="A4" s="595"/>
      <c r="B4"/>
      <c r="C4"/>
      <c r="D4"/>
      <c r="E4"/>
    </row>
    <row r="5" spans="1:6" x14ac:dyDescent="0.2">
      <c r="A5" s="652" t="s">
        <v>811</v>
      </c>
      <c r="B5" s="596" t="s">
        <v>812</v>
      </c>
      <c r="C5" s="596" t="s">
        <v>813</v>
      </c>
      <c r="D5" s="596" t="s">
        <v>812</v>
      </c>
      <c r="E5" s="596" t="s">
        <v>813</v>
      </c>
    </row>
    <row r="6" spans="1:6" ht="12.75" thickBot="1" x14ac:dyDescent="0.25">
      <c r="A6" s="653"/>
      <c r="B6" s="597">
        <v>2014</v>
      </c>
      <c r="C6" s="598">
        <v>2014</v>
      </c>
      <c r="D6" s="597" t="s">
        <v>814</v>
      </c>
      <c r="E6" s="597" t="s">
        <v>814</v>
      </c>
    </row>
    <row r="7" spans="1:6" ht="24.75" thickTop="1" x14ac:dyDescent="0.2">
      <c r="A7" s="599" t="s">
        <v>815</v>
      </c>
      <c r="B7" s="600">
        <v>9.9000000000000008E-3</v>
      </c>
      <c r="C7" s="600">
        <v>2.3999999999999998E-3</v>
      </c>
      <c r="D7" s="600">
        <v>9.7999999999999997E-3</v>
      </c>
      <c r="E7" s="600">
        <v>3.5000000000000001E-3</v>
      </c>
    </row>
    <row r="8" spans="1:6" x14ac:dyDescent="0.2">
      <c r="A8" s="599" t="s">
        <v>161</v>
      </c>
      <c r="B8" s="601">
        <v>3.0099999999999998E-2</v>
      </c>
      <c r="C8" s="601">
        <v>1.5299999999999999E-2</v>
      </c>
      <c r="D8" s="601">
        <v>3.6499999999999998E-2</v>
      </c>
      <c r="E8" s="601">
        <v>2.01E-2</v>
      </c>
    </row>
    <row r="9" spans="1:6" x14ac:dyDescent="0.2">
      <c r="A9" s="599" t="s">
        <v>27</v>
      </c>
      <c r="B9" s="601">
        <v>3.1899999999999998E-2</v>
      </c>
      <c r="C9" s="601">
        <v>2.1499999999999998E-2</v>
      </c>
      <c r="D9" s="601">
        <v>3.1199999999999999E-2</v>
      </c>
      <c r="E9" s="601">
        <v>2.1700000000000001E-2</v>
      </c>
    </row>
    <row r="13" spans="1:6" x14ac:dyDescent="0.2">
      <c r="A13" s="258" t="s">
        <v>826</v>
      </c>
    </row>
    <row r="15" spans="1:6" x14ac:dyDescent="0.2">
      <c r="A15" s="652" t="s">
        <v>811</v>
      </c>
      <c r="B15" s="596" t="s">
        <v>812</v>
      </c>
      <c r="C15" s="596" t="s">
        <v>813</v>
      </c>
      <c r="D15" s="596" t="s">
        <v>812</v>
      </c>
      <c r="E15" s="596" t="s">
        <v>813</v>
      </c>
    </row>
    <row r="16" spans="1:6" ht="12.75" thickBot="1" x14ac:dyDescent="0.25">
      <c r="A16" s="653"/>
      <c r="B16" s="597">
        <v>2014</v>
      </c>
      <c r="C16" s="598">
        <v>2014</v>
      </c>
      <c r="D16" s="597" t="s">
        <v>814</v>
      </c>
      <c r="E16" s="597" t="s">
        <v>814</v>
      </c>
    </row>
    <row r="17" spans="1:5" ht="24.75" thickTop="1" x14ac:dyDescent="0.2">
      <c r="A17" s="599" t="s">
        <v>815</v>
      </c>
      <c r="B17" s="600">
        <v>1.15E-2</v>
      </c>
      <c r="C17" s="600">
        <v>3.8E-3</v>
      </c>
      <c r="D17" s="600">
        <v>1.17E-2</v>
      </c>
      <c r="E17" s="600">
        <v>4.7000000000000002E-3</v>
      </c>
    </row>
    <row r="18" spans="1:5" x14ac:dyDescent="0.2">
      <c r="A18" s="599" t="s">
        <v>161</v>
      </c>
      <c r="B18" s="601">
        <v>3.3799999999999997E-2</v>
      </c>
      <c r="C18" s="601">
        <v>1.2200000000000001E-2</v>
      </c>
      <c r="D18" s="601">
        <v>3.5999999999999997E-2</v>
      </c>
      <c r="E18" s="601">
        <v>1.4999999999999999E-2</v>
      </c>
    </row>
    <row r="19" spans="1:5" x14ac:dyDescent="0.2">
      <c r="A19" s="599" t="s">
        <v>27</v>
      </c>
      <c r="B19" s="601">
        <v>2.3699999999999999E-2</v>
      </c>
      <c r="C19" s="601">
        <v>1.7399999999999999E-2</v>
      </c>
      <c r="D19" s="601">
        <v>2.58E-2</v>
      </c>
      <c r="E19" s="601">
        <v>2.01E-2</v>
      </c>
    </row>
  </sheetData>
  <mergeCells count="2">
    <mergeCell ref="A5:A6"/>
    <mergeCell ref="A15:A16"/>
  </mergeCells>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4" max="16383" man="1"/>
  </rowBreaks>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48"/>
  <sheetViews>
    <sheetView zoomScaleNormal="100" workbookViewId="0">
      <selection activeCell="G50" sqref="G50"/>
    </sheetView>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2" spans="1:5" x14ac:dyDescent="0.2">
      <c r="A2" s="94" t="s">
        <v>227</v>
      </c>
    </row>
    <row r="3" spans="1:5" x14ac:dyDescent="0.2">
      <c r="A3" s="86" t="s">
        <v>186</v>
      </c>
    </row>
    <row r="4" spans="1:5" s="339" customFormat="1" x14ac:dyDescent="0.2">
      <c r="A4" s="86"/>
    </row>
    <row r="5" spans="1:5" s="426" customFormat="1" x14ac:dyDescent="0.2">
      <c r="A5" s="95" t="s">
        <v>185</v>
      </c>
    </row>
    <row r="6" spans="1:5" s="426" customFormat="1" ht="12.75" thickBot="1" x14ac:dyDescent="0.25">
      <c r="A6" s="96" t="s">
        <v>331</v>
      </c>
      <c r="B6" s="97" t="s">
        <v>0</v>
      </c>
      <c r="C6" s="97" t="s">
        <v>1</v>
      </c>
      <c r="D6" s="97" t="s">
        <v>2</v>
      </c>
      <c r="E6" s="98" t="s">
        <v>182</v>
      </c>
    </row>
    <row r="7" spans="1:5" s="426" customFormat="1" x14ac:dyDescent="0.2">
      <c r="A7" s="99" t="s">
        <v>3</v>
      </c>
      <c r="B7" s="99"/>
      <c r="C7" s="99"/>
      <c r="D7" s="99"/>
      <c r="E7" s="99"/>
    </row>
    <row r="8" spans="1:5" s="426" customFormat="1" x14ac:dyDescent="0.2">
      <c r="A8" s="17" t="s">
        <v>4</v>
      </c>
      <c r="B8" s="91">
        <v>334000</v>
      </c>
      <c r="C8" s="91">
        <v>635758</v>
      </c>
      <c r="D8" s="100">
        <v>1</v>
      </c>
      <c r="E8" s="101" t="s">
        <v>5</v>
      </c>
    </row>
    <row r="9" spans="1:5" s="426" customFormat="1" x14ac:dyDescent="0.2">
      <c r="A9" s="86" t="s">
        <v>128</v>
      </c>
      <c r="B9" s="91">
        <v>150</v>
      </c>
      <c r="C9" s="91">
        <v>97205</v>
      </c>
      <c r="D9" s="100">
        <v>1</v>
      </c>
      <c r="E9" s="101" t="s">
        <v>5</v>
      </c>
    </row>
    <row r="10" spans="1:5" s="426" customFormat="1" x14ac:dyDescent="0.2">
      <c r="A10" s="17" t="s">
        <v>6</v>
      </c>
      <c r="B10" s="91">
        <v>100</v>
      </c>
      <c r="C10" s="103">
        <v>218</v>
      </c>
      <c r="D10" s="100">
        <v>1</v>
      </c>
      <c r="E10" s="101" t="s">
        <v>5</v>
      </c>
    </row>
    <row r="11" spans="1:5" s="426" customFormat="1" x14ac:dyDescent="0.2">
      <c r="A11" s="17" t="s">
        <v>7</v>
      </c>
      <c r="B11" s="91">
        <v>3500</v>
      </c>
      <c r="C11" s="91">
        <v>180725</v>
      </c>
      <c r="D11" s="100">
        <v>1</v>
      </c>
      <c r="E11" s="101" t="s">
        <v>5</v>
      </c>
    </row>
    <row r="12" spans="1:5" s="426" customFormat="1" x14ac:dyDescent="0.2">
      <c r="A12" s="17" t="s">
        <v>173</v>
      </c>
      <c r="B12" s="91">
        <v>6000</v>
      </c>
      <c r="C12" s="91">
        <v>29019</v>
      </c>
      <c r="D12" s="100">
        <v>1</v>
      </c>
      <c r="E12" s="101" t="s">
        <v>5</v>
      </c>
    </row>
    <row r="13" spans="1:5" s="426" customFormat="1" x14ac:dyDescent="0.2">
      <c r="A13" s="17" t="s">
        <v>8</v>
      </c>
      <c r="B13" s="91">
        <v>1000</v>
      </c>
      <c r="C13" s="91">
        <v>125</v>
      </c>
      <c r="D13" s="100">
        <v>1</v>
      </c>
      <c r="E13" s="101" t="s">
        <v>5</v>
      </c>
    </row>
    <row r="14" spans="1:5" s="426" customFormat="1" x14ac:dyDescent="0.2">
      <c r="A14" s="17" t="s">
        <v>196</v>
      </c>
      <c r="B14" s="91">
        <v>90000</v>
      </c>
      <c r="C14" s="91">
        <v>222706</v>
      </c>
      <c r="D14" s="100">
        <v>1</v>
      </c>
      <c r="E14" s="101" t="s">
        <v>5</v>
      </c>
    </row>
    <row r="15" spans="1:5" s="426" customFormat="1" x14ac:dyDescent="0.2">
      <c r="A15" s="17" t="s">
        <v>214</v>
      </c>
      <c r="B15" s="91">
        <v>10000</v>
      </c>
      <c r="C15" s="91">
        <v>1730</v>
      </c>
      <c r="D15" s="100">
        <v>1</v>
      </c>
      <c r="E15" s="101" t="s">
        <v>5</v>
      </c>
    </row>
    <row r="16" spans="1:5" s="426" customFormat="1" x14ac:dyDescent="0.2">
      <c r="A16" s="17" t="s">
        <v>274</v>
      </c>
      <c r="B16" s="91">
        <v>16000</v>
      </c>
      <c r="C16" s="91">
        <v>58016</v>
      </c>
      <c r="D16" s="100">
        <v>1</v>
      </c>
      <c r="E16" s="101" t="s">
        <v>5</v>
      </c>
    </row>
    <row r="17" spans="1:5" s="426" customFormat="1" x14ac:dyDescent="0.2">
      <c r="A17" s="104" t="s">
        <v>9</v>
      </c>
      <c r="B17" s="105"/>
      <c r="C17" s="105">
        <f>SUM(C8:C16)</f>
        <v>1225502</v>
      </c>
      <c r="D17" s="106"/>
      <c r="E17" s="107"/>
    </row>
    <row r="18" spans="1:5" s="426" customFormat="1" x14ac:dyDescent="0.2">
      <c r="A18" s="86"/>
    </row>
    <row r="19" spans="1:5" s="339" customFormat="1" x14ac:dyDescent="0.2">
      <c r="A19" s="95" t="s">
        <v>185</v>
      </c>
    </row>
    <row r="20" spans="1:5" s="339" customFormat="1" ht="12.75" thickBot="1" x14ac:dyDescent="0.25">
      <c r="A20" s="96" t="s">
        <v>273</v>
      </c>
      <c r="B20" s="97" t="s">
        <v>0</v>
      </c>
      <c r="C20" s="97" t="s">
        <v>1</v>
      </c>
      <c r="D20" s="97" t="s">
        <v>2</v>
      </c>
      <c r="E20" s="98" t="s">
        <v>182</v>
      </c>
    </row>
    <row r="21" spans="1:5" s="339" customFormat="1" x14ac:dyDescent="0.2">
      <c r="A21" s="99" t="s">
        <v>3</v>
      </c>
      <c r="B21" s="99"/>
      <c r="C21" s="99"/>
      <c r="D21" s="99"/>
      <c r="E21" s="99"/>
    </row>
    <row r="22" spans="1:5" s="339" customFormat="1" ht="12" customHeight="1" x14ac:dyDescent="0.2">
      <c r="A22" s="17" t="s">
        <v>4</v>
      </c>
      <c r="B22" s="91">
        <v>334000</v>
      </c>
      <c r="C22" s="91">
        <v>526606</v>
      </c>
      <c r="D22" s="100">
        <v>1</v>
      </c>
      <c r="E22" s="101" t="s">
        <v>5</v>
      </c>
    </row>
    <row r="23" spans="1:5" s="339" customFormat="1" ht="12" customHeight="1" x14ac:dyDescent="0.2">
      <c r="A23" s="86" t="s">
        <v>128</v>
      </c>
      <c r="B23" s="91">
        <v>150</v>
      </c>
      <c r="C23" s="91">
        <v>97205</v>
      </c>
      <c r="D23" s="100">
        <v>1</v>
      </c>
      <c r="E23" s="101" t="s">
        <v>5</v>
      </c>
    </row>
    <row r="24" spans="1:5" s="339" customFormat="1" x14ac:dyDescent="0.2">
      <c r="A24" s="17" t="s">
        <v>6</v>
      </c>
      <c r="B24" s="91">
        <v>100</v>
      </c>
      <c r="C24" s="103">
        <v>0</v>
      </c>
      <c r="D24" s="100">
        <v>1</v>
      </c>
      <c r="E24" s="101" t="s">
        <v>5</v>
      </c>
    </row>
    <row r="25" spans="1:5" s="339" customFormat="1" x14ac:dyDescent="0.2">
      <c r="A25" s="17" t="s">
        <v>7</v>
      </c>
      <c r="B25" s="91">
        <v>3500</v>
      </c>
      <c r="C25" s="91">
        <v>179703</v>
      </c>
      <c r="D25" s="100">
        <v>1</v>
      </c>
      <c r="E25" s="101" t="s">
        <v>5</v>
      </c>
    </row>
    <row r="26" spans="1:5" s="339" customFormat="1" x14ac:dyDescent="0.2">
      <c r="A26" s="17" t="s">
        <v>173</v>
      </c>
      <c r="B26" s="91">
        <v>6000</v>
      </c>
      <c r="C26" s="91">
        <v>29019</v>
      </c>
      <c r="D26" s="100">
        <v>1</v>
      </c>
      <c r="E26" s="101" t="s">
        <v>5</v>
      </c>
    </row>
    <row r="27" spans="1:5" s="339" customFormat="1" x14ac:dyDescent="0.2">
      <c r="A27" s="17" t="s">
        <v>8</v>
      </c>
      <c r="B27" s="91">
        <v>1000</v>
      </c>
      <c r="C27" s="91">
        <v>125</v>
      </c>
      <c r="D27" s="100">
        <v>1</v>
      </c>
      <c r="E27" s="101" t="s">
        <v>5</v>
      </c>
    </row>
    <row r="28" spans="1:5" s="339" customFormat="1" x14ac:dyDescent="0.2">
      <c r="A28" s="17" t="s">
        <v>146</v>
      </c>
      <c r="B28" s="91">
        <v>3000</v>
      </c>
      <c r="C28" s="91">
        <v>23701</v>
      </c>
      <c r="D28" s="100">
        <v>1</v>
      </c>
      <c r="E28" s="101" t="s">
        <v>5</v>
      </c>
    </row>
    <row r="29" spans="1:5" s="339" customFormat="1" x14ac:dyDescent="0.2">
      <c r="A29" s="17" t="s">
        <v>196</v>
      </c>
      <c r="B29" s="91">
        <v>85239309</v>
      </c>
      <c r="C29" s="91">
        <v>84006</v>
      </c>
      <c r="D29" s="100">
        <v>1</v>
      </c>
      <c r="E29" s="101" t="s">
        <v>5</v>
      </c>
    </row>
    <row r="30" spans="1:5" s="369" customFormat="1" x14ac:dyDescent="0.2">
      <c r="A30" s="17" t="s">
        <v>214</v>
      </c>
      <c r="B30" s="91">
        <v>10000</v>
      </c>
      <c r="C30" s="91">
        <v>1123</v>
      </c>
      <c r="D30" s="100">
        <v>1</v>
      </c>
      <c r="E30" s="101" t="s">
        <v>5</v>
      </c>
    </row>
    <row r="31" spans="1:5" s="339" customFormat="1" x14ac:dyDescent="0.2">
      <c r="A31" s="17" t="s">
        <v>274</v>
      </c>
      <c r="B31" s="91">
        <v>8000</v>
      </c>
      <c r="C31" s="91">
        <v>8016</v>
      </c>
      <c r="D31" s="100">
        <v>1</v>
      </c>
      <c r="E31" s="101" t="s">
        <v>5</v>
      </c>
    </row>
    <row r="32" spans="1:5" s="339" customFormat="1" x14ac:dyDescent="0.2">
      <c r="A32" s="104" t="s">
        <v>9</v>
      </c>
      <c r="B32" s="105"/>
      <c r="C32" s="105">
        <f>SUM(C22:C31)</f>
        <v>949504</v>
      </c>
      <c r="D32" s="106"/>
      <c r="E32" s="107"/>
    </row>
    <row r="33" spans="1:10" hidden="1" x14ac:dyDescent="0.2">
      <c r="A33" s="17"/>
      <c r="B33" s="90"/>
      <c r="C33" s="90"/>
      <c r="D33" s="100"/>
      <c r="E33" s="17"/>
      <c r="F33" s="17"/>
    </row>
    <row r="34" spans="1:10" hidden="1" x14ac:dyDescent="0.2">
      <c r="A34" s="17"/>
      <c r="B34" s="90"/>
      <c r="C34" s="90"/>
      <c r="D34" s="100"/>
      <c r="E34" s="17"/>
      <c r="F34" s="17"/>
      <c r="J34" s="17"/>
    </row>
    <row r="35" spans="1:10" hidden="1" x14ac:dyDescent="0.2">
      <c r="F35" s="17"/>
    </row>
    <row r="36" spans="1:10" x14ac:dyDescent="0.2">
      <c r="A36" s="17"/>
      <c r="B36" s="90"/>
      <c r="C36" s="90"/>
      <c r="D36" s="100"/>
      <c r="E36" s="17"/>
      <c r="F36" s="17"/>
    </row>
    <row r="37" spans="1:10" x14ac:dyDescent="0.2">
      <c r="A37" s="17" t="s">
        <v>10</v>
      </c>
      <c r="B37" s="90"/>
      <c r="C37" s="90"/>
      <c r="D37" s="100"/>
      <c r="E37" s="17"/>
      <c r="F37" s="17"/>
    </row>
    <row r="38" spans="1:10" s="428" customFormat="1" x14ac:dyDescent="0.2">
      <c r="A38" s="17"/>
      <c r="B38" s="90"/>
      <c r="C38" s="90"/>
      <c r="D38" s="100"/>
      <c r="E38" s="17"/>
      <c r="F38" s="17"/>
    </row>
    <row r="39" spans="1:10" x14ac:dyDescent="0.2">
      <c r="C39" s="90"/>
      <c r="D39" s="100"/>
      <c r="E39" s="17"/>
      <c r="F39" s="17"/>
    </row>
    <row r="40" spans="1:10" x14ac:dyDescent="0.2">
      <c r="A40" s="16" t="s">
        <v>176</v>
      </c>
      <c r="B40" s="90"/>
      <c r="C40" s="90"/>
      <c r="D40" s="100"/>
      <c r="E40" s="17"/>
      <c r="F40" s="17"/>
    </row>
    <row r="41" spans="1:10" x14ac:dyDescent="0.2">
      <c r="B41" s="90"/>
      <c r="C41" s="90"/>
      <c r="D41" s="100"/>
      <c r="E41" s="17"/>
      <c r="F41" s="17"/>
    </row>
    <row r="42" spans="1:10" s="428" customFormat="1" ht="12.75" x14ac:dyDescent="0.2">
      <c r="B42" s="628">
        <v>42004</v>
      </c>
      <c r="C42" s="629"/>
      <c r="D42" s="630">
        <v>41639</v>
      </c>
      <c r="E42" s="631"/>
      <c r="F42" s="17"/>
    </row>
    <row r="43" spans="1:10" ht="12.75" thickBot="1" x14ac:dyDescent="0.25">
      <c r="A43" s="1" t="s">
        <v>162</v>
      </c>
      <c r="B43" s="455" t="s">
        <v>350</v>
      </c>
      <c r="C43" s="455" t="s">
        <v>351</v>
      </c>
      <c r="D43" s="455" t="s">
        <v>350</v>
      </c>
      <c r="E43" s="455" t="s">
        <v>351</v>
      </c>
      <c r="F43" s="17"/>
    </row>
    <row r="44" spans="1:10" x14ac:dyDescent="0.2">
      <c r="A44" s="21" t="s">
        <v>22</v>
      </c>
      <c r="B44" s="27">
        <v>939</v>
      </c>
      <c r="C44" s="27">
        <v>15</v>
      </c>
      <c r="D44" s="428">
        <v>773</v>
      </c>
      <c r="E44" s="428">
        <v>18</v>
      </c>
      <c r="F44" s="17"/>
    </row>
    <row r="45" spans="1:10" x14ac:dyDescent="0.2">
      <c r="A45" s="17" t="s">
        <v>332</v>
      </c>
      <c r="B45" s="446">
        <v>6380</v>
      </c>
      <c r="C45" s="446">
        <v>70</v>
      </c>
      <c r="D45" s="89">
        <v>5575</v>
      </c>
      <c r="E45" s="89">
        <f>60</f>
        <v>60</v>
      </c>
      <c r="F45" s="17"/>
    </row>
    <row r="46" spans="1:10" x14ac:dyDescent="0.2">
      <c r="A46" s="447" t="s">
        <v>177</v>
      </c>
      <c r="B46" s="448">
        <v>14.71</v>
      </c>
      <c r="C46" s="456">
        <v>21.4</v>
      </c>
      <c r="D46" s="447">
        <v>13.87</v>
      </c>
      <c r="E46" s="447">
        <v>28.98</v>
      </c>
      <c r="F46" s="17"/>
    </row>
    <row r="47" spans="1:10" x14ac:dyDescent="0.2">
      <c r="A47" s="17"/>
      <c r="B47" s="90"/>
      <c r="C47" s="90"/>
      <c r="D47" s="100"/>
      <c r="E47" s="17"/>
      <c r="F47" s="17"/>
    </row>
    <row r="48" spans="1:10" x14ac:dyDescent="0.2">
      <c r="B48" s="17"/>
      <c r="D48" s="100"/>
      <c r="E48" s="17"/>
      <c r="F48" s="17"/>
    </row>
  </sheetData>
  <mergeCells count="2">
    <mergeCell ref="B42:C42"/>
    <mergeCell ref="D42:E42"/>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workbookViewId="0">
      <selection activeCell="A2" sqref="A2"/>
    </sheetView>
  </sheetViews>
  <sheetFormatPr baseColWidth="10" defaultColWidth="11" defaultRowHeight="12" x14ac:dyDescent="0.2"/>
  <cols>
    <col min="1" max="1" width="27.75" style="259" customWidth="1"/>
    <col min="2" max="5" width="14.875" style="259" customWidth="1"/>
    <col min="6" max="16384" width="11" style="259"/>
  </cols>
  <sheetData>
    <row r="1" spans="1:5" x14ac:dyDescent="0.2">
      <c r="A1" s="258" t="s">
        <v>819</v>
      </c>
      <c r="B1" s="260"/>
      <c r="C1" s="260"/>
    </row>
    <row r="3" spans="1:5" ht="12.75" customHeight="1" x14ac:dyDescent="0.2">
      <c r="A3" s="262"/>
      <c r="B3" s="609"/>
      <c r="C3" s="263"/>
      <c r="D3" s="263"/>
    </row>
    <row r="4" spans="1:5" ht="12" customHeight="1" x14ac:dyDescent="0.2">
      <c r="A4" s="610" t="s">
        <v>815</v>
      </c>
      <c r="B4" s="611" t="s">
        <v>812</v>
      </c>
      <c r="C4" s="611" t="s">
        <v>813</v>
      </c>
      <c r="D4" s="611" t="s">
        <v>812</v>
      </c>
      <c r="E4" s="611" t="s">
        <v>813</v>
      </c>
    </row>
    <row r="5" spans="1:5" ht="12.75" thickBot="1" x14ac:dyDescent="0.25">
      <c r="A5" s="612"/>
      <c r="B5" s="612">
        <v>2014</v>
      </c>
      <c r="C5" s="613">
        <v>2014</v>
      </c>
      <c r="D5" s="613" t="s">
        <v>814</v>
      </c>
      <c r="E5" s="613" t="s">
        <v>814</v>
      </c>
    </row>
    <row r="6" spans="1:5" ht="16.5" customHeight="1" thickTop="1" x14ac:dyDescent="0.2">
      <c r="A6" s="614" t="s">
        <v>76</v>
      </c>
      <c r="B6" s="615">
        <v>0</v>
      </c>
      <c r="C6" s="616">
        <v>0</v>
      </c>
      <c r="D6" s="615">
        <v>0</v>
      </c>
      <c r="E6" s="616">
        <v>0</v>
      </c>
    </row>
    <row r="7" spans="1:5" ht="16.5" customHeight="1" x14ac:dyDescent="0.2">
      <c r="A7" s="614" t="s">
        <v>77</v>
      </c>
      <c r="B7" s="615">
        <v>2.0999999999999999E-3</v>
      </c>
      <c r="C7" s="616">
        <v>1E-4</v>
      </c>
      <c r="D7" s="615">
        <v>2.0999999999999999E-3</v>
      </c>
      <c r="E7" s="616">
        <v>2.0000000000000001E-4</v>
      </c>
    </row>
    <row r="8" spans="1:5" ht="16.5" customHeight="1" x14ac:dyDescent="0.2">
      <c r="A8" s="617" t="s">
        <v>78</v>
      </c>
      <c r="B8" s="618">
        <v>3.5999999999999999E-3</v>
      </c>
      <c r="C8" s="616">
        <v>2.9999999999999997E-4</v>
      </c>
      <c r="D8" s="619">
        <v>3.5999999999999999E-3</v>
      </c>
      <c r="E8" s="619">
        <v>6.9999999999999999E-4</v>
      </c>
    </row>
    <row r="9" spans="1:5" ht="18.75" customHeight="1" x14ac:dyDescent="0.2">
      <c r="A9" s="617" t="s">
        <v>79</v>
      </c>
      <c r="B9" s="618">
        <v>6.1999999999999998E-3</v>
      </c>
      <c r="C9" s="616">
        <v>6.9999999999999999E-4</v>
      </c>
      <c r="D9" s="619">
        <v>6.1999999999999998E-3</v>
      </c>
      <c r="E9" s="619">
        <v>1.4E-3</v>
      </c>
    </row>
    <row r="10" spans="1:5" ht="16.5" customHeight="1" x14ac:dyDescent="0.2">
      <c r="A10" s="614" t="s">
        <v>80</v>
      </c>
      <c r="B10" s="615">
        <v>9.5999999999999992E-3</v>
      </c>
      <c r="C10" s="616">
        <v>1E-3</v>
      </c>
      <c r="D10" s="615">
        <v>9.5999999999999992E-3</v>
      </c>
      <c r="E10" s="616">
        <v>2.7000000000000001E-3</v>
      </c>
    </row>
    <row r="11" spans="1:5" ht="16.5" customHeight="1" x14ac:dyDescent="0.2">
      <c r="A11" s="617" t="s">
        <v>81</v>
      </c>
      <c r="B11" s="618">
        <v>1.66E-2</v>
      </c>
      <c r="C11" s="616">
        <v>4.1000000000000003E-3</v>
      </c>
      <c r="D11" s="619">
        <v>1.6799999999999999E-2</v>
      </c>
      <c r="E11" s="619">
        <v>6.3E-3</v>
      </c>
    </row>
    <row r="12" spans="1:5" ht="18.75" customHeight="1" x14ac:dyDescent="0.2">
      <c r="A12" s="617" t="s">
        <v>82</v>
      </c>
      <c r="B12" s="618">
        <v>3.44E-2</v>
      </c>
      <c r="C12" s="616">
        <v>5.7999999999999996E-3</v>
      </c>
      <c r="D12" s="619">
        <v>3.4500000000000003E-2</v>
      </c>
      <c r="E12" s="619">
        <v>1.46E-2</v>
      </c>
    </row>
    <row r="13" spans="1:5" ht="16.5" customHeight="1" x14ac:dyDescent="0.2">
      <c r="A13" s="614" t="s">
        <v>83</v>
      </c>
      <c r="B13" s="615">
        <v>7.0099999999999996E-2</v>
      </c>
      <c r="C13" s="616">
        <v>2.1999999999999999E-2</v>
      </c>
      <c r="D13" s="615">
        <v>7.0300000000000001E-2</v>
      </c>
      <c r="E13" s="616">
        <v>3.0499999999999999E-2</v>
      </c>
    </row>
    <row r="14" spans="1:5" ht="16.5" customHeight="1" x14ac:dyDescent="0.2">
      <c r="A14" s="617" t="s">
        <v>84</v>
      </c>
      <c r="B14" s="618">
        <v>0.23</v>
      </c>
      <c r="C14" s="616">
        <v>9.1800000000000007E-2</v>
      </c>
      <c r="D14" s="619">
        <v>0.2167</v>
      </c>
      <c r="E14" s="619">
        <v>0.10299999999999999</v>
      </c>
    </row>
    <row r="17" spans="1:5" x14ac:dyDescent="0.2">
      <c r="B17" s="611" t="s">
        <v>812</v>
      </c>
      <c r="C17" s="611" t="s">
        <v>813</v>
      </c>
      <c r="D17" s="611" t="s">
        <v>812</v>
      </c>
      <c r="E17" s="611" t="s">
        <v>813</v>
      </c>
    </row>
    <row r="18" spans="1:5" ht="12.75" thickBot="1" x14ac:dyDescent="0.25">
      <c r="A18" s="612" t="s">
        <v>161</v>
      </c>
      <c r="B18" s="612">
        <v>2014</v>
      </c>
      <c r="C18" s="613">
        <v>2014</v>
      </c>
      <c r="D18" s="613" t="s">
        <v>814</v>
      </c>
      <c r="E18" s="613" t="s">
        <v>814</v>
      </c>
    </row>
    <row r="19" spans="1:5" ht="16.5" customHeight="1" thickTop="1" x14ac:dyDescent="0.2">
      <c r="A19" s="617" t="s">
        <v>76</v>
      </c>
      <c r="B19" s="618">
        <v>0</v>
      </c>
      <c r="C19" s="616">
        <v>0</v>
      </c>
      <c r="D19" s="619">
        <v>0</v>
      </c>
      <c r="E19" s="619">
        <v>0</v>
      </c>
    </row>
    <row r="20" spans="1:5" ht="16.5" customHeight="1" x14ac:dyDescent="0.2">
      <c r="A20" s="617" t="s">
        <v>77</v>
      </c>
      <c r="B20" s="618">
        <v>0</v>
      </c>
      <c r="C20" s="616">
        <v>0</v>
      </c>
      <c r="D20" s="619">
        <v>0</v>
      </c>
      <c r="E20" s="619">
        <v>0</v>
      </c>
    </row>
    <row r="21" spans="1:5" ht="16.5" customHeight="1" x14ac:dyDescent="0.2">
      <c r="A21" s="617" t="s">
        <v>78</v>
      </c>
      <c r="B21" s="618">
        <v>4.1000000000000003E-3</v>
      </c>
      <c r="C21" s="616">
        <v>0</v>
      </c>
      <c r="D21" s="619">
        <v>2.3999999999999998E-3</v>
      </c>
      <c r="E21" s="619">
        <v>2.9999999999999997E-4</v>
      </c>
    </row>
    <row r="22" spans="1:5" ht="18.75" customHeight="1" x14ac:dyDescent="0.2">
      <c r="A22" s="617" t="s">
        <v>79</v>
      </c>
      <c r="B22" s="618">
        <v>6.1000000000000004E-3</v>
      </c>
      <c r="C22" s="616">
        <v>0</v>
      </c>
      <c r="D22" s="619">
        <v>4.1000000000000003E-3</v>
      </c>
      <c r="E22" s="619">
        <v>8.0000000000000004E-4</v>
      </c>
    </row>
    <row r="23" spans="1:5" ht="16.5" customHeight="1" x14ac:dyDescent="0.2">
      <c r="A23" s="614" t="s">
        <v>80</v>
      </c>
      <c r="B23" s="615">
        <v>9.5999999999999992E-3</v>
      </c>
      <c r="C23" s="616">
        <v>2.2000000000000001E-3</v>
      </c>
      <c r="D23" s="615">
        <v>6.1999999999999998E-3</v>
      </c>
      <c r="E23" s="616">
        <v>2.8E-3</v>
      </c>
    </row>
    <row r="24" spans="1:5" ht="16.5" customHeight="1" x14ac:dyDescent="0.2">
      <c r="A24" s="617" t="s">
        <v>81</v>
      </c>
      <c r="B24" s="618">
        <v>1.7399999999999999E-2</v>
      </c>
      <c r="C24" s="616">
        <v>4.8999999999999998E-3</v>
      </c>
      <c r="D24" s="619">
        <v>9.7000000000000003E-3</v>
      </c>
      <c r="E24" s="619">
        <v>7.9000000000000008E-3</v>
      </c>
    </row>
    <row r="25" spans="1:5" ht="18.75" customHeight="1" x14ac:dyDescent="0.2">
      <c r="A25" s="617" t="s">
        <v>82</v>
      </c>
      <c r="B25" s="618">
        <v>3.4700000000000002E-2</v>
      </c>
      <c r="C25" s="616">
        <v>1.26E-2</v>
      </c>
      <c r="D25" s="619">
        <v>1.78E-2</v>
      </c>
      <c r="E25" s="619">
        <v>1.9199999999999998E-2</v>
      </c>
    </row>
    <row r="26" spans="1:5" ht="16.5" customHeight="1" x14ac:dyDescent="0.2">
      <c r="A26" s="614" t="s">
        <v>83</v>
      </c>
      <c r="B26" s="615">
        <v>6.7799999999999999E-2</v>
      </c>
      <c r="C26" s="616">
        <v>4.07E-2</v>
      </c>
      <c r="D26" s="615">
        <v>3.5000000000000003E-2</v>
      </c>
      <c r="E26" s="616">
        <v>3.7999999999999999E-2</v>
      </c>
    </row>
    <row r="27" spans="1:5" ht="16.5" customHeight="1" x14ac:dyDescent="0.2">
      <c r="A27" s="617" t="s">
        <v>84</v>
      </c>
      <c r="B27" s="618">
        <v>0.23599999999999999</v>
      </c>
      <c r="C27" s="616">
        <v>0.129</v>
      </c>
      <c r="D27" s="619">
        <v>6.93E-2</v>
      </c>
      <c r="E27" s="619">
        <v>0.13600000000000001</v>
      </c>
    </row>
    <row r="31" spans="1:5" x14ac:dyDescent="0.2">
      <c r="B31" s="611" t="s">
        <v>812</v>
      </c>
      <c r="C31" s="611" t="s">
        <v>813</v>
      </c>
      <c r="D31" s="611" t="s">
        <v>812</v>
      </c>
      <c r="E31" s="611" t="s">
        <v>813</v>
      </c>
    </row>
    <row r="32" spans="1:5" ht="12.75" thickBot="1" x14ac:dyDescent="0.25">
      <c r="A32" s="612" t="s">
        <v>27</v>
      </c>
      <c r="B32" s="612">
        <v>2014</v>
      </c>
      <c r="C32" s="613">
        <v>2014</v>
      </c>
      <c r="D32" s="613" t="s">
        <v>814</v>
      </c>
      <c r="E32" s="613" t="s">
        <v>814</v>
      </c>
    </row>
    <row r="33" spans="1:5" ht="16.5" customHeight="1" thickTop="1" x14ac:dyDescent="0.2">
      <c r="A33" s="614" t="s">
        <v>76</v>
      </c>
      <c r="B33" s="615">
        <v>0</v>
      </c>
      <c r="C33" s="616">
        <v>0</v>
      </c>
      <c r="D33" s="615">
        <v>0</v>
      </c>
      <c r="E33" s="616">
        <v>0</v>
      </c>
    </row>
    <row r="34" spans="1:5" ht="16.5" customHeight="1" x14ac:dyDescent="0.2">
      <c r="A34" s="614" t="s">
        <v>77</v>
      </c>
      <c r="B34" s="615">
        <v>0</v>
      </c>
      <c r="C34" s="616">
        <v>0</v>
      </c>
      <c r="D34" s="615">
        <v>0</v>
      </c>
      <c r="E34" s="616">
        <v>0</v>
      </c>
    </row>
    <row r="35" spans="1:5" ht="16.5" customHeight="1" x14ac:dyDescent="0.2">
      <c r="A35" s="614" t="s">
        <v>77</v>
      </c>
      <c r="B35" s="615">
        <v>2.0999999999999999E-3</v>
      </c>
      <c r="C35" s="616">
        <v>0</v>
      </c>
      <c r="D35" s="615">
        <v>2.0999999999999999E-3</v>
      </c>
      <c r="E35" s="616">
        <v>4.0000000000000002E-4</v>
      </c>
    </row>
    <row r="36" spans="1:5" ht="16.5" customHeight="1" x14ac:dyDescent="0.2">
      <c r="A36" s="617" t="s">
        <v>78</v>
      </c>
      <c r="B36" s="618">
        <v>3.7000000000000002E-3</v>
      </c>
      <c r="C36" s="616">
        <v>0</v>
      </c>
      <c r="D36" s="619">
        <v>3.7000000000000002E-3</v>
      </c>
      <c r="E36" s="619">
        <v>2.5999999999999999E-3</v>
      </c>
    </row>
    <row r="37" spans="1:5" ht="18.75" customHeight="1" x14ac:dyDescent="0.2">
      <c r="A37" s="617" t="s">
        <v>79</v>
      </c>
      <c r="B37" s="618">
        <v>5.8999999999999999E-3</v>
      </c>
      <c r="C37" s="616">
        <v>2.7000000000000001E-3</v>
      </c>
      <c r="D37" s="619">
        <v>5.8999999999999999E-3</v>
      </c>
      <c r="E37" s="619">
        <v>5.1999999999999998E-3</v>
      </c>
    </row>
    <row r="38" spans="1:5" ht="16.5" customHeight="1" x14ac:dyDescent="0.2">
      <c r="A38" s="614" t="s">
        <v>80</v>
      </c>
      <c r="B38" s="615">
        <v>8.6999999999999994E-3</v>
      </c>
      <c r="C38" s="616">
        <v>5.1999999999999998E-3</v>
      </c>
      <c r="D38" s="615">
        <v>8.6999999999999994E-3</v>
      </c>
      <c r="E38" s="616">
        <v>8.8000000000000005E-3</v>
      </c>
    </row>
    <row r="39" spans="1:5" ht="16.5" customHeight="1" x14ac:dyDescent="0.2">
      <c r="A39" s="617" t="s">
        <v>81</v>
      </c>
      <c r="B39" s="618">
        <v>1.8700000000000001E-2</v>
      </c>
      <c r="C39" s="616">
        <v>7.0000000000000001E-3</v>
      </c>
      <c r="D39" s="619">
        <v>1.8800000000000001E-2</v>
      </c>
      <c r="E39" s="619">
        <v>1.3299999999999999E-2</v>
      </c>
    </row>
    <row r="40" spans="1:5" ht="18.75" customHeight="1" x14ac:dyDescent="0.2">
      <c r="A40" s="617" t="s">
        <v>82</v>
      </c>
      <c r="B40" s="618">
        <v>3.4200000000000001E-2</v>
      </c>
      <c r="C40" s="616">
        <v>2.93E-2</v>
      </c>
      <c r="D40" s="619">
        <v>3.4200000000000001E-2</v>
      </c>
      <c r="E40" s="619">
        <v>2.6800000000000001E-2</v>
      </c>
    </row>
    <row r="41" spans="1:5" ht="16.5" customHeight="1" x14ac:dyDescent="0.2">
      <c r="A41" s="614" t="s">
        <v>83</v>
      </c>
      <c r="B41" s="615">
        <v>9.35E-2</v>
      </c>
      <c r="C41" s="616">
        <v>7.1400000000000005E-2</v>
      </c>
      <c r="D41" s="615">
        <v>9.35E-2</v>
      </c>
      <c r="E41" s="616">
        <v>5.2699999999999997E-2</v>
      </c>
    </row>
    <row r="42" spans="1:5" ht="16.5" customHeight="1" x14ac:dyDescent="0.2">
      <c r="A42" s="617" t="s">
        <v>84</v>
      </c>
      <c r="B42" s="618">
        <v>0.20100000000000001</v>
      </c>
      <c r="C42" s="616">
        <v>0.156</v>
      </c>
      <c r="D42" s="619">
        <v>0.19270000000000001</v>
      </c>
      <c r="E42" s="619">
        <v>0.13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zoomScaleNormal="100" workbookViewId="0">
      <selection activeCell="A2" sqref="A2"/>
    </sheetView>
  </sheetViews>
  <sheetFormatPr baseColWidth="10" defaultColWidth="11" defaultRowHeight="12" x14ac:dyDescent="0.2"/>
  <cols>
    <col min="1" max="1" width="27.75" style="259" customWidth="1"/>
    <col min="2" max="2" width="16.375" style="259" customWidth="1"/>
    <col min="3" max="3" width="11" style="259" hidden="1" customWidth="1"/>
    <col min="4" max="4" width="18.5" style="259" customWidth="1"/>
    <col min="5" max="5" width="22.625" style="259" customWidth="1"/>
    <col min="6" max="16384" width="11" style="259"/>
  </cols>
  <sheetData>
    <row r="1" spans="1:7" x14ac:dyDescent="0.2">
      <c r="A1" s="258" t="s">
        <v>829</v>
      </c>
      <c r="B1" s="260"/>
      <c r="C1" s="260"/>
      <c r="E1" s="428"/>
      <c r="G1" s="21"/>
    </row>
    <row r="2" spans="1:7" x14ac:dyDescent="0.2">
      <c r="E2" s="428"/>
      <c r="G2" s="21"/>
    </row>
    <row r="3" spans="1:7" ht="12.75" customHeight="1" x14ac:dyDescent="0.2">
      <c r="A3" s="262"/>
      <c r="B3" s="265"/>
      <c r="C3" s="263"/>
      <c r="D3" s="263"/>
    </row>
    <row r="4" spans="1:7" ht="12" customHeight="1" x14ac:dyDescent="0.2">
      <c r="B4" s="602" t="s">
        <v>816</v>
      </c>
      <c r="C4" s="602" t="s">
        <v>817</v>
      </c>
      <c r="D4" s="602" t="s">
        <v>816</v>
      </c>
      <c r="E4" s="602" t="s">
        <v>817</v>
      </c>
    </row>
    <row r="5" spans="1:7" ht="12" customHeight="1" thickBot="1" x14ac:dyDescent="0.25">
      <c r="A5" s="598" t="s">
        <v>811</v>
      </c>
      <c r="B5" s="598">
        <v>2013</v>
      </c>
      <c r="C5" s="597">
        <v>2013</v>
      </c>
      <c r="D5" s="597" t="s">
        <v>818</v>
      </c>
      <c r="E5" s="597" t="s">
        <v>818</v>
      </c>
    </row>
    <row r="6" spans="1:7" ht="16.5" customHeight="1" thickTop="1" x14ac:dyDescent="0.2">
      <c r="A6" s="603" t="s">
        <v>815</v>
      </c>
      <c r="B6" s="604">
        <v>0.113</v>
      </c>
      <c r="C6" s="605">
        <v>6.3E-2</v>
      </c>
      <c r="D6" s="604">
        <v>0.11899999999999999</v>
      </c>
      <c r="E6" s="605">
        <v>3.3000000000000002E-2</v>
      </c>
    </row>
    <row r="7" spans="1:7" ht="16.5" customHeight="1" x14ac:dyDescent="0.2">
      <c r="A7" s="606" t="s">
        <v>161</v>
      </c>
      <c r="B7" s="607">
        <v>0.1</v>
      </c>
      <c r="C7" s="605">
        <v>0</v>
      </c>
      <c r="D7" s="608">
        <v>0.185</v>
      </c>
      <c r="E7" s="608">
        <v>0.09</v>
      </c>
    </row>
    <row r="8" spans="1:7" ht="16.5" customHeight="1" x14ac:dyDescent="0.2">
      <c r="A8" s="606" t="s">
        <v>27</v>
      </c>
      <c r="B8" s="607">
        <v>0.45</v>
      </c>
      <c r="C8" s="605">
        <v>0.28000000000000003</v>
      </c>
      <c r="D8" s="608">
        <v>0.45</v>
      </c>
      <c r="E8" s="608">
        <v>0.23499999999999999</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zoomScaleNormal="100" workbookViewId="0">
      <selection activeCell="H50" sqref="H50"/>
    </sheetView>
  </sheetViews>
  <sheetFormatPr baseColWidth="10" defaultColWidth="11" defaultRowHeight="12" x14ac:dyDescent="0.2"/>
  <cols>
    <col min="1" max="1" width="20.25" style="259" customWidth="1"/>
    <col min="2" max="5" width="12" style="259" customWidth="1"/>
    <col min="6" max="16384" width="11" style="259"/>
  </cols>
  <sheetData>
    <row r="1" spans="1:5" x14ac:dyDescent="0.2">
      <c r="A1" s="258" t="s">
        <v>820</v>
      </c>
      <c r="B1" s="260"/>
      <c r="C1" s="260"/>
    </row>
    <row r="3" spans="1:5" ht="12.75" customHeight="1" x14ac:dyDescent="0.2">
      <c r="A3" s="262"/>
      <c r="B3" s="609"/>
      <c r="C3" s="263"/>
      <c r="D3" s="263"/>
    </row>
    <row r="4" spans="1:5" ht="12" customHeight="1" x14ac:dyDescent="0.2">
      <c r="B4" s="611" t="s">
        <v>821</v>
      </c>
      <c r="C4" s="611" t="s">
        <v>822</v>
      </c>
      <c r="D4" s="611" t="s">
        <v>821</v>
      </c>
      <c r="E4" s="611" t="s">
        <v>822</v>
      </c>
    </row>
    <row r="5" spans="1:5" ht="12.75" thickBot="1" x14ac:dyDescent="0.25">
      <c r="A5" s="612" t="s">
        <v>811</v>
      </c>
      <c r="B5" s="612">
        <v>2014</v>
      </c>
      <c r="C5" s="613">
        <v>2014</v>
      </c>
      <c r="D5" s="613" t="s">
        <v>823</v>
      </c>
      <c r="E5" s="613" t="s">
        <v>823</v>
      </c>
    </row>
    <row r="6" spans="1:5" ht="16.5" customHeight="1" thickTop="1" x14ac:dyDescent="0.2">
      <c r="A6" s="614" t="s">
        <v>28</v>
      </c>
      <c r="B6" s="620">
        <v>4.0000000000000002E-4</v>
      </c>
      <c r="C6" s="621">
        <v>1E-4</v>
      </c>
      <c r="D6" s="620">
        <v>5.0000000000000001E-4</v>
      </c>
      <c r="E6" s="621">
        <v>1E-4</v>
      </c>
    </row>
    <row r="7" spans="1:5" ht="16.5" customHeight="1" x14ac:dyDescent="0.2">
      <c r="A7" s="617" t="s">
        <v>27</v>
      </c>
      <c r="B7" s="622">
        <v>4.0000000000000001E-3</v>
      </c>
      <c r="C7" s="621">
        <v>2.5000000000000001E-3</v>
      </c>
      <c r="D7" s="623">
        <v>5.0000000000000001E-3</v>
      </c>
      <c r="E7" s="623">
        <v>3.0000000000000001E-3</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enableFormatConditionsCalculation="0">
    <pageSetUpPr fitToPage="1"/>
  </sheetPr>
  <dimension ref="A1:M19"/>
  <sheetViews>
    <sheetView showGridLines="0" zoomScaleNormal="100" workbookViewId="0">
      <selection activeCell="G50" sqref="G50"/>
    </sheetView>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94" t="s">
        <v>239</v>
      </c>
      <c r="F1" s="17"/>
      <c r="G1" s="17"/>
      <c r="H1" s="17"/>
      <c r="I1" s="17"/>
    </row>
    <row r="3" spans="1:13" x14ac:dyDescent="0.2">
      <c r="A3" s="266"/>
    </row>
    <row r="4" spans="1:13" ht="12.75" x14ac:dyDescent="0.2">
      <c r="A4" s="267"/>
      <c r="C4" s="655">
        <v>2014</v>
      </c>
      <c r="D4" s="656"/>
      <c r="E4" s="268"/>
      <c r="F4" s="657">
        <v>2013</v>
      </c>
      <c r="G4" s="656"/>
    </row>
    <row r="5" spans="1:13" ht="39" thickBot="1" x14ac:dyDescent="0.25">
      <c r="A5" s="654" t="s">
        <v>192</v>
      </c>
      <c r="B5" s="654"/>
      <c r="C5" s="98" t="s">
        <v>190</v>
      </c>
      <c r="D5" s="240" t="s">
        <v>246</v>
      </c>
      <c r="E5" s="240"/>
      <c r="F5" s="269" t="s">
        <v>191</v>
      </c>
      <c r="G5" s="270" t="s">
        <v>247</v>
      </c>
      <c r="H5" s="1"/>
      <c r="L5" s="271"/>
      <c r="M5" s="271"/>
    </row>
    <row r="6" spans="1:13" x14ac:dyDescent="0.2">
      <c r="A6" s="83" t="s">
        <v>28</v>
      </c>
      <c r="B6" s="77"/>
      <c r="C6" s="77"/>
      <c r="D6" s="77"/>
      <c r="E6" s="77"/>
      <c r="F6" s="77"/>
      <c r="G6" s="272"/>
      <c r="L6" s="273"/>
    </row>
    <row r="7" spans="1:13" x14ac:dyDescent="0.2">
      <c r="A7" s="83" t="s">
        <v>110</v>
      </c>
      <c r="B7" s="83"/>
      <c r="C7" s="241">
        <v>119170</v>
      </c>
      <c r="D7" s="272">
        <v>0.95</v>
      </c>
      <c r="E7" s="272"/>
      <c r="F7" s="241">
        <v>111214</v>
      </c>
      <c r="G7" s="272">
        <v>0.95</v>
      </c>
      <c r="L7" s="273"/>
    </row>
    <row r="8" spans="1:13" x14ac:dyDescent="0.2">
      <c r="A8" s="83" t="s">
        <v>68</v>
      </c>
      <c r="B8" s="77"/>
      <c r="C8" s="241">
        <v>5804</v>
      </c>
      <c r="D8" s="272">
        <v>0.93</v>
      </c>
      <c r="E8" s="272"/>
      <c r="F8" s="241">
        <v>5651</v>
      </c>
      <c r="G8" s="272">
        <v>0.88</v>
      </c>
      <c r="L8" s="273"/>
    </row>
    <row r="9" spans="1:13" ht="12" customHeight="1" x14ac:dyDescent="0.2">
      <c r="A9" s="83" t="s">
        <v>111</v>
      </c>
      <c r="B9" s="77"/>
      <c r="C9" s="241">
        <f>1707+191</f>
        <v>1898</v>
      </c>
      <c r="D9" s="272">
        <v>0.03</v>
      </c>
      <c r="E9" s="264" t="s">
        <v>114</v>
      </c>
      <c r="F9" s="241">
        <v>1923</v>
      </c>
      <c r="G9" s="272">
        <v>0.04</v>
      </c>
      <c r="H9" s="264" t="s">
        <v>114</v>
      </c>
      <c r="L9" s="273"/>
    </row>
    <row r="10" spans="1:13" x14ac:dyDescent="0.2">
      <c r="A10" s="126" t="s">
        <v>109</v>
      </c>
      <c r="B10" s="274"/>
      <c r="C10" s="275">
        <f>SUM(C7:C9)</f>
        <v>126872</v>
      </c>
      <c r="D10" s="276"/>
      <c r="E10" s="276"/>
      <c r="F10" s="276">
        <f>SUM(F7:F9)</f>
        <v>118788</v>
      </c>
      <c r="G10" s="277"/>
      <c r="H10" s="278"/>
      <c r="L10" s="89"/>
    </row>
    <row r="11" spans="1:13" ht="13.5" customHeight="1" x14ac:dyDescent="0.2">
      <c r="A11" s="279"/>
      <c r="B11" s="279"/>
      <c r="C11" s="280"/>
      <c r="D11" s="281"/>
      <c r="E11" s="281"/>
      <c r="F11" s="281"/>
      <c r="G11" s="281"/>
      <c r="H11" s="281"/>
      <c r="I11" s="281"/>
      <c r="J11" s="281"/>
      <c r="K11" s="281"/>
    </row>
    <row r="13" spans="1:13" ht="14.25" x14ac:dyDescent="0.2">
      <c r="A13" s="21" t="s">
        <v>248</v>
      </c>
    </row>
    <row r="14" spans="1:13" ht="14.25" x14ac:dyDescent="0.2">
      <c r="A14" s="21" t="s">
        <v>249</v>
      </c>
    </row>
    <row r="15" spans="1:13" x14ac:dyDescent="0.2">
      <c r="A15" s="21" t="s">
        <v>112</v>
      </c>
    </row>
    <row r="17" spans="1:1" x14ac:dyDescent="0.2">
      <c r="A17" s="21" t="s">
        <v>113</v>
      </c>
    </row>
    <row r="18" spans="1:1" x14ac:dyDescent="0.2">
      <c r="A18" s="21" t="s">
        <v>166</v>
      </c>
    </row>
    <row r="19" spans="1:1" x14ac:dyDescent="0.2">
      <c r="A19" s="21" t="s">
        <v>167</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8" max="16383" man="1"/>
  </rowBreaks>
  <colBreaks count="1" manualBreakCount="1">
    <brk id="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G50" sqref="G50"/>
    </sheetView>
  </sheetViews>
  <sheetFormatPr baseColWidth="10" defaultColWidth="11" defaultRowHeight="12" x14ac:dyDescent="0.2"/>
  <cols>
    <col min="1" max="1" width="18" style="21" customWidth="1"/>
    <col min="2" max="2" width="12.12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94" t="s">
        <v>240</v>
      </c>
      <c r="B1" s="243"/>
      <c r="C1" s="243"/>
      <c r="D1" s="243"/>
      <c r="E1" s="243"/>
      <c r="F1" s="243"/>
      <c r="G1" s="243"/>
      <c r="H1" s="243"/>
      <c r="I1" s="243"/>
    </row>
    <row r="2" spans="1:11" x14ac:dyDescent="0.2">
      <c r="B2" s="17"/>
      <c r="C2" s="17"/>
      <c r="D2" s="17"/>
      <c r="E2" s="17"/>
      <c r="F2" s="17"/>
      <c r="G2" s="17"/>
      <c r="H2" s="17"/>
      <c r="I2" s="17"/>
    </row>
    <row r="3" spans="1:11" ht="24.75" thickBot="1" x14ac:dyDescent="0.25">
      <c r="A3" s="662" t="s">
        <v>162</v>
      </c>
      <c r="B3" s="662"/>
      <c r="C3" s="282" t="s">
        <v>348</v>
      </c>
      <c r="D3" s="193" t="s">
        <v>349</v>
      </c>
      <c r="E3" s="282" t="s">
        <v>279</v>
      </c>
      <c r="F3" s="371" t="s">
        <v>280</v>
      </c>
      <c r="G3" s="282" t="s">
        <v>198</v>
      </c>
      <c r="H3" s="371" t="s">
        <v>199</v>
      </c>
      <c r="I3" s="282" t="s">
        <v>180</v>
      </c>
    </row>
    <row r="4" spans="1:11" ht="12" customHeight="1" x14ac:dyDescent="0.2">
      <c r="A4" s="663" t="s">
        <v>88</v>
      </c>
      <c r="B4" s="663"/>
      <c r="C4" s="191">
        <f>SUM(C5:C7)</f>
        <v>126872</v>
      </c>
      <c r="D4" s="283">
        <f>(C4-E4)/E4</f>
        <v>6.8054012189783478E-2</v>
      </c>
      <c r="E4" s="194">
        <f>SUM(E5:E7)</f>
        <v>118788</v>
      </c>
      <c r="F4" s="379">
        <f>(E4-G4)/G4</f>
        <v>5.3337234976457128E-2</v>
      </c>
      <c r="G4" s="194">
        <f>SUM(G5:G7)</f>
        <v>112773</v>
      </c>
      <c r="H4" s="379">
        <f>(G4-I4)/I4</f>
        <v>9.725911439329811E-2</v>
      </c>
      <c r="I4" s="380">
        <f>SUM(I5:I7)</f>
        <v>102777</v>
      </c>
      <c r="K4" s="27"/>
    </row>
    <row r="5" spans="1:11" ht="12" customHeight="1" x14ac:dyDescent="0.2">
      <c r="A5" s="664" t="s">
        <v>89</v>
      </c>
      <c r="B5" s="665"/>
      <c r="C5" s="281">
        <v>5804</v>
      </c>
      <c r="D5" s="283">
        <f t="shared" ref="D5:D8" si="0">(C5-E5)/E5</f>
        <v>2.7074854008140151E-2</v>
      </c>
      <c r="E5" s="226">
        <v>5651</v>
      </c>
      <c r="F5" s="379">
        <f t="shared" ref="F5:F10" si="1">(E5-G5)/G5</f>
        <v>7.1076573161485967E-2</v>
      </c>
      <c r="G5" s="226">
        <v>5276</v>
      </c>
      <c r="H5" s="379">
        <f t="shared" ref="H5:H10" si="2">(G5-I5)/I5</f>
        <v>6.3924178261746317E-2</v>
      </c>
      <c r="I5" s="380">
        <v>4959</v>
      </c>
      <c r="K5" s="27"/>
    </row>
    <row r="6" spans="1:11" ht="12" customHeight="1" x14ac:dyDescent="0.2">
      <c r="A6" s="664" t="s">
        <v>200</v>
      </c>
      <c r="B6" s="665"/>
      <c r="C6" s="281">
        <v>119170</v>
      </c>
      <c r="D6" s="283">
        <f>(C6-E6)/E6</f>
        <v>7.1537756037908892E-2</v>
      </c>
      <c r="E6" s="226">
        <v>111214</v>
      </c>
      <c r="F6" s="379">
        <f t="shared" si="1"/>
        <v>5.5071198853987799E-2</v>
      </c>
      <c r="G6" s="226">
        <v>105409</v>
      </c>
      <c r="H6" s="379">
        <f t="shared" si="2"/>
        <v>0.10678398555213725</v>
      </c>
      <c r="I6" s="380">
        <v>95239</v>
      </c>
    </row>
    <row r="7" spans="1:11" ht="12" customHeight="1" x14ac:dyDescent="0.2">
      <c r="A7" s="664" t="s">
        <v>201</v>
      </c>
      <c r="B7" s="665"/>
      <c r="C7" s="281">
        <f>1707+191</f>
        <v>1898</v>
      </c>
      <c r="D7" s="283">
        <f t="shared" si="0"/>
        <v>-1.3000520020800831E-2</v>
      </c>
      <c r="E7" s="226">
        <v>1923</v>
      </c>
      <c r="F7" s="379">
        <f t="shared" si="1"/>
        <v>-7.9022988505747127E-2</v>
      </c>
      <c r="G7" s="226">
        <v>2088</v>
      </c>
      <c r="H7" s="379">
        <f t="shared" si="2"/>
        <v>-0.19038386971694454</v>
      </c>
      <c r="I7" s="380">
        <v>2579</v>
      </c>
    </row>
    <row r="8" spans="1:11" ht="12" customHeight="1" x14ac:dyDescent="0.2">
      <c r="A8" s="666" t="s">
        <v>125</v>
      </c>
      <c r="B8" s="666"/>
      <c r="C8" s="281">
        <f>3825+36368</f>
        <v>40193</v>
      </c>
      <c r="D8" s="283">
        <f t="shared" si="0"/>
        <v>0.18086200311425801</v>
      </c>
      <c r="E8" s="226">
        <v>34037</v>
      </c>
      <c r="F8" s="379">
        <f t="shared" si="1"/>
        <v>2.8875335160140252E-3</v>
      </c>
      <c r="G8" s="226">
        <v>33939</v>
      </c>
      <c r="H8" s="379">
        <f t="shared" si="2"/>
        <v>0.16169775800102687</v>
      </c>
      <c r="I8" s="380">
        <v>29215</v>
      </c>
    </row>
    <row r="9" spans="1:11" s="428" customFormat="1" ht="12" customHeight="1" x14ac:dyDescent="0.2">
      <c r="A9" s="487" t="s">
        <v>393</v>
      </c>
      <c r="B9" s="487"/>
      <c r="C9" s="281">
        <v>26459</v>
      </c>
      <c r="D9" s="283">
        <f>(C9+C10-E10)/E10</f>
        <v>7.5249612039937921E-2</v>
      </c>
      <c r="E9" s="226"/>
      <c r="F9" s="379"/>
      <c r="G9" s="226"/>
      <c r="H9" s="379"/>
      <c r="I9" s="312"/>
    </row>
    <row r="10" spans="1:11" x14ac:dyDescent="0.2">
      <c r="A10" s="663" t="s">
        <v>202</v>
      </c>
      <c r="B10" s="663"/>
      <c r="C10" s="284">
        <f>506+9758</f>
        <v>10264</v>
      </c>
      <c r="D10" s="492"/>
      <c r="E10" s="380">
        <v>34153</v>
      </c>
      <c r="F10" s="379">
        <f t="shared" si="1"/>
        <v>5.3519649577395273E-2</v>
      </c>
      <c r="G10" s="380">
        <v>32418</v>
      </c>
      <c r="H10" s="379">
        <f t="shared" si="2"/>
        <v>7.5188219296209086E-2</v>
      </c>
      <c r="I10" s="380">
        <v>30151</v>
      </c>
    </row>
    <row r="11" spans="1:11" x14ac:dyDescent="0.2">
      <c r="A11" s="104" t="s">
        <v>9</v>
      </c>
      <c r="B11" s="278"/>
      <c r="C11" s="250">
        <f>C4+C8+C9+C10</f>
        <v>203788</v>
      </c>
      <c r="D11" s="285">
        <f>(C11-E11)/E11</f>
        <v>8.9903625025404055E-2</v>
      </c>
      <c r="E11" s="250">
        <f>E4+E8+E9+E10</f>
        <v>186978</v>
      </c>
      <c r="F11" s="285">
        <f>(E11-G11)/G11</f>
        <v>4.3811756824652485E-2</v>
      </c>
      <c r="G11" s="250">
        <f>G4+G8+G9+G10</f>
        <v>179130</v>
      </c>
      <c r="H11" s="285">
        <f>(G11-I11)/I11</f>
        <v>0.1047655464620736</v>
      </c>
      <c r="I11" s="250">
        <f>I4+I8+I10</f>
        <v>162143</v>
      </c>
    </row>
    <row r="12" spans="1:11" x14ac:dyDescent="0.2">
      <c r="A12" s="74"/>
      <c r="B12" s="74"/>
      <c r="C12" s="74"/>
      <c r="D12" s="74"/>
      <c r="E12" s="280"/>
      <c r="F12" s="74"/>
      <c r="G12" s="286"/>
      <c r="H12" s="287"/>
      <c r="I12" s="286"/>
    </row>
    <row r="13" spans="1:11" x14ac:dyDescent="0.2">
      <c r="A13" s="660" t="s">
        <v>765</v>
      </c>
      <c r="B13" s="661"/>
      <c r="C13" s="661"/>
      <c r="D13" s="661"/>
      <c r="E13" s="661"/>
      <c r="F13" s="661"/>
      <c r="G13" s="661"/>
      <c r="H13" s="661"/>
      <c r="I13" s="661"/>
    </row>
    <row r="14" spans="1:11" x14ac:dyDescent="0.2">
      <c r="A14" s="498" t="s">
        <v>766</v>
      </c>
      <c r="B14" s="498"/>
      <c r="C14" s="498"/>
      <c r="D14" s="498"/>
      <c r="E14" s="498"/>
      <c r="F14" s="498"/>
      <c r="G14" s="498"/>
      <c r="H14" s="498"/>
      <c r="I14" s="498"/>
    </row>
    <row r="16" spans="1:11" x14ac:dyDescent="0.2">
      <c r="A16" s="658"/>
      <c r="B16" s="659"/>
      <c r="C16" s="659"/>
      <c r="D16" s="659"/>
      <c r="E16" s="659"/>
      <c r="F16" s="659"/>
      <c r="G16" s="659"/>
      <c r="H16" s="659"/>
      <c r="I16" s="659"/>
    </row>
    <row r="17" spans="3:9" x14ac:dyDescent="0.2">
      <c r="C17" s="312"/>
      <c r="D17" s="187"/>
      <c r="E17" s="312"/>
      <c r="F17" s="187"/>
      <c r="G17" s="312"/>
      <c r="H17" s="187"/>
      <c r="I17" s="312"/>
    </row>
    <row r="18" spans="3:9" x14ac:dyDescent="0.2">
      <c r="C18" s="312"/>
      <c r="D18" s="187"/>
      <c r="E18" s="312"/>
      <c r="F18" s="187"/>
      <c r="G18" s="312"/>
      <c r="H18" s="187"/>
      <c r="I18" s="312"/>
    </row>
    <row r="19" spans="3:9" x14ac:dyDescent="0.2">
      <c r="C19" s="312"/>
      <c r="D19" s="187"/>
      <c r="E19" s="312"/>
      <c r="F19" s="187"/>
      <c r="G19" s="312"/>
      <c r="H19" s="187"/>
      <c r="I19" s="312"/>
    </row>
    <row r="20" spans="3:9" x14ac:dyDescent="0.2">
      <c r="C20" s="312"/>
      <c r="D20" s="187"/>
      <c r="E20" s="312"/>
      <c r="F20" s="187"/>
      <c r="G20" s="312"/>
      <c r="H20" s="187"/>
      <c r="I20" s="312"/>
    </row>
    <row r="21" spans="3:9" x14ac:dyDescent="0.2">
      <c r="C21" s="312"/>
      <c r="D21" s="187"/>
      <c r="E21" s="312"/>
      <c r="F21" s="187"/>
      <c r="G21" s="312"/>
      <c r="H21" s="187"/>
      <c r="I21" s="312"/>
    </row>
    <row r="22" spans="3:9" x14ac:dyDescent="0.2">
      <c r="C22" s="312"/>
      <c r="D22" s="187"/>
      <c r="E22" s="312"/>
      <c r="F22" s="187"/>
      <c r="G22" s="312"/>
      <c r="H22" s="187"/>
      <c r="I22" s="312"/>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46" max="16383" man="1"/>
  </rowBreaks>
  <colBreaks count="1" manualBreakCount="1">
    <brk id="1" max="1048575" man="1"/>
  </colBreaks>
  <ignoredErrors>
    <ignoredError sqref="C12 I4" formulaRange="1"/>
    <ignoredError sqref="D12:I12 G4 E4" formula="1" formulaRange="1"/>
    <ignoredError sqref="E11:G11 H11 F4 H4 D4 D11" formula="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6"/>
  <sheetViews>
    <sheetView zoomScaleNormal="100" workbookViewId="0">
      <selection activeCell="B14" sqref="B14"/>
    </sheetView>
  </sheetViews>
  <sheetFormatPr baseColWidth="10" defaultColWidth="11" defaultRowHeight="12" x14ac:dyDescent="0.2"/>
  <cols>
    <col min="1" max="1" width="39.75" style="21" customWidth="1"/>
    <col min="2" max="2" width="22.375" style="21" customWidth="1"/>
    <col min="3" max="4" width="10" style="21" customWidth="1"/>
    <col min="5" max="16384" width="11" style="21"/>
  </cols>
  <sheetData>
    <row r="1" spans="1:4" x14ac:dyDescent="0.2">
      <c r="A1" s="288" t="s">
        <v>241</v>
      </c>
      <c r="B1" s="289"/>
      <c r="C1" s="243"/>
      <c r="D1" s="17"/>
    </row>
    <row r="2" spans="1:4" x14ac:dyDescent="0.2">
      <c r="A2" s="17"/>
      <c r="B2" s="17"/>
      <c r="C2" s="17"/>
      <c r="D2" s="17"/>
    </row>
    <row r="3" spans="1:4" x14ac:dyDescent="0.2">
      <c r="A3" s="17"/>
      <c r="B3" s="17"/>
    </row>
    <row r="4" spans="1:4" ht="12.75" thickBot="1" x14ac:dyDescent="0.25">
      <c r="A4" s="1"/>
      <c r="B4" s="96" t="s">
        <v>99</v>
      </c>
      <c r="C4" s="2">
        <v>42004</v>
      </c>
      <c r="D4" s="3">
        <v>41639</v>
      </c>
    </row>
    <row r="5" spans="1:4" x14ac:dyDescent="0.2">
      <c r="A5" s="290" t="s">
        <v>100</v>
      </c>
      <c r="B5" s="21" t="s">
        <v>101</v>
      </c>
      <c r="C5" s="453">
        <v>10</v>
      </c>
      <c r="D5" s="453">
        <v>12</v>
      </c>
    </row>
    <row r="6" spans="1:4" x14ac:dyDescent="0.2">
      <c r="A6" s="290"/>
      <c r="B6" s="291" t="s">
        <v>144</v>
      </c>
      <c r="C6" s="22">
        <v>19</v>
      </c>
      <c r="D6" s="22">
        <v>25</v>
      </c>
    </row>
    <row r="7" spans="1:4" x14ac:dyDescent="0.2">
      <c r="A7" s="290"/>
      <c r="B7" s="291" t="s">
        <v>197</v>
      </c>
      <c r="C7" s="22">
        <v>25</v>
      </c>
      <c r="D7" s="22">
        <v>26</v>
      </c>
    </row>
    <row r="8" spans="1:4" x14ac:dyDescent="0.2">
      <c r="A8" s="290"/>
      <c r="B8" s="21" t="s">
        <v>281</v>
      </c>
      <c r="C8" s="453">
        <v>10</v>
      </c>
      <c r="D8" s="453">
        <v>10</v>
      </c>
    </row>
    <row r="9" spans="1:4" s="428" customFormat="1" x14ac:dyDescent="0.2">
      <c r="A9" s="290"/>
      <c r="B9" s="428" t="s">
        <v>347</v>
      </c>
      <c r="C9" s="453">
        <v>16</v>
      </c>
      <c r="D9" s="453">
        <v>8</v>
      </c>
    </row>
    <row r="10" spans="1:4" x14ac:dyDescent="0.2">
      <c r="A10" s="290"/>
      <c r="B10" s="292" t="s">
        <v>102</v>
      </c>
      <c r="C10" s="454">
        <f>77-10+2</f>
        <v>69</v>
      </c>
      <c r="D10" s="454">
        <f>67+11-8+1</f>
        <v>71</v>
      </c>
    </row>
    <row r="11" spans="1:4" x14ac:dyDescent="0.2">
      <c r="A11" s="293"/>
      <c r="B11" s="294"/>
      <c r="C11" s="295"/>
      <c r="D11" s="295"/>
    </row>
    <row r="12" spans="1:4" x14ac:dyDescent="0.2">
      <c r="A12" s="296" t="s">
        <v>119</v>
      </c>
      <c r="B12" s="297"/>
      <c r="C12" s="298">
        <f>SUM(C5:C11)</f>
        <v>149</v>
      </c>
      <c r="D12" s="299">
        <f>SUM(D5:D11)</f>
        <v>152</v>
      </c>
    </row>
    <row r="13" spans="1:4" x14ac:dyDescent="0.2">
      <c r="A13" s="290" t="s">
        <v>103</v>
      </c>
      <c r="B13" s="17" t="s">
        <v>158</v>
      </c>
      <c r="C13" s="235">
        <v>2</v>
      </c>
      <c r="D13" s="235">
        <v>2</v>
      </c>
    </row>
    <row r="14" spans="1:4" s="370" customFormat="1" x14ac:dyDescent="0.2">
      <c r="A14" s="290"/>
      <c r="B14" s="17" t="s">
        <v>159</v>
      </c>
      <c r="C14" s="235">
        <v>0</v>
      </c>
      <c r="D14" s="235">
        <v>352</v>
      </c>
    </row>
    <row r="15" spans="1:4" x14ac:dyDescent="0.2">
      <c r="A15" s="290"/>
      <c r="B15" s="17" t="s">
        <v>282</v>
      </c>
      <c r="C15" s="235">
        <v>137</v>
      </c>
      <c r="D15" s="235">
        <v>119</v>
      </c>
    </row>
    <row r="16" spans="1:4" x14ac:dyDescent="0.2">
      <c r="A16" s="296" t="s">
        <v>160</v>
      </c>
      <c r="B16" s="278"/>
      <c r="C16" s="250">
        <f>SUM(C13:C15)</f>
        <v>139</v>
      </c>
      <c r="D16" s="300">
        <f>SUM(D13:D15)</f>
        <v>473</v>
      </c>
    </row>
    <row r="17" spans="1:6" x14ac:dyDescent="0.2">
      <c r="A17" s="290" t="s">
        <v>104</v>
      </c>
      <c r="B17" s="17" t="s">
        <v>105</v>
      </c>
      <c r="C17" s="235">
        <v>3</v>
      </c>
      <c r="D17" s="235">
        <f>1+6</f>
        <v>7</v>
      </c>
    </row>
    <row r="18" spans="1:6" x14ac:dyDescent="0.2">
      <c r="A18" s="301" t="s">
        <v>9</v>
      </c>
      <c r="B18" s="278"/>
      <c r="C18" s="250">
        <f>+C12+C16+C17</f>
        <v>291</v>
      </c>
      <c r="D18" s="300">
        <f>+D12+D16+D17</f>
        <v>632</v>
      </c>
    </row>
    <row r="19" spans="1:6" x14ac:dyDescent="0.2">
      <c r="A19" s="302"/>
      <c r="C19" s="89"/>
      <c r="D19" s="89"/>
      <c r="F19" s="27"/>
    </row>
    <row r="20" spans="1:6" ht="53.25" customHeight="1" x14ac:dyDescent="0.2">
      <c r="A20" s="74" t="s">
        <v>106</v>
      </c>
      <c r="B20" s="74"/>
      <c r="C20" s="74"/>
      <c r="D20" s="74"/>
    </row>
    <row r="26" spans="1:6" x14ac:dyDescent="0.2">
      <c r="A26" s="17"/>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ignoredErrors>
    <ignoredError sqref="C12"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4"/>
  <sheetViews>
    <sheetView zoomScaleNormal="100" workbookViewId="0">
      <selection activeCell="A6" sqref="A6"/>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89" t="s">
        <v>742</v>
      </c>
      <c r="B1" s="289"/>
      <c r="C1" s="243"/>
    </row>
    <row r="2" spans="1:6" x14ac:dyDescent="0.2">
      <c r="A2" s="17" t="s">
        <v>184</v>
      </c>
      <c r="B2" s="242"/>
      <c r="C2" s="17"/>
    </row>
    <row r="3" spans="1:6" x14ac:dyDescent="0.2">
      <c r="A3" s="303"/>
      <c r="B3" s="242"/>
      <c r="C3" s="17"/>
    </row>
    <row r="4" spans="1:6" ht="60.75" customHeight="1" thickBot="1" x14ac:dyDescent="0.25">
      <c r="A4" s="81">
        <v>2014</v>
      </c>
      <c r="B4" s="131" t="s">
        <v>168</v>
      </c>
      <c r="C4" s="131" t="s">
        <v>169</v>
      </c>
      <c r="D4" s="131" t="s">
        <v>359</v>
      </c>
      <c r="E4" s="131" t="s">
        <v>360</v>
      </c>
      <c r="F4" s="131" t="s">
        <v>107</v>
      </c>
    </row>
    <row r="5" spans="1:6" x14ac:dyDescent="0.2">
      <c r="A5" s="110" t="s">
        <v>100</v>
      </c>
      <c r="B5" s="214">
        <v>149</v>
      </c>
      <c r="C5" s="214">
        <v>149</v>
      </c>
      <c r="D5" s="214">
        <v>7</v>
      </c>
      <c r="E5" s="214">
        <v>-19</v>
      </c>
      <c r="F5" s="304">
        <v>0</v>
      </c>
    </row>
    <row r="6" spans="1:6" x14ac:dyDescent="0.2">
      <c r="A6" s="110" t="s">
        <v>103</v>
      </c>
      <c r="B6" s="214">
        <v>139</v>
      </c>
      <c r="C6" s="214">
        <v>139</v>
      </c>
      <c r="D6" s="305">
        <v>257</v>
      </c>
      <c r="E6" s="305">
        <v>18</v>
      </c>
      <c r="F6" s="461">
        <v>59</v>
      </c>
    </row>
    <row r="7" spans="1:6" x14ac:dyDescent="0.2">
      <c r="A7" s="111" t="s">
        <v>120</v>
      </c>
      <c r="B7" s="214">
        <v>3</v>
      </c>
      <c r="C7" s="214">
        <v>3</v>
      </c>
      <c r="D7" s="214">
        <v>0</v>
      </c>
      <c r="E7" s="214">
        <v>0</v>
      </c>
      <c r="F7" s="214">
        <v>0</v>
      </c>
    </row>
    <row r="8" spans="1:6" x14ac:dyDescent="0.2">
      <c r="A8" s="92" t="s">
        <v>9</v>
      </c>
      <c r="B8" s="185">
        <f>SUM(B5:B7)</f>
        <v>291</v>
      </c>
      <c r="C8" s="185">
        <f>SUM(C5:C7)</f>
        <v>291</v>
      </c>
      <c r="D8" s="421">
        <f>SUM(D5:D7)</f>
        <v>264</v>
      </c>
      <c r="E8" s="421">
        <f>SUM(E5:E7)</f>
        <v>-1</v>
      </c>
      <c r="F8" s="421">
        <f>SUM(F5:F7)</f>
        <v>59</v>
      </c>
    </row>
    <row r="9" spans="1:6" x14ac:dyDescent="0.2">
      <c r="A9" s="242"/>
      <c r="B9" s="242"/>
      <c r="C9" s="17"/>
    </row>
    <row r="10" spans="1:6" ht="64.5" customHeight="1" thickBot="1" x14ac:dyDescent="0.25">
      <c r="A10" s="81">
        <v>2013</v>
      </c>
      <c r="B10" s="131"/>
      <c r="C10" s="131"/>
      <c r="D10" s="131"/>
      <c r="E10" s="131"/>
      <c r="F10" s="131"/>
    </row>
    <row r="11" spans="1:6" x14ac:dyDescent="0.2">
      <c r="A11" s="110" t="s">
        <v>100</v>
      </c>
      <c r="B11" s="214">
        <v>152</v>
      </c>
      <c r="C11" s="214">
        <v>152</v>
      </c>
      <c r="D11" s="214">
        <v>25</v>
      </c>
      <c r="E11" s="214">
        <v>-16</v>
      </c>
      <c r="F11" s="304">
        <v>0</v>
      </c>
    </row>
    <row r="12" spans="1:6" x14ac:dyDescent="0.2">
      <c r="A12" s="110" t="s">
        <v>103</v>
      </c>
      <c r="B12" s="214">
        <v>473</v>
      </c>
      <c r="C12" s="214">
        <v>473</v>
      </c>
      <c r="D12" s="305">
        <v>0</v>
      </c>
      <c r="E12" s="305">
        <v>24</v>
      </c>
      <c r="F12" s="461">
        <v>162</v>
      </c>
    </row>
    <row r="13" spans="1:6" x14ac:dyDescent="0.2">
      <c r="A13" s="111" t="s">
        <v>120</v>
      </c>
      <c r="B13" s="214">
        <v>7</v>
      </c>
      <c r="C13" s="214">
        <v>7</v>
      </c>
      <c r="D13" s="214">
        <v>1</v>
      </c>
      <c r="E13" s="214">
        <v>0</v>
      </c>
      <c r="F13" s="214">
        <v>0</v>
      </c>
    </row>
    <row r="14" spans="1:6" x14ac:dyDescent="0.2">
      <c r="A14" s="92" t="s">
        <v>9</v>
      </c>
      <c r="B14" s="185">
        <f>SUM(B11:B13)</f>
        <v>632</v>
      </c>
      <c r="C14" s="185">
        <f>SUM(C11:C13)</f>
        <v>632</v>
      </c>
      <c r="D14" s="185">
        <f>SUM(D11:D13)</f>
        <v>26</v>
      </c>
      <c r="E14" s="185">
        <f>SUM(E11:E13)</f>
        <v>8</v>
      </c>
      <c r="F14" s="185">
        <f>SUM(F11:F13)</f>
        <v>162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G50" sqref="G50"/>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42" t="s">
        <v>243</v>
      </c>
      <c r="B1" s="242"/>
      <c r="C1" s="17"/>
      <c r="D1" s="17"/>
    </row>
    <row r="2" spans="1:4" x14ac:dyDescent="0.2">
      <c r="A2" s="242"/>
      <c r="B2" s="242"/>
      <c r="C2" s="17"/>
      <c r="D2" s="17"/>
    </row>
    <row r="3" spans="1:4" ht="24.75" thickBot="1" x14ac:dyDescent="0.25">
      <c r="A3" s="327" t="s">
        <v>162</v>
      </c>
      <c r="B3" s="306" t="s">
        <v>361</v>
      </c>
      <c r="C3" s="307" t="s">
        <v>278</v>
      </c>
      <c r="D3" s="17"/>
    </row>
    <row r="4" spans="1:4" x14ac:dyDescent="0.2">
      <c r="A4" s="17" t="s">
        <v>69</v>
      </c>
      <c r="B4" s="215">
        <v>288</v>
      </c>
      <c r="C4" s="214">
        <v>625</v>
      </c>
      <c r="D4" s="109"/>
    </row>
    <row r="5" spans="1:4" x14ac:dyDescent="0.2">
      <c r="A5" s="17" t="s">
        <v>70</v>
      </c>
      <c r="B5" s="215">
        <v>0</v>
      </c>
      <c r="C5" s="214">
        <v>0</v>
      </c>
      <c r="D5" s="109"/>
    </row>
    <row r="6" spans="1:4" x14ac:dyDescent="0.2">
      <c r="A6" s="17" t="s">
        <v>39</v>
      </c>
      <c r="B6" s="215">
        <v>3</v>
      </c>
      <c r="C6" s="214">
        <v>7</v>
      </c>
      <c r="D6" s="109"/>
    </row>
    <row r="7" spans="1:4" x14ac:dyDescent="0.2">
      <c r="A7" s="104" t="s">
        <v>9</v>
      </c>
      <c r="B7" s="308">
        <f>SUM(B4:B6)</f>
        <v>291</v>
      </c>
      <c r="C7" s="309">
        <f>SUM(C4:C6)</f>
        <v>632</v>
      </c>
      <c r="D7" s="109"/>
    </row>
    <row r="8" spans="1:4" x14ac:dyDescent="0.2">
      <c r="D8" s="10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G50" sqref="G50"/>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94" t="s">
        <v>362</v>
      </c>
    </row>
    <row r="3" spans="1:5" ht="26.25" x14ac:dyDescent="0.2">
      <c r="A3" s="668" t="s">
        <v>162</v>
      </c>
      <c r="B3" s="668"/>
      <c r="C3" s="670" t="s">
        <v>108</v>
      </c>
      <c r="D3" s="463" t="s">
        <v>364</v>
      </c>
      <c r="E3" s="464" t="s">
        <v>365</v>
      </c>
    </row>
    <row r="4" spans="1:5" ht="12.75" thickBot="1" x14ac:dyDescent="0.25">
      <c r="A4" s="669"/>
      <c r="B4" s="669"/>
      <c r="C4" s="671"/>
      <c r="D4" s="310"/>
      <c r="E4" s="311"/>
    </row>
    <row r="5" spans="1:5" ht="14.25" x14ac:dyDescent="0.2">
      <c r="A5" s="667" t="s">
        <v>366</v>
      </c>
      <c r="B5" s="667"/>
      <c r="C5" s="480">
        <f>159390+43741+1980-212</f>
        <v>204899</v>
      </c>
      <c r="D5" s="194">
        <v>3227</v>
      </c>
      <c r="E5" s="194">
        <v>1138</v>
      </c>
    </row>
    <row r="6" spans="1:5" s="428" customFormat="1" x14ac:dyDescent="0.2">
      <c r="A6" s="460" t="s">
        <v>363</v>
      </c>
      <c r="B6" s="460"/>
      <c r="C6" s="194"/>
      <c r="D6" s="194">
        <v>1127</v>
      </c>
      <c r="E6" s="194"/>
    </row>
    <row r="7" spans="1:5" ht="12.75" customHeight="1" x14ac:dyDescent="0.2">
      <c r="A7" s="296" t="s">
        <v>181</v>
      </c>
      <c r="B7" s="126"/>
      <c r="C7" s="313">
        <f>SUM(C5:C6)</f>
        <v>204899</v>
      </c>
      <c r="D7" s="313">
        <f>SUM(D5:D6)</f>
        <v>4354</v>
      </c>
      <c r="E7" s="314">
        <f>SUM(E5:E6)</f>
        <v>1138</v>
      </c>
    </row>
    <row r="10" spans="1:5" ht="14.25" x14ac:dyDescent="0.2">
      <c r="A10" s="462" t="s">
        <v>383</v>
      </c>
      <c r="B10" s="462"/>
      <c r="C10" s="462"/>
      <c r="D10" s="462"/>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enableFormatConditionsCalculation="0">
    <pageSetUpPr fitToPage="1"/>
  </sheetPr>
  <dimension ref="A1:L43"/>
  <sheetViews>
    <sheetView showGridLines="0" zoomScaleNormal="100" workbookViewId="0">
      <selection activeCell="G50" sqref="G50"/>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42" t="s">
        <v>743</v>
      </c>
      <c r="B1" s="405"/>
      <c r="C1" s="405"/>
      <c r="D1" s="406"/>
      <c r="E1" s="406"/>
      <c r="F1" s="407"/>
      <c r="G1" s="408"/>
      <c r="H1" s="408"/>
    </row>
    <row r="2" spans="1:12" ht="13.5" customHeight="1" x14ac:dyDescent="0.2">
      <c r="A2" s="242" t="s">
        <v>744</v>
      </c>
      <c r="B2" s="405"/>
      <c r="C2" s="405"/>
      <c r="D2" s="406"/>
      <c r="E2" s="406"/>
      <c r="F2" s="407"/>
      <c r="G2" s="408"/>
      <c r="H2" s="408"/>
    </row>
    <row r="3" spans="1:12" ht="12.75" x14ac:dyDescent="0.2">
      <c r="A3" s="406"/>
      <c r="B3" s="672"/>
      <c r="C3" s="672"/>
      <c r="D3" s="408"/>
      <c r="E3" s="382"/>
      <c r="F3" s="381"/>
      <c r="G3" s="381"/>
      <c r="H3" s="381"/>
      <c r="I3" s="381"/>
      <c r="J3" s="178"/>
      <c r="K3" s="178"/>
      <c r="L3" s="178"/>
    </row>
    <row r="4" spans="1:12" ht="13.5" thickBot="1" x14ac:dyDescent="0.25">
      <c r="A4" s="505"/>
      <c r="B4" s="315">
        <v>42004</v>
      </c>
      <c r="C4" s="316">
        <v>41639</v>
      </c>
      <c r="D4" s="408"/>
    </row>
    <row r="5" spans="1:12" ht="12.75" x14ac:dyDescent="0.2">
      <c r="A5" s="317" t="s">
        <v>283</v>
      </c>
      <c r="B5" s="414">
        <v>-20</v>
      </c>
      <c r="C5" s="409">
        <v>-27.625006410000005</v>
      </c>
      <c r="D5" s="408"/>
    </row>
    <row r="6" spans="1:12" ht="12.75" x14ac:dyDescent="0.2">
      <c r="A6" s="317" t="s">
        <v>284</v>
      </c>
      <c r="B6" s="414">
        <v>-13</v>
      </c>
      <c r="C6" s="409">
        <v>-15.272974070000469</v>
      </c>
      <c r="D6" s="408"/>
    </row>
    <row r="7" spans="1:12" ht="12.75" x14ac:dyDescent="0.2">
      <c r="A7" s="317" t="s">
        <v>285</v>
      </c>
      <c r="B7" s="414">
        <v>-79</v>
      </c>
      <c r="C7" s="409">
        <v>-57.250832159999995</v>
      </c>
      <c r="D7" s="408"/>
    </row>
    <row r="8" spans="1:12" ht="12.75" x14ac:dyDescent="0.2">
      <c r="A8" s="317" t="s">
        <v>286</v>
      </c>
      <c r="B8" s="414">
        <v>92</v>
      </c>
      <c r="C8" s="409">
        <v>103.92757938</v>
      </c>
      <c r="D8" s="408"/>
    </row>
    <row r="9" spans="1:12" ht="12.75" x14ac:dyDescent="0.2">
      <c r="A9" s="317" t="s">
        <v>287</v>
      </c>
      <c r="B9" s="414">
        <v>2</v>
      </c>
      <c r="C9" s="409">
        <v>-1.4109614700000093</v>
      </c>
      <c r="D9" s="408"/>
    </row>
    <row r="10" spans="1:12" ht="12.75" x14ac:dyDescent="0.2">
      <c r="A10" s="412" t="s">
        <v>288</v>
      </c>
      <c r="B10" s="413">
        <f>SUM(B5:B9)</f>
        <v>-18</v>
      </c>
      <c r="C10" s="459">
        <f>SUM(C5:C9)</f>
        <v>2.3678052699995167</v>
      </c>
      <c r="D10" s="408"/>
    </row>
    <row r="11" spans="1:12" ht="12.75" x14ac:dyDescent="0.2">
      <c r="A11" s="317"/>
      <c r="B11" s="414"/>
      <c r="C11" s="409"/>
      <c r="D11" s="408"/>
    </row>
    <row r="12" spans="1:12" ht="12.75" x14ac:dyDescent="0.2">
      <c r="A12" s="317"/>
      <c r="B12" s="414"/>
      <c r="C12" s="409"/>
      <c r="D12" s="408"/>
    </row>
    <row r="13" spans="1:12" ht="12.75" x14ac:dyDescent="0.2">
      <c r="A13" s="317"/>
      <c r="B13" s="414"/>
      <c r="C13" s="409"/>
      <c r="D13" s="408"/>
    </row>
    <row r="14" spans="1:12" ht="12.75" x14ac:dyDescent="0.2">
      <c r="A14" s="317" t="s">
        <v>289</v>
      </c>
      <c r="B14" s="414"/>
      <c r="C14" s="409"/>
      <c r="D14" s="408"/>
    </row>
    <row r="15" spans="1:12" ht="12.75" x14ac:dyDescent="0.2">
      <c r="A15" s="317" t="s">
        <v>290</v>
      </c>
      <c r="B15" s="414">
        <v>-25</v>
      </c>
      <c r="C15" s="409">
        <v>-6.562608109999986</v>
      </c>
      <c r="D15" s="408"/>
    </row>
    <row r="16" spans="1:12" ht="12.75" x14ac:dyDescent="0.2">
      <c r="A16" s="317" t="s">
        <v>291</v>
      </c>
      <c r="B16" s="414">
        <v>-10</v>
      </c>
      <c r="C16" s="409">
        <v>3.629363549999999</v>
      </c>
      <c r="D16" s="408"/>
    </row>
    <row r="17" spans="1:4" ht="12.75" x14ac:dyDescent="0.2">
      <c r="A17" s="317" t="s">
        <v>292</v>
      </c>
      <c r="B17" s="414">
        <v>6</v>
      </c>
      <c r="C17" s="409">
        <v>2.8685793800000061</v>
      </c>
      <c r="D17" s="408"/>
    </row>
    <row r="18" spans="1:4" ht="12.75" x14ac:dyDescent="0.2">
      <c r="A18" s="317" t="s">
        <v>293</v>
      </c>
      <c r="B18" s="414">
        <v>7</v>
      </c>
      <c r="C18" s="409">
        <v>8.8610251900000065</v>
      </c>
      <c r="D18" s="408"/>
    </row>
    <row r="19" spans="1:4" ht="12.75" x14ac:dyDescent="0.2">
      <c r="A19" s="317" t="s">
        <v>294</v>
      </c>
      <c r="B19" s="414">
        <v>3</v>
      </c>
      <c r="C19" s="409">
        <v>1.5791731499999888</v>
      </c>
      <c r="D19" s="408"/>
    </row>
    <row r="20" spans="1:4" ht="12.75" x14ac:dyDescent="0.2">
      <c r="A20" s="317" t="s">
        <v>295</v>
      </c>
      <c r="B20" s="414">
        <v>6</v>
      </c>
      <c r="C20" s="409">
        <v>-1.6769832699999976</v>
      </c>
      <c r="D20" s="408"/>
    </row>
    <row r="21" spans="1:4" ht="12.75" x14ac:dyDescent="0.2">
      <c r="A21" s="317" t="s">
        <v>296</v>
      </c>
      <c r="B21" s="414">
        <v>-6</v>
      </c>
      <c r="C21" s="409">
        <v>-6.0040469799999814</v>
      </c>
      <c r="D21" s="408"/>
    </row>
    <row r="22" spans="1:4" ht="12.75" x14ac:dyDescent="0.2">
      <c r="A22" s="318" t="s">
        <v>297</v>
      </c>
      <c r="B22" s="411">
        <v>1</v>
      </c>
      <c r="C22" s="410">
        <v>-0.32669763999999929</v>
      </c>
      <c r="D22" s="408"/>
    </row>
    <row r="23" spans="1:4" ht="12.75" x14ac:dyDescent="0.2">
      <c r="A23" s="412" t="s">
        <v>288</v>
      </c>
      <c r="B23" s="413">
        <f t="shared" ref="B23" si="0">SUM(B15:B22)</f>
        <v>-18</v>
      </c>
      <c r="C23" s="459">
        <f t="shared" ref="C23" si="1">SUM(C15:C22)</f>
        <v>2.3678052700000358</v>
      </c>
      <c r="D23" s="408"/>
    </row>
    <row r="24" spans="1:4" ht="12.75" x14ac:dyDescent="0.2">
      <c r="A24" s="317"/>
      <c r="B24" s="414"/>
      <c r="C24" s="409"/>
      <c r="D24" s="408"/>
    </row>
    <row r="25" spans="1:4" ht="12.75" x14ac:dyDescent="0.2">
      <c r="A25" s="317"/>
      <c r="B25" s="414"/>
      <c r="C25" s="409"/>
      <c r="D25" s="408"/>
    </row>
    <row r="26" spans="1:4" ht="12.75" x14ac:dyDescent="0.2">
      <c r="A26" s="317"/>
      <c r="B26" s="414"/>
      <c r="C26" s="409"/>
      <c r="D26" s="408"/>
    </row>
    <row r="27" spans="1:4" ht="12.75" x14ac:dyDescent="0.2">
      <c r="A27" s="317" t="s">
        <v>289</v>
      </c>
      <c r="B27" s="414"/>
      <c r="C27" s="409"/>
      <c r="D27" s="408"/>
    </row>
    <row r="28" spans="1:4" ht="12.75" x14ac:dyDescent="0.2">
      <c r="A28" s="317" t="s">
        <v>129</v>
      </c>
      <c r="B28" s="414">
        <v>-14</v>
      </c>
      <c r="C28" s="409">
        <v>-3.9101249799999933</v>
      </c>
      <c r="D28" s="408"/>
    </row>
    <row r="29" spans="1:4" ht="12.75" x14ac:dyDescent="0.2">
      <c r="A29" s="317" t="s">
        <v>130</v>
      </c>
      <c r="B29" s="414">
        <v>-1</v>
      </c>
      <c r="C29" s="409">
        <v>9.055224999999913</v>
      </c>
      <c r="D29" s="408"/>
    </row>
    <row r="30" spans="1:4" ht="12.75" x14ac:dyDescent="0.2">
      <c r="A30" s="317" t="s">
        <v>131</v>
      </c>
      <c r="B30" s="414">
        <v>-8</v>
      </c>
      <c r="C30" s="409">
        <v>-2.6454088100000024</v>
      </c>
      <c r="D30" s="408"/>
    </row>
    <row r="31" spans="1:4" ht="12.75" x14ac:dyDescent="0.2">
      <c r="A31" s="317" t="s">
        <v>298</v>
      </c>
      <c r="B31" s="414">
        <v>6</v>
      </c>
      <c r="C31" s="409">
        <v>0.67372764999999701</v>
      </c>
      <c r="D31" s="408"/>
    </row>
    <row r="32" spans="1:4" ht="12.75" x14ac:dyDescent="0.2">
      <c r="A32" s="317" t="s">
        <v>39</v>
      </c>
      <c r="B32" s="414">
        <v>-1</v>
      </c>
      <c r="C32" s="409">
        <v>-0.80561358999999699</v>
      </c>
      <c r="D32" s="408"/>
    </row>
    <row r="33" spans="1:9" ht="12.75" x14ac:dyDescent="0.2">
      <c r="A33" s="412" t="s">
        <v>288</v>
      </c>
      <c r="B33" s="413">
        <f t="shared" ref="B33" si="2">SUM(B28:B32)</f>
        <v>-18</v>
      </c>
      <c r="C33" s="459">
        <f t="shared" ref="C33" si="3">SUM(C28:C32)</f>
        <v>2.3678052699999168</v>
      </c>
      <c r="D33" s="408"/>
    </row>
    <row r="35" spans="1:9" x14ac:dyDescent="0.2">
      <c r="A35" s="317"/>
    </row>
    <row r="36" spans="1:9" ht="12.75" x14ac:dyDescent="0.2">
      <c r="A36" s="317" t="s">
        <v>299</v>
      </c>
      <c r="B36" s="317"/>
      <c r="C36" s="317"/>
      <c r="D36" s="317"/>
      <c r="E36" s="317"/>
      <c r="F36" s="404"/>
      <c r="G36" s="404"/>
      <c r="H36" s="404"/>
      <c r="I36" s="404"/>
    </row>
    <row r="37" spans="1:9" ht="12.75" x14ac:dyDescent="0.2">
      <c r="A37" s="317" t="s">
        <v>300</v>
      </c>
      <c r="B37" s="317"/>
      <c r="C37" s="317"/>
      <c r="D37" s="317"/>
      <c r="E37" s="317"/>
      <c r="F37" s="404"/>
      <c r="G37" s="404"/>
      <c r="H37" s="404"/>
      <c r="I37" s="404"/>
    </row>
    <row r="38" spans="1:9" ht="12.75" x14ac:dyDescent="0.2">
      <c r="A38" s="317" t="s">
        <v>301</v>
      </c>
      <c r="B38" s="317"/>
      <c r="C38" s="317"/>
      <c r="D38" s="317"/>
      <c r="E38" s="317"/>
      <c r="F38" s="404"/>
      <c r="G38" s="404"/>
      <c r="H38" s="404"/>
      <c r="I38" s="404"/>
    </row>
    <row r="39" spans="1:9" ht="12.75" x14ac:dyDescent="0.2">
      <c r="A39" s="317"/>
      <c r="B39" s="317"/>
      <c r="C39" s="317"/>
      <c r="D39" s="317"/>
      <c r="E39" s="317"/>
      <c r="F39" s="404"/>
      <c r="G39" s="404"/>
      <c r="H39" s="404"/>
      <c r="I39" s="404"/>
    </row>
    <row r="40" spans="1:9" ht="12.75" x14ac:dyDescent="0.2">
      <c r="A40" s="317" t="s">
        <v>302</v>
      </c>
      <c r="B40" s="317"/>
      <c r="C40" s="317"/>
      <c r="D40" s="317"/>
      <c r="E40" s="317"/>
      <c r="F40" s="404"/>
      <c r="G40" s="404"/>
      <c r="H40" s="404"/>
      <c r="I40" s="404"/>
    </row>
    <row r="41" spans="1:9" ht="12.75" x14ac:dyDescent="0.2">
      <c r="A41" s="317" t="s">
        <v>358</v>
      </c>
      <c r="B41" s="317"/>
      <c r="C41" s="317"/>
      <c r="D41" s="317"/>
      <c r="E41" s="317"/>
      <c r="F41" s="404"/>
      <c r="G41" s="404"/>
      <c r="H41" s="404"/>
      <c r="I41" s="404"/>
    </row>
    <row r="42" spans="1:9" ht="12.75" x14ac:dyDescent="0.2">
      <c r="A42" s="317" t="s">
        <v>303</v>
      </c>
      <c r="B42" s="317"/>
      <c r="C42" s="317"/>
      <c r="D42" s="317"/>
      <c r="E42" s="317"/>
      <c r="F42" s="404"/>
      <c r="G42" s="404"/>
      <c r="H42" s="404"/>
      <c r="I42" s="404"/>
    </row>
    <row r="43" spans="1:9" x14ac:dyDescent="0.2">
      <c r="A43" s="317"/>
      <c r="B43" s="317"/>
      <c r="C43" s="317"/>
      <c r="D43" s="317"/>
      <c r="E43" s="317"/>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G50" sqref="G50"/>
    </sheetView>
  </sheetViews>
  <sheetFormatPr baseColWidth="10" defaultColWidth="11" defaultRowHeight="12" x14ac:dyDescent="0.2"/>
  <cols>
    <col min="1" max="1" width="23.125" style="319" customWidth="1"/>
    <col min="2" max="2" width="9.5" style="319" customWidth="1"/>
    <col min="3" max="3" width="10.25" style="319" customWidth="1"/>
    <col min="4" max="4" width="11.25" style="319" customWidth="1"/>
    <col min="5" max="5" width="17.375" style="319" customWidth="1"/>
    <col min="6" max="6" width="10.625" style="319" customWidth="1"/>
    <col min="7" max="7" width="11.625" style="319" customWidth="1"/>
    <col min="8" max="16384" width="11" style="319"/>
  </cols>
  <sheetData>
    <row r="1" spans="1:7" x14ac:dyDescent="0.2">
      <c r="A1" s="108" t="s">
        <v>178</v>
      </c>
      <c r="B1" s="108"/>
      <c r="C1" s="108"/>
      <c r="D1" s="108"/>
      <c r="E1" s="108"/>
      <c r="F1" s="109"/>
    </row>
    <row r="2" spans="1:7" ht="14.25" x14ac:dyDescent="0.2">
      <c r="A2" s="110" t="s">
        <v>122</v>
      </c>
      <c r="B2" s="110"/>
      <c r="C2" s="110"/>
      <c r="D2" s="440"/>
      <c r="E2" s="110"/>
      <c r="F2" s="109"/>
    </row>
    <row r="3" spans="1:7" x14ac:dyDescent="0.2">
      <c r="A3" s="110" t="s">
        <v>175</v>
      </c>
      <c r="B3" s="110"/>
      <c r="C3" s="110"/>
      <c r="D3" s="110"/>
      <c r="E3" s="110"/>
      <c r="F3" s="109"/>
    </row>
    <row r="4" spans="1:7" x14ac:dyDescent="0.2">
      <c r="A4" s="632" t="s">
        <v>353</v>
      </c>
      <c r="B4" s="632"/>
      <c r="C4" s="632"/>
      <c r="D4" s="632"/>
      <c r="E4" s="632"/>
      <c r="F4" s="109"/>
    </row>
    <row r="5" spans="1:7" x14ac:dyDescent="0.2">
      <c r="A5" s="109" t="s">
        <v>352</v>
      </c>
      <c r="B5" s="111"/>
      <c r="C5" s="111"/>
      <c r="D5" s="112"/>
      <c r="E5" s="109"/>
      <c r="F5" s="109"/>
    </row>
    <row r="6" spans="1:7" x14ac:dyDescent="0.2">
      <c r="A6" s="109"/>
      <c r="B6" s="111"/>
      <c r="C6" s="111"/>
      <c r="D6" s="112"/>
      <c r="E6" s="109"/>
      <c r="F6" s="109"/>
    </row>
    <row r="7" spans="1:7" x14ac:dyDescent="0.2">
      <c r="A7" s="109"/>
      <c r="B7" s="111"/>
      <c r="C7" s="111"/>
      <c r="D7" s="112"/>
      <c r="E7" s="109"/>
      <c r="F7" s="109"/>
    </row>
    <row r="8" spans="1:7" x14ac:dyDescent="0.2">
      <c r="A8" s="108" t="s">
        <v>179</v>
      </c>
      <c r="B8" s="111"/>
      <c r="C8" s="111"/>
      <c r="D8" s="112"/>
      <c r="E8" s="109"/>
      <c r="F8" s="109"/>
      <c r="G8" s="438"/>
    </row>
    <row r="9" spans="1:7" x14ac:dyDescent="0.2">
      <c r="A9" s="110" t="s">
        <v>315</v>
      </c>
      <c r="B9" s="110"/>
      <c r="C9" s="110"/>
      <c r="D9" s="110"/>
      <c r="E9" s="110"/>
      <c r="F9" s="109"/>
      <c r="G9" s="438"/>
    </row>
    <row r="10" spans="1:7" s="428" customFormat="1" x14ac:dyDescent="0.2">
      <c r="A10" s="110" t="s">
        <v>333</v>
      </c>
      <c r="B10" s="110"/>
      <c r="C10" s="110"/>
      <c r="D10" s="110"/>
      <c r="E10" s="110"/>
      <c r="F10" s="109"/>
      <c r="G10" s="438"/>
    </row>
    <row r="11" spans="1:7" s="428" customFormat="1" x14ac:dyDescent="0.2">
      <c r="A11" s="109"/>
      <c r="B11" s="111"/>
      <c r="C11" s="111"/>
      <c r="D11" s="112"/>
      <c r="E11" s="109"/>
      <c r="F11" s="109"/>
      <c r="G11" s="438"/>
    </row>
    <row r="13" spans="1:7" x14ac:dyDescent="0.2">
      <c r="A13" s="457" t="s">
        <v>178</v>
      </c>
      <c r="B13" s="452"/>
      <c r="C13" s="452"/>
    </row>
    <row r="15" spans="1:7" ht="39" thickBot="1" x14ac:dyDescent="0.25">
      <c r="A15" s="96" t="s">
        <v>163</v>
      </c>
      <c r="B15" s="113" t="s">
        <v>334</v>
      </c>
      <c r="C15" s="113" t="s">
        <v>335</v>
      </c>
      <c r="D15" s="113" t="s">
        <v>336</v>
      </c>
      <c r="E15" s="114" t="s">
        <v>275</v>
      </c>
      <c r="F15" s="114" t="s">
        <v>354</v>
      </c>
      <c r="G15" s="114" t="s">
        <v>276</v>
      </c>
    </row>
    <row r="16" spans="1:7" ht="14.25" x14ac:dyDescent="0.2">
      <c r="A16" s="319" t="s">
        <v>319</v>
      </c>
      <c r="B16" s="442">
        <v>21.39</v>
      </c>
      <c r="C16" s="22">
        <v>15019</v>
      </c>
      <c r="D16" s="441">
        <v>14.09</v>
      </c>
      <c r="E16" s="115">
        <v>26.21</v>
      </c>
      <c r="F16" s="89">
        <v>20225</v>
      </c>
      <c r="G16" s="116">
        <v>10.210000000000001</v>
      </c>
    </row>
    <row r="17" spans="1:7" x14ac:dyDescent="0.2">
      <c r="A17" s="319" t="s">
        <v>145</v>
      </c>
      <c r="B17" s="442">
        <v>26.8</v>
      </c>
      <c r="C17" s="22">
        <v>4486</v>
      </c>
      <c r="D17" s="441">
        <v>13.97</v>
      </c>
      <c r="E17" s="115">
        <v>27.27</v>
      </c>
      <c r="F17" s="89">
        <v>4075</v>
      </c>
      <c r="G17" s="116">
        <v>14.87</v>
      </c>
    </row>
    <row r="18" spans="1:7" ht="14.25" x14ac:dyDescent="0.2">
      <c r="A18" s="24" t="s">
        <v>318</v>
      </c>
      <c r="B18" s="445">
        <v>24.15</v>
      </c>
      <c r="C18" s="26">
        <v>5183</v>
      </c>
      <c r="D18" s="118">
        <v>19.68</v>
      </c>
      <c r="E18" s="117">
        <v>23.5</v>
      </c>
      <c r="F18" s="26">
        <v>6687</v>
      </c>
      <c r="G18" s="118">
        <v>15.44</v>
      </c>
    </row>
    <row r="19" spans="1:7" x14ac:dyDescent="0.2">
      <c r="B19" s="89"/>
      <c r="C19" s="89"/>
    </row>
    <row r="20" spans="1:7" s="428" customFormat="1" ht="14.25" x14ac:dyDescent="0.2">
      <c r="A20" s="119" t="s">
        <v>317</v>
      </c>
      <c r="B20" s="89"/>
      <c r="C20" s="89"/>
    </row>
    <row r="21" spans="1:7" ht="14.25" x14ac:dyDescent="0.2">
      <c r="A21" s="119" t="s">
        <v>373</v>
      </c>
      <c r="B21" s="89"/>
      <c r="C21" s="89"/>
    </row>
    <row r="23" spans="1:7" x14ac:dyDescent="0.2">
      <c r="A23" s="437" t="s">
        <v>313</v>
      </c>
      <c r="B23" s="437"/>
      <c r="C23" s="437"/>
      <c r="D23" s="437"/>
      <c r="E23" s="437"/>
    </row>
    <row r="24" spans="1:7" x14ac:dyDescent="0.2">
      <c r="A24" s="319" t="s">
        <v>314</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zoomScaleNormal="100" workbookViewId="0">
      <selection activeCell="Q5" sqref="Q5"/>
    </sheetView>
  </sheetViews>
  <sheetFormatPr baseColWidth="10" defaultRowHeight="12.75" x14ac:dyDescent="0.2"/>
  <cols>
    <col min="1" max="1" width="4.375" style="499" customWidth="1"/>
    <col min="2" max="2" width="74" style="499" customWidth="1"/>
    <col min="3" max="4" width="68.75" style="499" customWidth="1"/>
    <col min="5" max="5" width="19" style="499" customWidth="1"/>
    <col min="6" max="7" width="22.125" style="499" customWidth="1"/>
    <col min="8" max="8" width="3.75" style="499" customWidth="1"/>
    <col min="9" max="9" width="40.75" style="499" customWidth="1"/>
    <col min="10" max="10" width="40.5" style="499" customWidth="1"/>
    <col min="11" max="11" width="42.125" style="499" customWidth="1"/>
    <col min="12" max="12" width="3.75" style="499" customWidth="1"/>
    <col min="13" max="13" width="51.625" style="499" customWidth="1"/>
    <col min="14" max="14" width="51.5" style="499" customWidth="1"/>
    <col min="15" max="15" width="3.75" style="499" customWidth="1"/>
    <col min="16" max="17" width="51.5" style="499" customWidth="1"/>
    <col min="18" max="16384" width="11" style="499"/>
  </cols>
  <sheetData>
    <row r="1" spans="1:18" x14ac:dyDescent="0.2">
      <c r="A1" s="420" t="s">
        <v>752</v>
      </c>
      <c r="C1" s="500"/>
      <c r="D1" s="500"/>
      <c r="E1" s="500"/>
      <c r="F1" s="500"/>
      <c r="G1" s="500"/>
    </row>
    <row r="2" spans="1:18" x14ac:dyDescent="0.2">
      <c r="B2" s="500"/>
      <c r="C2" s="500" t="s">
        <v>394</v>
      </c>
      <c r="D2" s="500"/>
      <c r="E2" s="500"/>
      <c r="F2" s="500"/>
      <c r="G2" s="500"/>
    </row>
    <row r="3" spans="1:18" ht="15" x14ac:dyDescent="0.25">
      <c r="B3" s="504"/>
      <c r="C3" s="564"/>
      <c r="D3" s="503"/>
      <c r="E3" s="504"/>
      <c r="F3" s="503"/>
      <c r="G3" s="504"/>
      <c r="I3" s="673" t="s">
        <v>786</v>
      </c>
      <c r="J3" s="674"/>
      <c r="K3" s="674"/>
      <c r="M3" s="673" t="s">
        <v>787</v>
      </c>
      <c r="N3" s="673"/>
      <c r="P3" s="673" t="s">
        <v>805</v>
      </c>
      <c r="Q3" s="673"/>
    </row>
    <row r="4" spans="1:18" ht="13.5" thickBot="1" x14ac:dyDescent="0.25">
      <c r="A4" s="563">
        <v>1</v>
      </c>
      <c r="B4" s="509" t="s">
        <v>395</v>
      </c>
      <c r="C4" s="510" t="s">
        <v>753</v>
      </c>
      <c r="D4" s="510" t="s">
        <v>753</v>
      </c>
      <c r="E4" s="510" t="s">
        <v>753</v>
      </c>
      <c r="F4" s="510" t="s">
        <v>753</v>
      </c>
      <c r="G4" s="510" t="s">
        <v>753</v>
      </c>
      <c r="I4" s="510" t="s">
        <v>755</v>
      </c>
      <c r="J4" s="510" t="s">
        <v>755</v>
      </c>
      <c r="K4" s="510" t="s">
        <v>755</v>
      </c>
      <c r="M4" s="510" t="s">
        <v>785</v>
      </c>
      <c r="N4" s="510" t="s">
        <v>785</v>
      </c>
      <c r="P4" s="510" t="s">
        <v>797</v>
      </c>
      <c r="Q4" s="510" t="s">
        <v>797</v>
      </c>
    </row>
    <row r="5" spans="1:18" x14ac:dyDescent="0.2">
      <c r="A5" s="562">
        <v>2</v>
      </c>
      <c r="B5" s="506" t="s">
        <v>396</v>
      </c>
      <c r="C5" s="435">
        <v>10552672</v>
      </c>
      <c r="D5" s="435">
        <v>10552664</v>
      </c>
      <c r="E5" s="435">
        <v>10694920</v>
      </c>
      <c r="F5" s="435">
        <v>10664568</v>
      </c>
      <c r="G5" s="435">
        <v>10628530</v>
      </c>
      <c r="I5" s="561" t="s">
        <v>769</v>
      </c>
      <c r="J5" s="561" t="s">
        <v>770</v>
      </c>
      <c r="K5" s="561" t="s">
        <v>771</v>
      </c>
      <c r="L5" s="571"/>
      <c r="M5" s="561" t="s">
        <v>788</v>
      </c>
      <c r="N5" s="561" t="s">
        <v>789</v>
      </c>
      <c r="P5" s="561" t="s">
        <v>798</v>
      </c>
      <c r="Q5" s="561" t="s">
        <v>799</v>
      </c>
      <c r="R5" s="583"/>
    </row>
    <row r="6" spans="1:18" x14ac:dyDescent="0.2">
      <c r="A6" s="562">
        <v>3</v>
      </c>
      <c r="B6" s="506" t="s">
        <v>397</v>
      </c>
      <c r="C6" s="435" t="s">
        <v>398</v>
      </c>
      <c r="D6" s="435" t="s">
        <v>398</v>
      </c>
      <c r="E6" s="435" t="s">
        <v>398</v>
      </c>
      <c r="F6" s="435" t="s">
        <v>398</v>
      </c>
      <c r="G6" s="435" t="s">
        <v>398</v>
      </c>
      <c r="I6" s="571"/>
      <c r="J6" s="571"/>
      <c r="K6" s="571"/>
      <c r="L6" s="571"/>
      <c r="M6" s="583"/>
      <c r="N6" s="583"/>
      <c r="P6" s="583"/>
      <c r="Q6" s="583"/>
      <c r="R6" s="583"/>
    </row>
    <row r="7" spans="1:18" ht="13.5" customHeight="1" thickBot="1" x14ac:dyDescent="0.25">
      <c r="A7" s="563"/>
      <c r="B7" s="588" t="s">
        <v>399</v>
      </c>
      <c r="C7" s="508"/>
      <c r="D7" s="508"/>
      <c r="E7" s="508"/>
      <c r="F7" s="508"/>
      <c r="G7" s="508"/>
      <c r="I7" s="508"/>
      <c r="J7" s="508"/>
      <c r="K7" s="508"/>
      <c r="L7" s="571"/>
      <c r="M7" s="584"/>
      <c r="N7" s="587"/>
      <c r="P7" s="584"/>
      <c r="Q7" s="585"/>
      <c r="R7" s="583"/>
    </row>
    <row r="8" spans="1:18" x14ac:dyDescent="0.2">
      <c r="A8" s="562">
        <v>4</v>
      </c>
      <c r="B8" s="506" t="s">
        <v>400</v>
      </c>
      <c r="C8" s="435" t="s">
        <v>401</v>
      </c>
      <c r="D8" s="435" t="s">
        <v>401</v>
      </c>
      <c r="E8" s="435" t="s">
        <v>402</v>
      </c>
      <c r="F8" s="435" t="s">
        <v>402</v>
      </c>
      <c r="G8" s="435" t="s">
        <v>402</v>
      </c>
      <c r="I8" s="435" t="s">
        <v>402</v>
      </c>
      <c r="J8" s="435" t="s">
        <v>402</v>
      </c>
      <c r="K8" s="435" t="s">
        <v>401</v>
      </c>
      <c r="L8" s="571"/>
      <c r="M8" s="561" t="s">
        <v>402</v>
      </c>
      <c r="N8" s="561" t="s">
        <v>807</v>
      </c>
      <c r="P8" s="561" t="s">
        <v>402</v>
      </c>
      <c r="Q8" s="561" t="s">
        <v>807</v>
      </c>
      <c r="R8" s="583"/>
    </row>
    <row r="9" spans="1:18" x14ac:dyDescent="0.2">
      <c r="A9" s="562">
        <v>5</v>
      </c>
      <c r="B9" s="506" t="s">
        <v>403</v>
      </c>
      <c r="C9" s="435" t="s">
        <v>404</v>
      </c>
      <c r="D9" s="435" t="s">
        <v>404</v>
      </c>
      <c r="E9" s="435" t="s">
        <v>402</v>
      </c>
      <c r="F9" s="435" t="s">
        <v>402</v>
      </c>
      <c r="G9" s="435" t="s">
        <v>402</v>
      </c>
      <c r="I9" s="435" t="s">
        <v>402</v>
      </c>
      <c r="J9" s="435" t="s">
        <v>402</v>
      </c>
      <c r="K9" s="561" t="s">
        <v>810</v>
      </c>
      <c r="L9" s="571"/>
      <c r="M9" s="561" t="s">
        <v>402</v>
      </c>
      <c r="N9" s="561" t="s">
        <v>807</v>
      </c>
      <c r="P9" s="561" t="s">
        <v>402</v>
      </c>
      <c r="Q9" s="561" t="s">
        <v>807</v>
      </c>
      <c r="R9" s="583"/>
    </row>
    <row r="10" spans="1:18" x14ac:dyDescent="0.2">
      <c r="A10" s="562">
        <v>6</v>
      </c>
      <c r="B10" s="506" t="s">
        <v>405</v>
      </c>
      <c r="C10" s="435" t="s">
        <v>406</v>
      </c>
      <c r="D10" s="435" t="s">
        <v>406</v>
      </c>
      <c r="E10" s="435" t="s">
        <v>406</v>
      </c>
      <c r="F10" s="435" t="s">
        <v>406</v>
      </c>
      <c r="G10" s="435" t="s">
        <v>406</v>
      </c>
      <c r="I10" s="561" t="s">
        <v>806</v>
      </c>
      <c r="J10" s="561" t="s">
        <v>806</v>
      </c>
      <c r="K10" s="561" t="s">
        <v>806</v>
      </c>
      <c r="M10" s="561" t="s">
        <v>806</v>
      </c>
      <c r="N10" s="561" t="s">
        <v>806</v>
      </c>
      <c r="P10" s="561" t="s">
        <v>806</v>
      </c>
      <c r="Q10" s="561" t="s">
        <v>806</v>
      </c>
      <c r="R10" s="583"/>
    </row>
    <row r="11" spans="1:18" x14ac:dyDescent="0.2">
      <c r="A11" s="562">
        <v>7</v>
      </c>
      <c r="B11" s="109" t="s">
        <v>407</v>
      </c>
      <c r="C11" s="353"/>
      <c r="D11" s="353"/>
      <c r="E11" s="353"/>
      <c r="F11" s="353"/>
      <c r="G11" s="353"/>
      <c r="I11" s="561" t="s">
        <v>707</v>
      </c>
      <c r="J11" s="561" t="s">
        <v>707</v>
      </c>
      <c r="K11" s="561" t="s">
        <v>151</v>
      </c>
      <c r="M11" s="561" t="s">
        <v>151</v>
      </c>
      <c r="N11" s="561" t="s">
        <v>790</v>
      </c>
      <c r="P11" s="561" t="s">
        <v>151</v>
      </c>
      <c r="Q11" s="561" t="s">
        <v>790</v>
      </c>
      <c r="R11" s="583"/>
    </row>
    <row r="12" spans="1:18" x14ac:dyDescent="0.2">
      <c r="A12" s="562">
        <v>8</v>
      </c>
      <c r="B12" s="109" t="s">
        <v>408</v>
      </c>
      <c r="C12" s="435" t="s">
        <v>409</v>
      </c>
      <c r="D12" s="435" t="s">
        <v>410</v>
      </c>
      <c r="E12" s="435" t="s">
        <v>411</v>
      </c>
      <c r="F12" s="435" t="s">
        <v>412</v>
      </c>
      <c r="G12" s="435" t="s">
        <v>413</v>
      </c>
      <c r="I12" s="561">
        <v>500000000</v>
      </c>
      <c r="J12" s="561">
        <v>300000000</v>
      </c>
      <c r="K12" s="561">
        <v>400000000</v>
      </c>
      <c r="M12" s="561">
        <v>350000000</v>
      </c>
      <c r="N12" s="561">
        <v>1600000000</v>
      </c>
      <c r="P12" s="583">
        <v>173000000</v>
      </c>
      <c r="Q12" s="561">
        <v>346000000</v>
      </c>
      <c r="R12" s="583"/>
    </row>
    <row r="13" spans="1:18" x14ac:dyDescent="0.2">
      <c r="A13" s="562">
        <v>9</v>
      </c>
      <c r="B13" s="109" t="s">
        <v>414</v>
      </c>
      <c r="C13" s="214" t="s">
        <v>415</v>
      </c>
      <c r="D13" s="435" t="s">
        <v>410</v>
      </c>
      <c r="E13" s="435" t="s">
        <v>416</v>
      </c>
      <c r="F13" s="435" t="s">
        <v>412</v>
      </c>
      <c r="G13" s="435" t="s">
        <v>417</v>
      </c>
      <c r="I13" s="561">
        <v>500000000</v>
      </c>
      <c r="J13" s="561">
        <v>300000000</v>
      </c>
      <c r="K13" s="561">
        <v>400000000</v>
      </c>
      <c r="M13" s="561">
        <v>350000000</v>
      </c>
      <c r="N13" s="561">
        <v>1600000000</v>
      </c>
      <c r="P13" s="561">
        <v>173000000</v>
      </c>
      <c r="Q13" s="561">
        <v>346000000</v>
      </c>
      <c r="R13" s="583"/>
    </row>
    <row r="14" spans="1:18" x14ac:dyDescent="0.2">
      <c r="A14" s="562" t="s">
        <v>749</v>
      </c>
      <c r="B14" s="109" t="s">
        <v>418</v>
      </c>
      <c r="C14" s="435" t="s">
        <v>419</v>
      </c>
      <c r="D14" s="435" t="s">
        <v>419</v>
      </c>
      <c r="E14" s="435" t="s">
        <v>419</v>
      </c>
      <c r="F14" s="435" t="s">
        <v>419</v>
      </c>
      <c r="G14" s="435" t="s">
        <v>419</v>
      </c>
      <c r="I14" s="561">
        <v>99.5</v>
      </c>
      <c r="J14" s="561">
        <v>100</v>
      </c>
      <c r="K14" s="561">
        <v>100</v>
      </c>
      <c r="M14" s="561">
        <v>100</v>
      </c>
      <c r="N14" s="561">
        <v>100</v>
      </c>
      <c r="P14" s="561">
        <v>100</v>
      </c>
      <c r="Q14" s="561">
        <v>100</v>
      </c>
      <c r="R14" s="583"/>
    </row>
    <row r="15" spans="1:18" x14ac:dyDescent="0.2">
      <c r="A15" s="562" t="s">
        <v>750</v>
      </c>
      <c r="B15" s="109" t="s">
        <v>420</v>
      </c>
      <c r="C15" s="435" t="s">
        <v>421</v>
      </c>
      <c r="D15" s="435" t="s">
        <v>421</v>
      </c>
      <c r="E15" s="435" t="s">
        <v>421</v>
      </c>
      <c r="F15" s="435" t="s">
        <v>421</v>
      </c>
      <c r="G15" s="435" t="s">
        <v>421</v>
      </c>
      <c r="I15" s="561">
        <v>100</v>
      </c>
      <c r="J15" s="561">
        <v>100</v>
      </c>
      <c r="K15" s="561">
        <v>100</v>
      </c>
      <c r="M15" s="561">
        <v>100</v>
      </c>
      <c r="N15" s="561">
        <v>100</v>
      </c>
      <c r="P15" s="561">
        <v>100</v>
      </c>
      <c r="Q15" s="561">
        <v>100</v>
      </c>
      <c r="R15" s="583"/>
    </row>
    <row r="16" spans="1:18" x14ac:dyDescent="0.2">
      <c r="A16" s="562">
        <v>10</v>
      </c>
      <c r="B16" s="109" t="s">
        <v>422</v>
      </c>
      <c r="C16" s="435" t="s">
        <v>423</v>
      </c>
      <c r="D16" s="435" t="s">
        <v>423</v>
      </c>
      <c r="E16" s="435" t="s">
        <v>423</v>
      </c>
      <c r="F16" s="435" t="s">
        <v>423</v>
      </c>
      <c r="G16" s="435" t="s">
        <v>423</v>
      </c>
      <c r="I16" s="561" t="s">
        <v>772</v>
      </c>
      <c r="J16" s="561" t="s">
        <v>772</v>
      </c>
      <c r="K16" s="561" t="s">
        <v>772</v>
      </c>
      <c r="M16" s="561" t="s">
        <v>772</v>
      </c>
      <c r="N16" s="561" t="s">
        <v>772</v>
      </c>
      <c r="P16" s="561" t="s">
        <v>772</v>
      </c>
      <c r="Q16" s="561" t="s">
        <v>772</v>
      </c>
      <c r="R16" s="583"/>
    </row>
    <row r="17" spans="1:18" x14ac:dyDescent="0.2">
      <c r="A17" s="562">
        <v>11</v>
      </c>
      <c r="B17" s="109" t="s">
        <v>424</v>
      </c>
      <c r="C17" s="589">
        <v>40156</v>
      </c>
      <c r="D17" s="589">
        <v>40156</v>
      </c>
      <c r="E17" s="589">
        <v>41605</v>
      </c>
      <c r="F17" s="589">
        <v>41246</v>
      </c>
      <c r="G17" s="589">
        <v>40879</v>
      </c>
      <c r="I17" s="577">
        <v>40284</v>
      </c>
      <c r="J17" s="577">
        <v>41255</v>
      </c>
      <c r="K17" s="577">
        <v>41695</v>
      </c>
      <c r="M17" s="577">
        <v>41815</v>
      </c>
      <c r="N17" s="577">
        <v>41705</v>
      </c>
      <c r="O17" s="590"/>
      <c r="P17" s="577">
        <v>41589</v>
      </c>
      <c r="Q17" s="577">
        <v>41589</v>
      </c>
      <c r="R17" s="583"/>
    </row>
    <row r="18" spans="1:18" x14ac:dyDescent="0.2">
      <c r="A18" s="562">
        <v>12</v>
      </c>
      <c r="B18" s="109" t="s">
        <v>425</v>
      </c>
      <c r="C18" s="435" t="s">
        <v>426</v>
      </c>
      <c r="D18" s="435" t="s">
        <v>426</v>
      </c>
      <c r="E18" s="435" t="s">
        <v>155</v>
      </c>
      <c r="F18" s="435" t="s">
        <v>155</v>
      </c>
      <c r="G18" s="435" t="s">
        <v>155</v>
      </c>
      <c r="I18" s="561" t="s">
        <v>155</v>
      </c>
      <c r="J18" s="561" t="s">
        <v>155</v>
      </c>
      <c r="K18" s="561" t="s">
        <v>426</v>
      </c>
      <c r="M18" s="561" t="s">
        <v>426</v>
      </c>
      <c r="N18" s="561" t="s">
        <v>155</v>
      </c>
      <c r="P18" s="561" t="s">
        <v>426</v>
      </c>
      <c r="Q18" s="561" t="s">
        <v>155</v>
      </c>
      <c r="R18" s="583"/>
    </row>
    <row r="19" spans="1:18" x14ac:dyDescent="0.2">
      <c r="A19" s="562">
        <v>13</v>
      </c>
      <c r="B19" s="109" t="s">
        <v>427</v>
      </c>
      <c r="C19" s="435" t="s">
        <v>428</v>
      </c>
      <c r="D19" s="435" t="s">
        <v>428</v>
      </c>
      <c r="E19" s="589">
        <v>45257</v>
      </c>
      <c r="F19" s="589">
        <v>44898</v>
      </c>
      <c r="G19" s="589">
        <v>44532</v>
      </c>
      <c r="I19" s="577">
        <v>43937</v>
      </c>
      <c r="J19" s="577">
        <v>44907</v>
      </c>
      <c r="K19" s="561" t="s">
        <v>428</v>
      </c>
      <c r="M19" s="577"/>
      <c r="N19" s="577">
        <v>45358</v>
      </c>
      <c r="P19" s="577"/>
      <c r="Q19" s="577">
        <v>45243</v>
      </c>
      <c r="R19" s="583"/>
    </row>
    <row r="20" spans="1:18" x14ac:dyDescent="0.2">
      <c r="A20" s="562">
        <v>14</v>
      </c>
      <c r="B20" s="109" t="s">
        <v>429</v>
      </c>
      <c r="C20" s="435" t="s">
        <v>430</v>
      </c>
      <c r="D20" s="435" t="s">
        <v>430</v>
      </c>
      <c r="E20" s="435" t="s">
        <v>430</v>
      </c>
      <c r="F20" s="435" t="s">
        <v>430</v>
      </c>
      <c r="G20" s="435" t="s">
        <v>430</v>
      </c>
      <c r="I20" s="561" t="s">
        <v>430</v>
      </c>
      <c r="J20" s="561" t="s">
        <v>430</v>
      </c>
      <c r="K20" s="561" t="s">
        <v>430</v>
      </c>
      <c r="M20" s="577" t="s">
        <v>430</v>
      </c>
      <c r="N20" s="577" t="s">
        <v>430</v>
      </c>
      <c r="P20" s="577" t="s">
        <v>430</v>
      </c>
      <c r="Q20" s="577" t="s">
        <v>430</v>
      </c>
      <c r="R20" s="583"/>
    </row>
    <row r="21" spans="1:18" x14ac:dyDescent="0.2">
      <c r="A21" s="562">
        <v>15</v>
      </c>
      <c r="B21" s="109" t="s">
        <v>431</v>
      </c>
      <c r="C21" s="591">
        <v>43808</v>
      </c>
      <c r="D21" s="591">
        <v>43808</v>
      </c>
      <c r="E21" s="589">
        <v>43431</v>
      </c>
      <c r="F21" s="591">
        <v>43073</v>
      </c>
      <c r="G21" s="591">
        <v>42706</v>
      </c>
      <c r="I21" s="577">
        <v>42110</v>
      </c>
      <c r="J21" s="561" t="s">
        <v>775</v>
      </c>
      <c r="K21" s="561" t="s">
        <v>773</v>
      </c>
      <c r="M21" s="577">
        <v>43594</v>
      </c>
      <c r="N21" s="577">
        <v>43531</v>
      </c>
      <c r="P21" s="577">
        <v>43416</v>
      </c>
      <c r="Q21" s="577">
        <v>43416</v>
      </c>
      <c r="R21" s="583"/>
    </row>
    <row r="22" spans="1:18" x14ac:dyDescent="0.2">
      <c r="A22" s="562">
        <v>16</v>
      </c>
      <c r="B22" s="109" t="s">
        <v>432</v>
      </c>
      <c r="C22" s="353" t="s">
        <v>433</v>
      </c>
      <c r="D22" s="353" t="s">
        <v>433</v>
      </c>
      <c r="E22" s="435" t="s">
        <v>434</v>
      </c>
      <c r="F22" s="435" t="s">
        <v>434</v>
      </c>
      <c r="G22" s="435" t="s">
        <v>434</v>
      </c>
      <c r="I22" s="561" t="s">
        <v>774</v>
      </c>
      <c r="J22" s="561" t="s">
        <v>774</v>
      </c>
      <c r="K22" s="561" t="s">
        <v>774</v>
      </c>
      <c r="M22" s="561" t="s">
        <v>774</v>
      </c>
      <c r="N22" s="561" t="s">
        <v>774</v>
      </c>
      <c r="P22" s="561" t="s">
        <v>774</v>
      </c>
      <c r="Q22" s="561" t="s">
        <v>774</v>
      </c>
      <c r="R22" s="583"/>
    </row>
    <row r="23" spans="1:18" ht="13.5" thickBot="1" x14ac:dyDescent="0.25">
      <c r="A23" s="563"/>
      <c r="B23" s="509" t="s">
        <v>435</v>
      </c>
      <c r="C23" s="508"/>
      <c r="D23" s="508"/>
      <c r="E23" s="508"/>
      <c r="F23" s="508"/>
      <c r="G23" s="508"/>
      <c r="I23" s="508"/>
      <c r="J23" s="508"/>
      <c r="K23" s="508"/>
      <c r="M23" s="586"/>
      <c r="N23" s="586"/>
      <c r="P23" s="586"/>
      <c r="Q23" s="586"/>
      <c r="R23" s="583"/>
    </row>
    <row r="24" spans="1:18" x14ac:dyDescent="0.2">
      <c r="A24" s="562">
        <v>17</v>
      </c>
      <c r="B24" s="109" t="s">
        <v>436</v>
      </c>
      <c r="C24" s="435" t="s">
        <v>437</v>
      </c>
      <c r="D24" s="435" t="s">
        <v>438</v>
      </c>
      <c r="E24" s="435" t="s">
        <v>438</v>
      </c>
      <c r="F24" s="435" t="s">
        <v>438</v>
      </c>
      <c r="G24" s="435" t="s">
        <v>438</v>
      </c>
      <c r="I24" s="435" t="s">
        <v>438</v>
      </c>
      <c r="J24" s="435" t="s">
        <v>438</v>
      </c>
      <c r="K24" s="435" t="s">
        <v>438</v>
      </c>
      <c r="M24" s="435" t="s">
        <v>438</v>
      </c>
      <c r="N24" s="435" t="s">
        <v>438</v>
      </c>
      <c r="P24" s="561" t="s">
        <v>791</v>
      </c>
      <c r="Q24" s="561" t="s">
        <v>791</v>
      </c>
      <c r="R24" s="583"/>
    </row>
    <row r="25" spans="1:18" ht="25.5" customHeight="1" x14ac:dyDescent="0.2">
      <c r="A25" s="576">
        <v>18</v>
      </c>
      <c r="B25" s="109" t="s">
        <v>439</v>
      </c>
      <c r="C25" s="507" t="s">
        <v>440</v>
      </c>
      <c r="D25" s="353" t="s">
        <v>441</v>
      </c>
      <c r="E25" s="353" t="s">
        <v>442</v>
      </c>
      <c r="F25" s="353" t="s">
        <v>443</v>
      </c>
      <c r="G25" s="353" t="s">
        <v>444</v>
      </c>
      <c r="I25" s="580" t="s">
        <v>776</v>
      </c>
      <c r="J25" s="581" t="s">
        <v>777</v>
      </c>
      <c r="K25" s="581" t="s">
        <v>778</v>
      </c>
      <c r="M25" s="561" t="s">
        <v>792</v>
      </c>
      <c r="N25" s="561" t="s">
        <v>792</v>
      </c>
      <c r="P25" s="561" t="s">
        <v>792</v>
      </c>
      <c r="Q25" s="561" t="s">
        <v>792</v>
      </c>
      <c r="R25" s="583"/>
    </row>
    <row r="26" spans="1:18" x14ac:dyDescent="0.2">
      <c r="A26" s="562">
        <v>19</v>
      </c>
      <c r="B26" s="109" t="s">
        <v>445</v>
      </c>
      <c r="C26" s="435" t="s">
        <v>446</v>
      </c>
      <c r="D26" s="435" t="s">
        <v>446</v>
      </c>
      <c r="E26" s="435" t="s">
        <v>446</v>
      </c>
      <c r="F26" s="435" t="s">
        <v>446</v>
      </c>
      <c r="G26" s="435" t="s">
        <v>446</v>
      </c>
      <c r="I26" s="561" t="s">
        <v>446</v>
      </c>
      <c r="J26" s="561" t="s">
        <v>446</v>
      </c>
      <c r="K26" s="561" t="s">
        <v>446</v>
      </c>
      <c r="M26" s="561" t="s">
        <v>446</v>
      </c>
      <c r="N26" s="561" t="s">
        <v>446</v>
      </c>
      <c r="P26" s="561" t="s">
        <v>446</v>
      </c>
      <c r="Q26" s="561" t="s">
        <v>446</v>
      </c>
      <c r="R26" s="583"/>
    </row>
    <row r="27" spans="1:18" x14ac:dyDescent="0.2">
      <c r="A27" s="562" t="s">
        <v>447</v>
      </c>
      <c r="B27" s="109" t="s">
        <v>448</v>
      </c>
      <c r="C27" s="435" t="s">
        <v>449</v>
      </c>
      <c r="D27" s="435" t="s">
        <v>449</v>
      </c>
      <c r="E27" s="435" t="s">
        <v>450</v>
      </c>
      <c r="F27" s="435" t="s">
        <v>450</v>
      </c>
      <c r="G27" s="435" t="s">
        <v>450</v>
      </c>
      <c r="I27" s="561" t="s">
        <v>450</v>
      </c>
      <c r="J27" s="561" t="s">
        <v>450</v>
      </c>
      <c r="K27" s="561" t="s">
        <v>779</v>
      </c>
      <c r="M27" s="561" t="s">
        <v>450</v>
      </c>
      <c r="N27" s="561" t="s">
        <v>779</v>
      </c>
      <c r="P27" s="561" t="s">
        <v>450</v>
      </c>
      <c r="Q27" s="561" t="s">
        <v>779</v>
      </c>
      <c r="R27" s="583"/>
    </row>
    <row r="28" spans="1:18" x14ac:dyDescent="0.2">
      <c r="A28" s="562" t="s">
        <v>451</v>
      </c>
      <c r="B28" s="109" t="s">
        <v>452</v>
      </c>
      <c r="C28" s="435" t="s">
        <v>449</v>
      </c>
      <c r="D28" s="435" t="s">
        <v>449</v>
      </c>
      <c r="E28" s="435" t="s">
        <v>450</v>
      </c>
      <c r="F28" s="435" t="s">
        <v>450</v>
      </c>
      <c r="G28" s="435" t="s">
        <v>450</v>
      </c>
      <c r="I28" s="561" t="s">
        <v>450</v>
      </c>
      <c r="J28" s="561" t="s">
        <v>450</v>
      </c>
      <c r="K28" s="561" t="s">
        <v>779</v>
      </c>
      <c r="M28" s="561" t="s">
        <v>450</v>
      </c>
      <c r="N28" s="561" t="s">
        <v>779</v>
      </c>
      <c r="P28" s="561" t="s">
        <v>450</v>
      </c>
      <c r="Q28" s="561" t="s">
        <v>779</v>
      </c>
      <c r="R28" s="583"/>
    </row>
    <row r="29" spans="1:18" x14ac:dyDescent="0.2">
      <c r="A29" s="576">
        <v>21</v>
      </c>
      <c r="B29" s="109" t="s">
        <v>453</v>
      </c>
      <c r="C29" s="435" t="s">
        <v>430</v>
      </c>
      <c r="D29" s="435" t="s">
        <v>430</v>
      </c>
      <c r="E29" s="435" t="s">
        <v>446</v>
      </c>
      <c r="F29" s="435" t="s">
        <v>446</v>
      </c>
      <c r="G29" s="435" t="s">
        <v>446</v>
      </c>
      <c r="I29" s="561" t="s">
        <v>430</v>
      </c>
      <c r="J29" s="561" t="s">
        <v>446</v>
      </c>
      <c r="K29" s="561" t="s">
        <v>446</v>
      </c>
      <c r="M29" s="561" t="s">
        <v>446</v>
      </c>
      <c r="N29" s="561" t="s">
        <v>430</v>
      </c>
      <c r="P29" s="561" t="s">
        <v>446</v>
      </c>
      <c r="Q29" s="592" t="s">
        <v>430</v>
      </c>
      <c r="R29" s="583"/>
    </row>
    <row r="30" spans="1:18" x14ac:dyDescent="0.2">
      <c r="A30" s="562">
        <v>22</v>
      </c>
      <c r="B30" s="109" t="s">
        <v>454</v>
      </c>
      <c r="C30" s="435" t="s">
        <v>455</v>
      </c>
      <c r="D30" s="435" t="s">
        <v>455</v>
      </c>
      <c r="E30" s="435" t="s">
        <v>456</v>
      </c>
      <c r="F30" s="435" t="s">
        <v>456</v>
      </c>
      <c r="G30" s="435" t="s">
        <v>456</v>
      </c>
      <c r="I30" s="561" t="s">
        <v>446</v>
      </c>
      <c r="J30" s="561" t="s">
        <v>446</v>
      </c>
      <c r="K30" s="561" t="s">
        <v>446</v>
      </c>
      <c r="M30" s="561" t="s">
        <v>456</v>
      </c>
      <c r="N30" s="561" t="s">
        <v>809</v>
      </c>
      <c r="P30" s="561" t="s">
        <v>456</v>
      </c>
      <c r="Q30" s="561" t="s">
        <v>809</v>
      </c>
      <c r="R30" s="583"/>
    </row>
    <row r="31" spans="1:18" ht="13.5" thickBot="1" x14ac:dyDescent="0.25">
      <c r="A31" s="563"/>
      <c r="B31" s="509" t="s">
        <v>457</v>
      </c>
      <c r="C31" s="508"/>
      <c r="D31" s="508"/>
      <c r="E31" s="508"/>
      <c r="F31" s="508"/>
      <c r="G31" s="508"/>
      <c r="I31" s="508"/>
      <c r="J31" s="508"/>
      <c r="K31" s="508"/>
      <c r="M31" s="586"/>
      <c r="N31" s="586"/>
      <c r="P31" s="584"/>
      <c r="Q31" s="584"/>
      <c r="R31" s="583"/>
    </row>
    <row r="32" spans="1:18" ht="72" customHeight="1" x14ac:dyDescent="0.2">
      <c r="A32" s="576">
        <v>23</v>
      </c>
      <c r="B32" s="109" t="s">
        <v>458</v>
      </c>
      <c r="C32" s="435" t="s">
        <v>459</v>
      </c>
      <c r="D32" s="435" t="s">
        <v>459</v>
      </c>
      <c r="E32" s="435" t="s">
        <v>459</v>
      </c>
      <c r="F32" s="435" t="s">
        <v>459</v>
      </c>
      <c r="G32" s="435" t="s">
        <v>459</v>
      </c>
      <c r="I32" s="435" t="s">
        <v>459</v>
      </c>
      <c r="J32" s="435" t="s">
        <v>459</v>
      </c>
      <c r="K32" s="435" t="s">
        <v>459</v>
      </c>
      <c r="M32" s="578" t="s">
        <v>793</v>
      </c>
      <c r="N32" s="435" t="s">
        <v>459</v>
      </c>
      <c r="P32" s="582" t="s">
        <v>793</v>
      </c>
      <c r="Q32" s="435" t="s">
        <v>459</v>
      </c>
      <c r="R32" s="583"/>
    </row>
    <row r="33" spans="1:18" x14ac:dyDescent="0.2">
      <c r="A33" s="562">
        <v>24</v>
      </c>
      <c r="B33" s="109" t="s">
        <v>460</v>
      </c>
      <c r="C33" s="435" t="s">
        <v>461</v>
      </c>
      <c r="D33" s="435" t="s">
        <v>461</v>
      </c>
      <c r="E33" s="435" t="s">
        <v>461</v>
      </c>
      <c r="F33" s="435" t="s">
        <v>461</v>
      </c>
      <c r="G33" s="435" t="s">
        <v>461</v>
      </c>
      <c r="I33" s="561" t="s">
        <v>461</v>
      </c>
      <c r="J33" s="561" t="s">
        <v>461</v>
      </c>
      <c r="K33" s="561" t="s">
        <v>461</v>
      </c>
      <c r="M33" s="561" t="s">
        <v>808</v>
      </c>
      <c r="N33" s="561" t="s">
        <v>461</v>
      </c>
      <c r="P33" s="561" t="s">
        <v>808</v>
      </c>
      <c r="Q33" s="561" t="s">
        <v>461</v>
      </c>
      <c r="R33" s="583"/>
    </row>
    <row r="34" spans="1:18" x14ac:dyDescent="0.2">
      <c r="A34" s="562">
        <v>25</v>
      </c>
      <c r="B34" s="109" t="s">
        <v>462</v>
      </c>
      <c r="C34" s="435" t="s">
        <v>461</v>
      </c>
      <c r="D34" s="435" t="s">
        <v>461</v>
      </c>
      <c r="E34" s="435" t="s">
        <v>461</v>
      </c>
      <c r="F34" s="435" t="s">
        <v>461</v>
      </c>
      <c r="G34" s="435" t="s">
        <v>461</v>
      </c>
      <c r="I34" s="561" t="s">
        <v>461</v>
      </c>
      <c r="J34" s="561" t="s">
        <v>461</v>
      </c>
      <c r="K34" s="561" t="s">
        <v>461</v>
      </c>
      <c r="M34" s="561" t="s">
        <v>808</v>
      </c>
      <c r="N34" s="561" t="s">
        <v>461</v>
      </c>
      <c r="P34" s="561" t="s">
        <v>808</v>
      </c>
      <c r="Q34" s="561" t="s">
        <v>461</v>
      </c>
      <c r="R34" s="583"/>
    </row>
    <row r="35" spans="1:18" x14ac:dyDescent="0.2">
      <c r="A35" s="562">
        <v>26</v>
      </c>
      <c r="B35" s="109" t="s">
        <v>463</v>
      </c>
      <c r="C35" s="435" t="s">
        <v>461</v>
      </c>
      <c r="D35" s="435" t="s">
        <v>461</v>
      </c>
      <c r="E35" s="435" t="s">
        <v>461</v>
      </c>
      <c r="F35" s="435" t="s">
        <v>461</v>
      </c>
      <c r="G35" s="435" t="s">
        <v>461</v>
      </c>
      <c r="I35" s="561" t="s">
        <v>461</v>
      </c>
      <c r="J35" s="561" t="s">
        <v>461</v>
      </c>
      <c r="K35" s="561" t="s">
        <v>461</v>
      </c>
      <c r="M35" s="561" t="s">
        <v>808</v>
      </c>
      <c r="N35" s="561" t="s">
        <v>461</v>
      </c>
      <c r="P35" s="561" t="s">
        <v>808</v>
      </c>
      <c r="Q35" s="561" t="s">
        <v>461</v>
      </c>
      <c r="R35" s="583"/>
    </row>
    <row r="36" spans="1:18" x14ac:dyDescent="0.2">
      <c r="A36" s="562">
        <v>27</v>
      </c>
      <c r="B36" s="109" t="s">
        <v>464</v>
      </c>
      <c r="C36" s="435" t="s">
        <v>461</v>
      </c>
      <c r="D36" s="435" t="s">
        <v>461</v>
      </c>
      <c r="E36" s="435" t="s">
        <v>461</v>
      </c>
      <c r="F36" s="435" t="s">
        <v>461</v>
      </c>
      <c r="G36" s="435" t="s">
        <v>461</v>
      </c>
      <c r="I36" s="561" t="s">
        <v>461</v>
      </c>
      <c r="J36" s="561" t="s">
        <v>461</v>
      </c>
      <c r="K36" s="561" t="s">
        <v>461</v>
      </c>
      <c r="M36" s="561" t="s">
        <v>808</v>
      </c>
      <c r="N36" s="561" t="s">
        <v>461</v>
      </c>
      <c r="P36" s="561" t="s">
        <v>808</v>
      </c>
      <c r="Q36" s="561" t="s">
        <v>461</v>
      </c>
      <c r="R36" s="583"/>
    </row>
    <row r="37" spans="1:18" x14ac:dyDescent="0.2">
      <c r="A37" s="562">
        <v>28</v>
      </c>
      <c r="B37" s="109" t="s">
        <v>465</v>
      </c>
      <c r="C37" s="435" t="s">
        <v>461</v>
      </c>
      <c r="D37" s="435" t="s">
        <v>461</v>
      </c>
      <c r="E37" s="435" t="s">
        <v>461</v>
      </c>
      <c r="F37" s="435" t="s">
        <v>461</v>
      </c>
      <c r="G37" s="435" t="s">
        <v>461</v>
      </c>
      <c r="I37" s="561" t="s">
        <v>461</v>
      </c>
      <c r="J37" s="561" t="s">
        <v>461</v>
      </c>
      <c r="K37" s="561" t="s">
        <v>461</v>
      </c>
      <c r="M37" s="561" t="s">
        <v>808</v>
      </c>
      <c r="N37" s="561" t="s">
        <v>461</v>
      </c>
      <c r="P37" s="561" t="s">
        <v>808</v>
      </c>
      <c r="Q37" s="561" t="s">
        <v>461</v>
      </c>
      <c r="R37" s="583"/>
    </row>
    <row r="38" spans="1:18" x14ac:dyDescent="0.2">
      <c r="A38" s="562">
        <v>29</v>
      </c>
      <c r="B38" s="109" t="s">
        <v>466</v>
      </c>
      <c r="C38" s="435" t="s">
        <v>461</v>
      </c>
      <c r="D38" s="435" t="s">
        <v>461</v>
      </c>
      <c r="E38" s="435" t="s">
        <v>461</v>
      </c>
      <c r="F38" s="435" t="s">
        <v>461</v>
      </c>
      <c r="G38" s="435" t="s">
        <v>461</v>
      </c>
      <c r="I38" s="561" t="s">
        <v>461</v>
      </c>
      <c r="J38" s="561" t="s">
        <v>461</v>
      </c>
      <c r="K38" s="561" t="s">
        <v>461</v>
      </c>
      <c r="M38" s="561" t="s">
        <v>808</v>
      </c>
      <c r="N38" s="561" t="s">
        <v>461</v>
      </c>
      <c r="P38" s="561" t="s">
        <v>808</v>
      </c>
      <c r="Q38" s="561" t="s">
        <v>461</v>
      </c>
      <c r="R38" s="583"/>
    </row>
    <row r="39" spans="1:18" ht="84" x14ac:dyDescent="0.2">
      <c r="A39" s="576">
        <v>30</v>
      </c>
      <c r="B39" s="109" t="s">
        <v>467</v>
      </c>
      <c r="C39" s="435" t="s">
        <v>430</v>
      </c>
      <c r="D39" s="435" t="s">
        <v>430</v>
      </c>
      <c r="E39" s="435" t="s">
        <v>461</v>
      </c>
      <c r="F39" s="435" t="s">
        <v>461</v>
      </c>
      <c r="G39" s="435" t="s">
        <v>461</v>
      </c>
      <c r="I39" s="561" t="s">
        <v>446</v>
      </c>
      <c r="J39" s="561" t="s">
        <v>446</v>
      </c>
      <c r="K39" s="561" t="s">
        <v>430</v>
      </c>
      <c r="M39" s="578" t="s">
        <v>794</v>
      </c>
      <c r="N39" s="561" t="s">
        <v>461</v>
      </c>
      <c r="P39" s="582" t="s">
        <v>800</v>
      </c>
      <c r="Q39" s="561" t="s">
        <v>461</v>
      </c>
      <c r="R39" s="583"/>
    </row>
    <row r="40" spans="1:18" ht="73.5" customHeight="1" x14ac:dyDescent="0.2">
      <c r="A40" s="576">
        <v>31</v>
      </c>
      <c r="B40" s="109" t="s">
        <v>468</v>
      </c>
      <c r="C40" s="353" t="s">
        <v>469</v>
      </c>
      <c r="D40" s="353" t="s">
        <v>469</v>
      </c>
      <c r="E40" s="435" t="s">
        <v>461</v>
      </c>
      <c r="F40" s="435" t="s">
        <v>461</v>
      </c>
      <c r="G40" s="435" t="s">
        <v>461</v>
      </c>
      <c r="I40" s="561" t="s">
        <v>461</v>
      </c>
      <c r="J40" s="561" t="s">
        <v>461</v>
      </c>
      <c r="K40" s="579" t="s">
        <v>784</v>
      </c>
      <c r="M40" s="582" t="s">
        <v>795</v>
      </c>
      <c r="N40" s="561" t="s">
        <v>461</v>
      </c>
      <c r="P40" s="578" t="s">
        <v>801</v>
      </c>
      <c r="Q40" s="561" t="s">
        <v>461</v>
      </c>
      <c r="R40" s="583"/>
    </row>
    <row r="41" spans="1:18" ht="84" x14ac:dyDescent="0.2">
      <c r="A41" s="576">
        <v>32</v>
      </c>
      <c r="B41" s="109" t="s">
        <v>470</v>
      </c>
      <c r="C41" s="435" t="s">
        <v>471</v>
      </c>
      <c r="D41" s="435" t="s">
        <v>471</v>
      </c>
      <c r="E41" s="435" t="s">
        <v>461</v>
      </c>
      <c r="F41" s="435" t="s">
        <v>461</v>
      </c>
      <c r="G41" s="435" t="s">
        <v>461</v>
      </c>
      <c r="I41" s="561" t="s">
        <v>461</v>
      </c>
      <c r="J41" s="561" t="s">
        <v>461</v>
      </c>
      <c r="K41" s="561" t="s">
        <v>471</v>
      </c>
      <c r="M41" s="578" t="s">
        <v>804</v>
      </c>
      <c r="N41" s="561" t="s">
        <v>461</v>
      </c>
      <c r="P41" s="582" t="s">
        <v>802</v>
      </c>
      <c r="Q41" s="561" t="s">
        <v>461</v>
      </c>
      <c r="R41" s="583"/>
    </row>
    <row r="42" spans="1:18" x14ac:dyDescent="0.2">
      <c r="A42" s="562">
        <v>33</v>
      </c>
      <c r="B42" s="109" t="s">
        <v>472</v>
      </c>
      <c r="C42" s="435" t="s">
        <v>473</v>
      </c>
      <c r="D42" s="435" t="s">
        <v>473</v>
      </c>
      <c r="E42" s="435" t="s">
        <v>461</v>
      </c>
      <c r="F42" s="435" t="s">
        <v>461</v>
      </c>
      <c r="G42" s="435" t="s">
        <v>461</v>
      </c>
      <c r="I42" s="561" t="s">
        <v>461</v>
      </c>
      <c r="J42" s="561" t="s">
        <v>461</v>
      </c>
      <c r="K42" s="561" t="s">
        <v>473</v>
      </c>
      <c r="M42" s="561" t="s">
        <v>473</v>
      </c>
      <c r="N42" s="561" t="s">
        <v>461</v>
      </c>
      <c r="P42" s="583"/>
      <c r="Q42" s="561" t="s">
        <v>461</v>
      </c>
      <c r="R42" s="583"/>
    </row>
    <row r="43" spans="1:18" ht="37.5" customHeight="1" x14ac:dyDescent="0.2">
      <c r="A43" s="576">
        <v>34</v>
      </c>
      <c r="B43" s="109" t="s">
        <v>474</v>
      </c>
      <c r="C43" s="353" t="s">
        <v>475</v>
      </c>
      <c r="D43" s="353" t="s">
        <v>475</v>
      </c>
      <c r="E43" s="435" t="s">
        <v>461</v>
      </c>
      <c r="F43" s="435" t="s">
        <v>461</v>
      </c>
      <c r="G43" s="435" t="s">
        <v>461</v>
      </c>
      <c r="I43" s="561" t="s">
        <v>461</v>
      </c>
      <c r="J43" s="561" t="s">
        <v>461</v>
      </c>
      <c r="K43" s="582" t="s">
        <v>782</v>
      </c>
      <c r="M43" s="578" t="s">
        <v>803</v>
      </c>
      <c r="N43" s="561"/>
      <c r="P43" s="582" t="s">
        <v>803</v>
      </c>
      <c r="Q43" s="583"/>
      <c r="R43" s="583"/>
    </row>
    <row r="44" spans="1:18" ht="36" customHeight="1" x14ac:dyDescent="0.2">
      <c r="A44" s="576">
        <v>35</v>
      </c>
      <c r="B44" s="109" t="s">
        <v>476</v>
      </c>
      <c r="C44" s="435" t="s">
        <v>402</v>
      </c>
      <c r="D44" s="435" t="s">
        <v>402</v>
      </c>
      <c r="E44" s="435" t="s">
        <v>477</v>
      </c>
      <c r="F44" s="435" t="s">
        <v>477</v>
      </c>
      <c r="G44" s="435" t="s">
        <v>477</v>
      </c>
      <c r="I44" s="578" t="s">
        <v>780</v>
      </c>
      <c r="J44" s="579" t="s">
        <v>781</v>
      </c>
      <c r="K44" s="580" t="s">
        <v>783</v>
      </c>
      <c r="M44" s="561" t="s">
        <v>790</v>
      </c>
      <c r="N44" s="561" t="s">
        <v>796</v>
      </c>
      <c r="P44" s="561" t="s">
        <v>790</v>
      </c>
      <c r="Q44" s="561" t="s">
        <v>796</v>
      </c>
      <c r="R44" s="583"/>
    </row>
    <row r="45" spans="1:18" x14ac:dyDescent="0.2">
      <c r="A45" s="562">
        <v>36</v>
      </c>
      <c r="B45" s="109" t="s">
        <v>478</v>
      </c>
      <c r="C45" s="435" t="s">
        <v>430</v>
      </c>
      <c r="D45" s="435" t="s">
        <v>430</v>
      </c>
      <c r="E45" s="435" t="s">
        <v>461</v>
      </c>
      <c r="F45" s="435" t="s">
        <v>461</v>
      </c>
      <c r="G45" s="435" t="s">
        <v>461</v>
      </c>
      <c r="I45" s="561" t="s">
        <v>430</v>
      </c>
      <c r="J45" s="561" t="s">
        <v>446</v>
      </c>
      <c r="K45" s="561" t="s">
        <v>446</v>
      </c>
      <c r="M45" s="435" t="s">
        <v>461</v>
      </c>
      <c r="N45" s="435" t="s">
        <v>461</v>
      </c>
      <c r="P45" s="435" t="s">
        <v>461</v>
      </c>
      <c r="Q45" s="435" t="s">
        <v>461</v>
      </c>
      <c r="R45" s="583"/>
    </row>
    <row r="46" spans="1:18" ht="12.75" customHeight="1" x14ac:dyDescent="0.2">
      <c r="A46" s="562">
        <v>37</v>
      </c>
      <c r="B46" s="109" t="s">
        <v>479</v>
      </c>
      <c r="C46" s="353" t="s">
        <v>480</v>
      </c>
      <c r="D46" s="353" t="s">
        <v>480</v>
      </c>
      <c r="E46" s="435" t="s">
        <v>461</v>
      </c>
      <c r="F46" s="435" t="s">
        <v>461</v>
      </c>
      <c r="G46" s="435" t="s">
        <v>461</v>
      </c>
      <c r="I46" s="576" t="s">
        <v>453</v>
      </c>
      <c r="J46" s="561" t="s">
        <v>461</v>
      </c>
      <c r="K46" s="561" t="s">
        <v>461</v>
      </c>
      <c r="M46" s="561" t="s">
        <v>461</v>
      </c>
      <c r="N46" s="561" t="s">
        <v>461</v>
      </c>
      <c r="P46" s="561" t="s">
        <v>461</v>
      </c>
      <c r="Q46" s="561" t="s">
        <v>461</v>
      </c>
      <c r="R46" s="583"/>
    </row>
    <row r="47" spans="1:18" x14ac:dyDescent="0.2">
      <c r="B47" s="502"/>
      <c r="C47" s="502"/>
      <c r="D47" s="502"/>
      <c r="E47" s="502"/>
      <c r="F47" s="502"/>
      <c r="G47" s="502"/>
      <c r="M47" s="583"/>
      <c r="N47" s="583"/>
    </row>
  </sheetData>
  <mergeCells count="3">
    <mergeCell ref="I3:K3"/>
    <mergeCell ref="M3:N3"/>
    <mergeCell ref="P3:Q3"/>
  </mergeCells>
  <pageMargins left="0.7" right="0.7" top="0.75" bottom="0.75" header="0.3" footer="0.3"/>
  <pageSetup paperSize="8" scale="27"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topLeftCell="B1" zoomScaleNormal="100" workbookViewId="0">
      <selection activeCell="C149" sqref="C149:C150"/>
    </sheetView>
  </sheetViews>
  <sheetFormatPr baseColWidth="10" defaultRowHeight="12.75" x14ac:dyDescent="0.2"/>
  <cols>
    <col min="1" max="1" width="4.5" style="493" customWidth="1"/>
    <col min="2" max="2" width="103" style="493" customWidth="1"/>
    <col min="3" max="3" width="32.5" style="493" customWidth="1"/>
    <col min="4" max="4" width="45.25" style="493" customWidth="1"/>
    <col min="5" max="5" width="32.5" style="493" customWidth="1"/>
    <col min="6" max="6" width="11" style="493"/>
    <col min="7" max="16384" width="11" style="330"/>
  </cols>
  <sheetData>
    <row r="1" spans="1:5" x14ac:dyDescent="0.2">
      <c r="A1" s="242" t="s">
        <v>751</v>
      </c>
    </row>
    <row r="2" spans="1:5" x14ac:dyDescent="0.2">
      <c r="A2" s="501"/>
    </row>
    <row r="4" spans="1:5" ht="13.5" thickBot="1" x14ac:dyDescent="0.25">
      <c r="A4" s="563"/>
      <c r="B4" s="524" t="s">
        <v>481</v>
      </c>
      <c r="C4" s="519" t="s">
        <v>719</v>
      </c>
      <c r="D4" s="510" t="s">
        <v>717</v>
      </c>
      <c r="E4" s="519" t="s">
        <v>718</v>
      </c>
    </row>
    <row r="5" spans="1:5" x14ac:dyDescent="0.2">
      <c r="A5" s="512">
        <v>1</v>
      </c>
      <c r="B5" s="111" t="s">
        <v>482</v>
      </c>
      <c r="C5" s="453">
        <f>6393777+1586831</f>
        <v>7980608</v>
      </c>
      <c r="D5" s="353" t="s">
        <v>483</v>
      </c>
      <c r="E5" s="435" t="s">
        <v>461</v>
      </c>
    </row>
    <row r="6" spans="1:5" x14ac:dyDescent="0.2">
      <c r="A6" s="512"/>
      <c r="B6" s="109" t="s">
        <v>484</v>
      </c>
      <c r="C6" s="453">
        <v>7980608</v>
      </c>
      <c r="D6" s="522"/>
      <c r="E6" s="435" t="s">
        <v>461</v>
      </c>
    </row>
    <row r="7" spans="1:5" x14ac:dyDescent="0.2">
      <c r="A7" s="512"/>
      <c r="B7" s="109" t="s">
        <v>485</v>
      </c>
      <c r="C7" s="453"/>
      <c r="D7" s="522"/>
      <c r="E7" s="435" t="s">
        <v>461</v>
      </c>
    </row>
    <row r="8" spans="1:5" x14ac:dyDescent="0.2">
      <c r="A8" s="512"/>
      <c r="B8" s="109" t="s">
        <v>486</v>
      </c>
      <c r="C8" s="453"/>
      <c r="D8" s="522"/>
      <c r="E8" s="435" t="s">
        <v>461</v>
      </c>
    </row>
    <row r="9" spans="1:5" x14ac:dyDescent="0.2">
      <c r="A9" s="512">
        <v>2</v>
      </c>
      <c r="B9" s="342" t="s">
        <v>487</v>
      </c>
      <c r="C9" s="453">
        <v>6857698</v>
      </c>
      <c r="D9" s="435" t="s">
        <v>488</v>
      </c>
      <c r="E9" s="435" t="s">
        <v>461</v>
      </c>
    </row>
    <row r="10" spans="1:5" x14ac:dyDescent="0.2">
      <c r="A10" s="512">
        <v>3</v>
      </c>
      <c r="B10" s="342" t="s">
        <v>489</v>
      </c>
      <c r="C10" s="453">
        <v>59315</v>
      </c>
      <c r="D10" s="521" t="s">
        <v>490</v>
      </c>
      <c r="E10" s="435" t="s">
        <v>461</v>
      </c>
    </row>
    <row r="11" spans="1:5" x14ac:dyDescent="0.2">
      <c r="A11" s="512" t="s">
        <v>491</v>
      </c>
      <c r="B11" s="109" t="s">
        <v>492</v>
      </c>
      <c r="C11" s="453"/>
      <c r="D11" s="522" t="s">
        <v>493</v>
      </c>
      <c r="E11" s="435" t="s">
        <v>461</v>
      </c>
    </row>
    <row r="12" spans="1:5" ht="12.75" customHeight="1" x14ac:dyDescent="0.2">
      <c r="A12" s="512">
        <v>4</v>
      </c>
      <c r="B12" s="342" t="s">
        <v>494</v>
      </c>
      <c r="C12" s="453"/>
      <c r="D12" s="522"/>
      <c r="E12" s="435" t="s">
        <v>461</v>
      </c>
    </row>
    <row r="13" spans="1:5" ht="12.75" customHeight="1" x14ac:dyDescent="0.2">
      <c r="A13" s="512"/>
      <c r="B13" s="342" t="s">
        <v>495</v>
      </c>
      <c r="C13" s="453"/>
      <c r="D13" s="522"/>
      <c r="E13" s="435" t="s">
        <v>461</v>
      </c>
    </row>
    <row r="14" spans="1:5" x14ac:dyDescent="0.2">
      <c r="A14" s="512">
        <v>5</v>
      </c>
      <c r="B14" s="109" t="s">
        <v>496</v>
      </c>
      <c r="C14" s="453">
        <v>0</v>
      </c>
      <c r="D14" s="522">
        <v>84</v>
      </c>
      <c r="E14" s="435" t="s">
        <v>461</v>
      </c>
    </row>
    <row r="15" spans="1:5" ht="12.75" customHeight="1" x14ac:dyDescent="0.2">
      <c r="A15" s="512" t="s">
        <v>497</v>
      </c>
      <c r="B15" s="342" t="s">
        <v>498</v>
      </c>
      <c r="C15" s="453"/>
      <c r="D15" s="522" t="s">
        <v>499</v>
      </c>
      <c r="E15" s="435" t="s">
        <v>461</v>
      </c>
    </row>
    <row r="16" spans="1:5" x14ac:dyDescent="0.2">
      <c r="A16" s="512">
        <v>6</v>
      </c>
      <c r="B16" s="515" t="s">
        <v>500</v>
      </c>
      <c r="C16" s="453">
        <f>C5+C9+C10+C14+C15</f>
        <v>14897621</v>
      </c>
      <c r="D16" s="527" t="s">
        <v>501</v>
      </c>
      <c r="E16" s="435" t="s">
        <v>461</v>
      </c>
    </row>
    <row r="17" spans="1:5" x14ac:dyDescent="0.2">
      <c r="A17" s="675"/>
      <c r="B17" s="675"/>
      <c r="C17" s="675"/>
      <c r="D17" s="675"/>
      <c r="E17" s="675"/>
    </row>
    <row r="18" spans="1:5" ht="13.5" thickBot="1" x14ac:dyDescent="0.25">
      <c r="A18" s="563"/>
      <c r="B18" s="520" t="s">
        <v>502</v>
      </c>
      <c r="C18" s="520"/>
      <c r="D18" s="520"/>
      <c r="E18" s="520"/>
    </row>
    <row r="19" spans="1:5" ht="12.75" customHeight="1" x14ac:dyDescent="0.2">
      <c r="A19" s="512">
        <v>7</v>
      </c>
      <c r="B19" s="342" t="s">
        <v>503</v>
      </c>
      <c r="C19" s="453">
        <v>-48471</v>
      </c>
      <c r="D19" s="522" t="s">
        <v>504</v>
      </c>
      <c r="E19" s="435" t="s">
        <v>461</v>
      </c>
    </row>
    <row r="20" spans="1:5" ht="12.75" customHeight="1" x14ac:dyDescent="0.2">
      <c r="A20" s="512">
        <v>8</v>
      </c>
      <c r="B20" s="342" t="s">
        <v>505</v>
      </c>
      <c r="C20" s="453">
        <f>-20006-4247</f>
        <v>-24253</v>
      </c>
      <c r="D20" s="353" t="s">
        <v>506</v>
      </c>
      <c r="E20" s="435" t="s">
        <v>461</v>
      </c>
    </row>
    <row r="21" spans="1:5" x14ac:dyDescent="0.2">
      <c r="A21" s="512">
        <v>9</v>
      </c>
      <c r="B21" s="342" t="s">
        <v>507</v>
      </c>
      <c r="C21" s="453"/>
      <c r="D21" s="435"/>
      <c r="E21" s="435" t="s">
        <v>461</v>
      </c>
    </row>
    <row r="22" spans="1:5" ht="12.75" customHeight="1" x14ac:dyDescent="0.2">
      <c r="A22" s="512">
        <v>10</v>
      </c>
      <c r="B22" s="342" t="s">
        <v>508</v>
      </c>
      <c r="C22" s="453">
        <v>0</v>
      </c>
      <c r="D22" s="521" t="s">
        <v>509</v>
      </c>
      <c r="E22" s="435" t="s">
        <v>461</v>
      </c>
    </row>
    <row r="23" spans="1:5" ht="12.75" customHeight="1" x14ac:dyDescent="0.2">
      <c r="A23" s="512">
        <v>11</v>
      </c>
      <c r="B23" s="342" t="s">
        <v>510</v>
      </c>
      <c r="C23" s="453">
        <v>0</v>
      </c>
      <c r="D23" s="522" t="s">
        <v>511</v>
      </c>
      <c r="E23" s="435" t="s">
        <v>461</v>
      </c>
    </row>
    <row r="24" spans="1:5" ht="12.75" customHeight="1" x14ac:dyDescent="0.2">
      <c r="A24" s="512">
        <v>12</v>
      </c>
      <c r="B24" s="514" t="s">
        <v>512</v>
      </c>
      <c r="C24" s="453">
        <v>-676136</v>
      </c>
      <c r="D24" s="521" t="s">
        <v>513</v>
      </c>
      <c r="E24" s="435" t="s">
        <v>461</v>
      </c>
    </row>
    <row r="25" spans="1:5" ht="12.75" customHeight="1" x14ac:dyDescent="0.2">
      <c r="A25" s="512">
        <v>13</v>
      </c>
      <c r="B25" s="342" t="s">
        <v>514</v>
      </c>
      <c r="C25" s="453">
        <v>0</v>
      </c>
      <c r="D25" s="522" t="s">
        <v>515</v>
      </c>
      <c r="E25" s="435" t="s">
        <v>461</v>
      </c>
    </row>
    <row r="26" spans="1:5" ht="12.75" customHeight="1" x14ac:dyDescent="0.2">
      <c r="A26" s="512">
        <v>14</v>
      </c>
      <c r="B26" s="342" t="s">
        <v>516</v>
      </c>
      <c r="C26" s="453">
        <v>0</v>
      </c>
      <c r="D26" s="353" t="s">
        <v>517</v>
      </c>
      <c r="E26" s="435" t="s">
        <v>461</v>
      </c>
    </row>
    <row r="27" spans="1:5" x14ac:dyDescent="0.2">
      <c r="A27" s="512">
        <v>15</v>
      </c>
      <c r="B27" s="342" t="s">
        <v>518</v>
      </c>
      <c r="C27" s="453">
        <v>0</v>
      </c>
      <c r="D27" s="353" t="s">
        <v>519</v>
      </c>
      <c r="E27" s="435" t="s">
        <v>461</v>
      </c>
    </row>
    <row r="28" spans="1:5" ht="12.75" customHeight="1" x14ac:dyDescent="0.2">
      <c r="A28" s="512">
        <v>16</v>
      </c>
      <c r="B28" s="342" t="s">
        <v>520</v>
      </c>
      <c r="C28" s="453">
        <v>-5776</v>
      </c>
      <c r="D28" s="353" t="s">
        <v>521</v>
      </c>
      <c r="E28" s="435" t="s">
        <v>461</v>
      </c>
    </row>
    <row r="29" spans="1:5" ht="12.75" customHeight="1" x14ac:dyDescent="0.2">
      <c r="A29" s="512">
        <v>17</v>
      </c>
      <c r="B29" s="514" t="s">
        <v>522</v>
      </c>
      <c r="C29" s="453">
        <v>0</v>
      </c>
      <c r="D29" s="521" t="s">
        <v>523</v>
      </c>
      <c r="E29" s="435" t="s">
        <v>461</v>
      </c>
    </row>
    <row r="30" spans="1:5" ht="25.5" customHeight="1" x14ac:dyDescent="0.2">
      <c r="A30" s="512">
        <v>18</v>
      </c>
      <c r="B30" s="514" t="s">
        <v>524</v>
      </c>
      <c r="C30" s="453">
        <v>0</v>
      </c>
      <c r="D30" s="521" t="s">
        <v>525</v>
      </c>
      <c r="E30" s="435" t="s">
        <v>461</v>
      </c>
    </row>
    <row r="31" spans="1:5" ht="25.5" customHeight="1" x14ac:dyDescent="0.2">
      <c r="A31" s="512">
        <v>19</v>
      </c>
      <c r="B31" s="342" t="s">
        <v>526</v>
      </c>
      <c r="C31" s="453">
        <v>-325808</v>
      </c>
      <c r="D31" s="521" t="s">
        <v>527</v>
      </c>
      <c r="E31" s="435" t="s">
        <v>461</v>
      </c>
    </row>
    <row r="32" spans="1:5" x14ac:dyDescent="0.2">
      <c r="A32" s="512">
        <v>20</v>
      </c>
      <c r="B32" s="342" t="s">
        <v>507</v>
      </c>
      <c r="C32" s="453"/>
      <c r="D32" s="435"/>
      <c r="E32" s="435" t="s">
        <v>461</v>
      </c>
    </row>
    <row r="33" spans="1:5" x14ac:dyDescent="0.2">
      <c r="A33" s="512" t="s">
        <v>447</v>
      </c>
      <c r="B33" s="342" t="s">
        <v>528</v>
      </c>
      <c r="C33" s="453">
        <f>C35+C36</f>
        <v>0</v>
      </c>
      <c r="D33" s="522" t="s">
        <v>529</v>
      </c>
      <c r="E33" s="435" t="s">
        <v>461</v>
      </c>
    </row>
    <row r="34" spans="1:5" ht="12.75" customHeight="1" x14ac:dyDescent="0.2">
      <c r="A34" s="513" t="s">
        <v>451</v>
      </c>
      <c r="B34" s="342" t="s">
        <v>530</v>
      </c>
      <c r="C34" s="453"/>
      <c r="D34" s="353" t="s">
        <v>531</v>
      </c>
      <c r="E34" s="435" t="s">
        <v>461</v>
      </c>
    </row>
    <row r="35" spans="1:5" ht="13.5" customHeight="1" x14ac:dyDescent="0.2">
      <c r="A35" s="513" t="s">
        <v>532</v>
      </c>
      <c r="B35" s="514" t="s">
        <v>533</v>
      </c>
      <c r="C35" s="453">
        <v>0</v>
      </c>
      <c r="D35" s="353" t="s">
        <v>534</v>
      </c>
      <c r="E35" s="435" t="s">
        <v>461</v>
      </c>
    </row>
    <row r="36" spans="1:5" ht="12.75" customHeight="1" x14ac:dyDescent="0.2">
      <c r="A36" s="513" t="s">
        <v>535</v>
      </c>
      <c r="B36" s="342" t="s">
        <v>536</v>
      </c>
      <c r="C36" s="453">
        <v>0</v>
      </c>
      <c r="D36" s="521" t="s">
        <v>537</v>
      </c>
      <c r="E36" s="435" t="s">
        <v>461</v>
      </c>
    </row>
    <row r="37" spans="1:5" ht="12.75" customHeight="1" x14ac:dyDescent="0.2">
      <c r="A37" s="512">
        <v>21</v>
      </c>
      <c r="B37" s="342" t="s">
        <v>538</v>
      </c>
      <c r="C37" s="453">
        <v>0</v>
      </c>
      <c r="D37" s="521" t="s">
        <v>539</v>
      </c>
      <c r="E37" s="435" t="s">
        <v>461</v>
      </c>
    </row>
    <row r="38" spans="1:5" ht="12.75" customHeight="1" x14ac:dyDescent="0.2">
      <c r="A38" s="512">
        <v>22</v>
      </c>
      <c r="B38" s="342" t="s">
        <v>540</v>
      </c>
      <c r="C38" s="453">
        <v>0</v>
      </c>
      <c r="D38" s="522" t="s">
        <v>541</v>
      </c>
      <c r="E38" s="435" t="s">
        <v>461</v>
      </c>
    </row>
    <row r="39" spans="1:5" ht="12.75" customHeight="1" x14ac:dyDescent="0.2">
      <c r="A39" s="512">
        <v>23</v>
      </c>
      <c r="B39" s="342" t="s">
        <v>542</v>
      </c>
      <c r="C39" s="453">
        <v>0</v>
      </c>
      <c r="D39" s="521" t="s">
        <v>543</v>
      </c>
      <c r="E39" s="435" t="s">
        <v>461</v>
      </c>
    </row>
    <row r="40" spans="1:5" x14ac:dyDescent="0.2">
      <c r="A40" s="512">
        <v>24</v>
      </c>
      <c r="B40" s="342" t="s">
        <v>507</v>
      </c>
      <c r="C40" s="453"/>
      <c r="D40" s="435"/>
      <c r="E40" s="435" t="s">
        <v>461</v>
      </c>
    </row>
    <row r="41" spans="1:5" ht="12" customHeight="1" x14ac:dyDescent="0.2">
      <c r="A41" s="512">
        <v>25</v>
      </c>
      <c r="B41" s="342" t="s">
        <v>544</v>
      </c>
      <c r="C41" s="453">
        <v>0</v>
      </c>
      <c r="D41" s="353" t="s">
        <v>539</v>
      </c>
      <c r="E41" s="435" t="s">
        <v>461</v>
      </c>
    </row>
    <row r="42" spans="1:5" ht="12.75" customHeight="1" x14ac:dyDescent="0.2">
      <c r="A42" s="513" t="s">
        <v>545</v>
      </c>
      <c r="B42" s="342" t="s">
        <v>546</v>
      </c>
      <c r="C42" s="453">
        <v>0</v>
      </c>
      <c r="D42" s="522" t="s">
        <v>547</v>
      </c>
      <c r="E42" s="435" t="s">
        <v>461</v>
      </c>
    </row>
    <row r="43" spans="1:5" ht="12.75" customHeight="1" x14ac:dyDescent="0.2">
      <c r="A43" s="513" t="s">
        <v>548</v>
      </c>
      <c r="B43" s="342" t="s">
        <v>549</v>
      </c>
      <c r="C43" s="453">
        <v>0</v>
      </c>
      <c r="D43" s="522" t="s">
        <v>550</v>
      </c>
      <c r="E43" s="435" t="s">
        <v>461</v>
      </c>
    </row>
    <row r="44" spans="1:5" ht="12.75" customHeight="1" x14ac:dyDescent="0.2">
      <c r="A44" s="512">
        <v>26</v>
      </c>
      <c r="B44" s="342" t="s">
        <v>551</v>
      </c>
      <c r="C44" s="453">
        <v>-269</v>
      </c>
      <c r="D44" s="353" t="s">
        <v>552</v>
      </c>
      <c r="E44" s="435" t="s">
        <v>461</v>
      </c>
    </row>
    <row r="45" spans="1:5" ht="12.75" customHeight="1" x14ac:dyDescent="0.2">
      <c r="A45" s="513" t="s">
        <v>553</v>
      </c>
      <c r="B45" s="342" t="s">
        <v>554</v>
      </c>
      <c r="C45" s="453">
        <v>-269</v>
      </c>
      <c r="D45" s="435"/>
      <c r="E45" s="435" t="s">
        <v>461</v>
      </c>
    </row>
    <row r="46" spans="1:5" x14ac:dyDescent="0.2">
      <c r="A46" s="109"/>
      <c r="B46" s="342" t="s">
        <v>555</v>
      </c>
      <c r="C46" s="453"/>
      <c r="D46" s="435"/>
      <c r="E46" s="435" t="s">
        <v>461</v>
      </c>
    </row>
    <row r="47" spans="1:5" x14ac:dyDescent="0.2">
      <c r="A47" s="109"/>
      <c r="B47" s="342" t="s">
        <v>556</v>
      </c>
      <c r="C47" s="453"/>
      <c r="D47" s="435"/>
      <c r="E47" s="435" t="s">
        <v>461</v>
      </c>
    </row>
    <row r="48" spans="1:5" x14ac:dyDescent="0.2">
      <c r="A48" s="109"/>
      <c r="B48" s="342" t="s">
        <v>557</v>
      </c>
      <c r="C48" s="453"/>
      <c r="D48" s="435">
        <v>468</v>
      </c>
      <c r="E48" s="435" t="s">
        <v>461</v>
      </c>
    </row>
    <row r="49" spans="1:6" x14ac:dyDescent="0.2">
      <c r="A49" s="109"/>
      <c r="B49" s="342" t="s">
        <v>558</v>
      </c>
      <c r="C49" s="453"/>
      <c r="D49" s="522">
        <v>468</v>
      </c>
      <c r="E49" s="435" t="s">
        <v>461</v>
      </c>
    </row>
    <row r="50" spans="1:6" ht="12.75" customHeight="1" x14ac:dyDescent="0.2">
      <c r="A50" s="513" t="s">
        <v>559</v>
      </c>
      <c r="B50" s="342" t="s">
        <v>560</v>
      </c>
      <c r="C50" s="453"/>
      <c r="D50" s="435"/>
      <c r="E50" s="435" t="s">
        <v>461</v>
      </c>
    </row>
    <row r="51" spans="1:6" x14ac:dyDescent="0.2">
      <c r="A51" s="109"/>
      <c r="B51" s="342" t="s">
        <v>561</v>
      </c>
      <c r="C51" s="453"/>
      <c r="D51" s="435"/>
      <c r="E51" s="435" t="s">
        <v>461</v>
      </c>
    </row>
    <row r="52" spans="1:6" ht="12.75" customHeight="1" x14ac:dyDescent="0.2">
      <c r="A52" s="512">
        <v>27</v>
      </c>
      <c r="B52" s="342" t="s">
        <v>562</v>
      </c>
      <c r="C52" s="453">
        <v>0</v>
      </c>
      <c r="D52" s="521" t="s">
        <v>563</v>
      </c>
      <c r="E52" s="435" t="s">
        <v>461</v>
      </c>
    </row>
    <row r="53" spans="1:6" x14ac:dyDescent="0.2">
      <c r="A53" s="512">
        <v>28</v>
      </c>
      <c r="B53" s="525" t="s">
        <v>564</v>
      </c>
      <c r="C53" s="365">
        <f>SUM(C19:C33)+C44</f>
        <v>-1080713</v>
      </c>
      <c r="D53" s="528" t="s">
        <v>565</v>
      </c>
      <c r="E53" s="435" t="s">
        <v>461</v>
      </c>
    </row>
    <row r="54" spans="1:6" ht="12.75" customHeight="1" x14ac:dyDescent="0.2">
      <c r="A54" s="512">
        <v>29</v>
      </c>
      <c r="B54" s="525" t="s">
        <v>566</v>
      </c>
      <c r="C54" s="365">
        <f>C16+C53</f>
        <v>13816908</v>
      </c>
      <c r="D54" s="529" t="s">
        <v>567</v>
      </c>
      <c r="E54" s="435" t="s">
        <v>461</v>
      </c>
    </row>
    <row r="55" spans="1:6" ht="12.75" customHeight="1" x14ac:dyDescent="0.2">
      <c r="A55" s="512"/>
      <c r="B55" s="525"/>
      <c r="C55" s="365"/>
      <c r="D55" s="526"/>
      <c r="E55" s="109"/>
      <c r="F55" s="498"/>
    </row>
    <row r="56" spans="1:6" ht="13.5" thickBot="1" x14ac:dyDescent="0.25">
      <c r="A56" s="563"/>
      <c r="B56" s="520" t="s">
        <v>568</v>
      </c>
      <c r="C56" s="520"/>
      <c r="D56" s="520"/>
      <c r="E56" s="520"/>
    </row>
    <row r="57" spans="1:6" x14ac:dyDescent="0.2">
      <c r="A57" s="512">
        <v>30</v>
      </c>
      <c r="B57" s="111" t="s">
        <v>482</v>
      </c>
      <c r="C57" s="365">
        <f>1018872-322</f>
        <v>1018550</v>
      </c>
      <c r="D57" s="435" t="s">
        <v>569</v>
      </c>
      <c r="E57" s="435" t="s">
        <v>461</v>
      </c>
    </row>
    <row r="58" spans="1:6" ht="12.75" customHeight="1" x14ac:dyDescent="0.2">
      <c r="A58" s="512">
        <v>31</v>
      </c>
      <c r="B58" s="342" t="s">
        <v>570</v>
      </c>
      <c r="C58" s="365">
        <v>0</v>
      </c>
      <c r="D58" s="435"/>
      <c r="E58" s="435" t="s">
        <v>461</v>
      </c>
    </row>
    <row r="59" spans="1:6" ht="12.75" customHeight="1" x14ac:dyDescent="0.2">
      <c r="A59" s="512">
        <v>32</v>
      </c>
      <c r="B59" s="342" t="s">
        <v>571</v>
      </c>
      <c r="C59" s="365">
        <f>1018872-322</f>
        <v>1018550</v>
      </c>
      <c r="D59" s="435"/>
      <c r="E59" s="435" t="s">
        <v>461</v>
      </c>
    </row>
    <row r="60" spans="1:6" x14ac:dyDescent="0.2">
      <c r="A60" s="512">
        <v>33</v>
      </c>
      <c r="B60" s="342" t="s">
        <v>572</v>
      </c>
      <c r="C60" s="365">
        <v>0</v>
      </c>
      <c r="D60" s="435" t="s">
        <v>573</v>
      </c>
      <c r="E60" s="435" t="s">
        <v>461</v>
      </c>
    </row>
    <row r="61" spans="1:6" ht="12.75" customHeight="1" x14ac:dyDescent="0.2">
      <c r="A61" s="512">
        <v>34</v>
      </c>
      <c r="B61" s="342" t="s">
        <v>574</v>
      </c>
      <c r="C61" s="365"/>
      <c r="D61" s="435" t="s">
        <v>575</v>
      </c>
      <c r="E61" s="435" t="s">
        <v>461</v>
      </c>
    </row>
    <row r="62" spans="1:6" x14ac:dyDescent="0.2">
      <c r="A62" s="512">
        <v>35</v>
      </c>
      <c r="B62" s="111" t="s">
        <v>576</v>
      </c>
      <c r="C62" s="365"/>
      <c r="D62" s="435"/>
      <c r="E62" s="435" t="s">
        <v>461</v>
      </c>
    </row>
    <row r="63" spans="1:6" x14ac:dyDescent="0.2">
      <c r="A63" s="512">
        <v>36</v>
      </c>
      <c r="B63" s="525" t="s">
        <v>577</v>
      </c>
      <c r="C63" s="365">
        <f>C57+C60+C61</f>
        <v>1018550</v>
      </c>
      <c r="D63" s="528" t="s">
        <v>578</v>
      </c>
      <c r="E63" s="435" t="s">
        <v>461</v>
      </c>
    </row>
    <row r="64" spans="1:6" x14ac:dyDescent="0.2">
      <c r="A64" s="512"/>
      <c r="B64" s="516"/>
      <c r="C64" s="453"/>
      <c r="D64" s="523"/>
      <c r="E64" s="109"/>
    </row>
    <row r="65" spans="1:5" ht="12.75" customHeight="1" thickBot="1" x14ac:dyDescent="0.25">
      <c r="A65" s="563"/>
      <c r="B65" s="520" t="s">
        <v>579</v>
      </c>
      <c r="C65" s="520"/>
      <c r="D65" s="520"/>
      <c r="E65" s="520"/>
    </row>
    <row r="66" spans="1:5" ht="12.75" customHeight="1" x14ac:dyDescent="0.2">
      <c r="A66" s="512">
        <v>37</v>
      </c>
      <c r="B66" s="342" t="s">
        <v>580</v>
      </c>
      <c r="C66" s="453">
        <v>-7236</v>
      </c>
      <c r="D66" s="353" t="s">
        <v>581</v>
      </c>
      <c r="E66" s="435" t="s">
        <v>461</v>
      </c>
    </row>
    <row r="67" spans="1:5" ht="12.75" customHeight="1" x14ac:dyDescent="0.2">
      <c r="A67" s="512">
        <v>38</v>
      </c>
      <c r="B67" s="342" t="s">
        <v>582</v>
      </c>
      <c r="C67" s="453">
        <v>0</v>
      </c>
      <c r="D67" s="522" t="s">
        <v>583</v>
      </c>
      <c r="E67" s="435" t="s">
        <v>461</v>
      </c>
    </row>
    <row r="68" spans="1:5" ht="24.75" customHeight="1" x14ac:dyDescent="0.2">
      <c r="A68" s="512">
        <v>39</v>
      </c>
      <c r="B68" s="514" t="s">
        <v>584</v>
      </c>
      <c r="C68" s="453">
        <v>0</v>
      </c>
      <c r="D68" s="521" t="s">
        <v>585</v>
      </c>
      <c r="E68" s="435" t="s">
        <v>461</v>
      </c>
    </row>
    <row r="69" spans="1:5" ht="25.5" customHeight="1" x14ac:dyDescent="0.2">
      <c r="A69" s="512">
        <v>40</v>
      </c>
      <c r="B69" s="514" t="s">
        <v>586</v>
      </c>
      <c r="C69" s="453">
        <v>0</v>
      </c>
      <c r="D69" s="521" t="s">
        <v>587</v>
      </c>
      <c r="E69" s="435" t="s">
        <v>461</v>
      </c>
    </row>
    <row r="70" spans="1:5" ht="12.75" customHeight="1" x14ac:dyDescent="0.2">
      <c r="A70" s="512">
        <v>41</v>
      </c>
      <c r="B70" s="342" t="s">
        <v>588</v>
      </c>
      <c r="C70" s="453">
        <f>C71+C73+C75</f>
        <v>0</v>
      </c>
      <c r="D70" s="353" t="s">
        <v>589</v>
      </c>
      <c r="E70" s="435" t="s">
        <v>461</v>
      </c>
    </row>
    <row r="71" spans="1:5" ht="12.75" customHeight="1" x14ac:dyDescent="0.2">
      <c r="A71" s="513" t="s">
        <v>590</v>
      </c>
      <c r="B71" s="342" t="s">
        <v>591</v>
      </c>
      <c r="C71" s="453">
        <v>0</v>
      </c>
      <c r="D71" s="521" t="s">
        <v>592</v>
      </c>
      <c r="E71" s="435" t="s">
        <v>461</v>
      </c>
    </row>
    <row r="72" spans="1:5" x14ac:dyDescent="0.2">
      <c r="A72" s="109"/>
      <c r="B72" s="109" t="s">
        <v>593</v>
      </c>
      <c r="C72" s="453"/>
      <c r="D72" s="435"/>
      <c r="E72" s="109"/>
    </row>
    <row r="73" spans="1:5" ht="12.75" customHeight="1" x14ac:dyDescent="0.2">
      <c r="A73" s="513" t="s">
        <v>594</v>
      </c>
      <c r="B73" s="342" t="s">
        <v>595</v>
      </c>
      <c r="C73" s="453"/>
      <c r="D73" s="435"/>
      <c r="E73" s="109"/>
    </row>
    <row r="74" spans="1:5" x14ac:dyDescent="0.2">
      <c r="A74" s="109"/>
      <c r="B74" s="342" t="s">
        <v>593</v>
      </c>
      <c r="C74" s="453"/>
      <c r="D74" s="435"/>
      <c r="E74" s="109"/>
    </row>
    <row r="75" spans="1:5" ht="12.75" customHeight="1" x14ac:dyDescent="0.2">
      <c r="A75" s="513" t="s">
        <v>596</v>
      </c>
      <c r="B75" s="342" t="s">
        <v>597</v>
      </c>
      <c r="C75" s="453"/>
      <c r="D75" s="435"/>
      <c r="E75" s="109"/>
    </row>
    <row r="76" spans="1:5" ht="12.75" customHeight="1" x14ac:dyDescent="0.2">
      <c r="A76" s="109"/>
      <c r="B76" s="342" t="s">
        <v>598</v>
      </c>
      <c r="C76" s="453"/>
      <c r="D76" s="435"/>
      <c r="E76" s="109"/>
    </row>
    <row r="77" spans="1:5" x14ac:dyDescent="0.2">
      <c r="A77" s="109"/>
      <c r="B77" s="342" t="s">
        <v>599</v>
      </c>
      <c r="C77" s="453"/>
      <c r="D77" s="435"/>
      <c r="E77" s="109"/>
    </row>
    <row r="78" spans="1:5" x14ac:dyDescent="0.2">
      <c r="A78" s="109"/>
      <c r="B78" s="342" t="s">
        <v>561</v>
      </c>
      <c r="C78" s="453"/>
      <c r="D78" s="435"/>
      <c r="E78" s="109"/>
    </row>
    <row r="79" spans="1:5" x14ac:dyDescent="0.2">
      <c r="A79" s="512">
        <v>42</v>
      </c>
      <c r="B79" s="342" t="s">
        <v>600</v>
      </c>
      <c r="C79" s="453">
        <v>0</v>
      </c>
      <c r="D79" s="435" t="s">
        <v>601</v>
      </c>
      <c r="E79" s="435" t="s">
        <v>461</v>
      </c>
    </row>
    <row r="80" spans="1:5" x14ac:dyDescent="0.2">
      <c r="A80" s="512">
        <v>43</v>
      </c>
      <c r="B80" s="515" t="s">
        <v>602</v>
      </c>
      <c r="C80" s="453">
        <f>SUM(C66:C70)</f>
        <v>-7236</v>
      </c>
      <c r="D80" s="528" t="s">
        <v>603</v>
      </c>
      <c r="E80" s="435" t="s">
        <v>461</v>
      </c>
    </row>
    <row r="81" spans="1:6" ht="12.75" customHeight="1" x14ac:dyDescent="0.2">
      <c r="A81" s="512">
        <v>44</v>
      </c>
      <c r="B81" s="515" t="s">
        <v>604</v>
      </c>
      <c r="C81" s="453">
        <f>C63+C80</f>
        <v>1011314</v>
      </c>
      <c r="D81" s="528" t="s">
        <v>605</v>
      </c>
      <c r="E81" s="435" t="s">
        <v>461</v>
      </c>
    </row>
    <row r="82" spans="1:6" ht="12" customHeight="1" x14ac:dyDescent="0.2">
      <c r="A82" s="512">
        <v>45</v>
      </c>
      <c r="B82" s="515" t="s">
        <v>148</v>
      </c>
      <c r="C82" s="453">
        <f>C54+C81</f>
        <v>14828222</v>
      </c>
      <c r="D82" s="528" t="s">
        <v>606</v>
      </c>
      <c r="E82" s="435" t="s">
        <v>461</v>
      </c>
    </row>
    <row r="83" spans="1:6" x14ac:dyDescent="0.2">
      <c r="A83" s="512"/>
      <c r="B83" s="515"/>
      <c r="C83" s="453"/>
      <c r="D83" s="523"/>
      <c r="E83" s="109"/>
      <c r="F83" s="498"/>
    </row>
    <row r="84" spans="1:6" ht="12.75" customHeight="1" thickBot="1" x14ac:dyDescent="0.25">
      <c r="A84" s="563"/>
      <c r="B84" s="520" t="s">
        <v>607</v>
      </c>
      <c r="C84" s="520"/>
      <c r="D84" s="520"/>
      <c r="E84" s="520"/>
      <c r="F84" s="498"/>
    </row>
    <row r="85" spans="1:6" x14ac:dyDescent="0.2">
      <c r="A85" s="512">
        <v>46</v>
      </c>
      <c r="B85" s="342" t="s">
        <v>482</v>
      </c>
      <c r="C85" s="453">
        <f>2590820</f>
        <v>2590820</v>
      </c>
      <c r="D85" s="435" t="s">
        <v>608</v>
      </c>
      <c r="E85" s="435" t="s">
        <v>461</v>
      </c>
    </row>
    <row r="86" spans="1:6" x14ac:dyDescent="0.2">
      <c r="A86" s="512">
        <v>47</v>
      </c>
      <c r="B86" s="342" t="s">
        <v>609</v>
      </c>
      <c r="C86" s="453">
        <v>120750</v>
      </c>
      <c r="D86" s="435" t="s">
        <v>610</v>
      </c>
      <c r="E86" s="435" t="s">
        <v>461</v>
      </c>
    </row>
    <row r="87" spans="1:6" ht="12.75" customHeight="1" x14ac:dyDescent="0.2">
      <c r="A87" s="109"/>
      <c r="B87" s="342" t="s">
        <v>611</v>
      </c>
      <c r="C87" s="453"/>
      <c r="D87" s="435"/>
      <c r="E87" s="435" t="s">
        <v>461</v>
      </c>
    </row>
    <row r="88" spans="1:6" ht="12.75" customHeight="1" x14ac:dyDescent="0.2">
      <c r="A88" s="512">
        <v>48</v>
      </c>
      <c r="B88" s="342" t="s">
        <v>612</v>
      </c>
      <c r="C88" s="453">
        <v>0</v>
      </c>
      <c r="D88" s="522" t="s">
        <v>613</v>
      </c>
      <c r="E88" s="435" t="s">
        <v>461</v>
      </c>
    </row>
    <row r="89" spans="1:6" x14ac:dyDescent="0.2">
      <c r="A89" s="512">
        <v>49</v>
      </c>
      <c r="B89" s="514" t="s">
        <v>576</v>
      </c>
      <c r="C89" s="453"/>
      <c r="D89" s="435"/>
      <c r="E89" s="435" t="s">
        <v>461</v>
      </c>
    </row>
    <row r="90" spans="1:6" x14ac:dyDescent="0.2">
      <c r="A90" s="512">
        <v>50</v>
      </c>
      <c r="B90" s="342" t="s">
        <v>614</v>
      </c>
      <c r="C90" s="453">
        <v>0</v>
      </c>
      <c r="D90" s="435" t="s">
        <v>615</v>
      </c>
      <c r="E90" s="435" t="s">
        <v>461</v>
      </c>
    </row>
    <row r="91" spans="1:6" x14ac:dyDescent="0.2">
      <c r="A91" s="512">
        <v>51</v>
      </c>
      <c r="B91" s="515" t="s">
        <v>616</v>
      </c>
      <c r="C91" s="453">
        <f>SUM(C85:C88)+C90</f>
        <v>2711570</v>
      </c>
      <c r="D91" s="528" t="s">
        <v>617</v>
      </c>
      <c r="E91" s="435" t="s">
        <v>461</v>
      </c>
    </row>
    <row r="92" spans="1:6" x14ac:dyDescent="0.2">
      <c r="A92" s="512"/>
      <c r="B92" s="515"/>
      <c r="C92" s="453"/>
      <c r="D92" s="523"/>
      <c r="E92" s="109"/>
      <c r="F92" s="498"/>
    </row>
    <row r="93" spans="1:6" ht="13.5" thickBot="1" x14ac:dyDescent="0.25">
      <c r="A93" s="563"/>
      <c r="B93" s="520" t="s">
        <v>618</v>
      </c>
      <c r="C93" s="520"/>
      <c r="D93" s="520"/>
      <c r="E93" s="520"/>
      <c r="F93" s="498"/>
    </row>
    <row r="94" spans="1:6" ht="12.75" customHeight="1" x14ac:dyDescent="0.2">
      <c r="A94" s="512">
        <v>52</v>
      </c>
      <c r="B94" s="342" t="s">
        <v>619</v>
      </c>
      <c r="C94" s="453">
        <v>-14472</v>
      </c>
      <c r="D94" s="521" t="s">
        <v>620</v>
      </c>
      <c r="E94" s="435" t="s">
        <v>461</v>
      </c>
    </row>
    <row r="95" spans="1:6" ht="12.75" customHeight="1" x14ac:dyDescent="0.2">
      <c r="A95" s="512">
        <v>53</v>
      </c>
      <c r="B95" s="342" t="s">
        <v>621</v>
      </c>
      <c r="C95" s="453">
        <v>0</v>
      </c>
      <c r="D95" s="522" t="s">
        <v>622</v>
      </c>
      <c r="E95" s="435" t="s">
        <v>461</v>
      </c>
    </row>
    <row r="96" spans="1:6" ht="25.5" customHeight="1" x14ac:dyDescent="0.2">
      <c r="A96" s="512">
        <v>54</v>
      </c>
      <c r="B96" s="514" t="s">
        <v>623</v>
      </c>
      <c r="C96" s="453">
        <v>0</v>
      </c>
      <c r="D96" s="353" t="s">
        <v>624</v>
      </c>
      <c r="E96" s="435" t="s">
        <v>461</v>
      </c>
    </row>
    <row r="97" spans="1:5" ht="12.75" customHeight="1" x14ac:dyDescent="0.2">
      <c r="A97" s="513" t="s">
        <v>625</v>
      </c>
      <c r="B97" s="342" t="s">
        <v>626</v>
      </c>
      <c r="C97" s="453">
        <v>0</v>
      </c>
      <c r="D97" s="522"/>
      <c r="E97" s="109"/>
    </row>
    <row r="98" spans="1:5" ht="12.75" customHeight="1" x14ac:dyDescent="0.2">
      <c r="A98" s="513" t="s">
        <v>627</v>
      </c>
      <c r="B98" s="342" t="s">
        <v>628</v>
      </c>
      <c r="C98" s="453">
        <v>0</v>
      </c>
      <c r="D98" s="522"/>
      <c r="E98" s="109"/>
    </row>
    <row r="99" spans="1:5" ht="25.5" customHeight="1" x14ac:dyDescent="0.2">
      <c r="A99" s="512">
        <v>55</v>
      </c>
      <c r="B99" s="342" t="s">
        <v>629</v>
      </c>
      <c r="C99" s="453">
        <v>-60473</v>
      </c>
      <c r="D99" s="353" t="s">
        <v>630</v>
      </c>
      <c r="E99" s="435" t="s">
        <v>461</v>
      </c>
    </row>
    <row r="100" spans="1:5" ht="12.75" customHeight="1" x14ac:dyDescent="0.2">
      <c r="A100" s="512">
        <v>56</v>
      </c>
      <c r="B100" s="342" t="s">
        <v>631</v>
      </c>
      <c r="C100" s="453">
        <f>C101+C103+C105</f>
        <v>0</v>
      </c>
      <c r="D100" s="521" t="s">
        <v>632</v>
      </c>
      <c r="E100" s="435" t="s">
        <v>461</v>
      </c>
    </row>
    <row r="101" spans="1:5" ht="12.75" customHeight="1" x14ac:dyDescent="0.2">
      <c r="A101" s="512" t="s">
        <v>633</v>
      </c>
      <c r="B101" s="342" t="s">
        <v>634</v>
      </c>
      <c r="C101" s="453">
        <v>0</v>
      </c>
      <c r="D101" s="521" t="s">
        <v>592</v>
      </c>
      <c r="E101" s="435" t="s">
        <v>461</v>
      </c>
    </row>
    <row r="102" spans="1:5" x14ac:dyDescent="0.2">
      <c r="A102" s="513"/>
      <c r="B102" s="342" t="s">
        <v>593</v>
      </c>
      <c r="C102" s="453"/>
      <c r="D102" s="522"/>
      <c r="E102" s="109"/>
    </row>
    <row r="103" spans="1:5" ht="12.75" customHeight="1" x14ac:dyDescent="0.2">
      <c r="A103" s="512" t="s">
        <v>635</v>
      </c>
      <c r="B103" s="342" t="s">
        <v>636</v>
      </c>
      <c r="C103" s="453">
        <v>0</v>
      </c>
      <c r="D103" s="522"/>
      <c r="E103" s="109"/>
    </row>
    <row r="104" spans="1:5" x14ac:dyDescent="0.2">
      <c r="A104" s="513"/>
      <c r="B104" s="342" t="s">
        <v>593</v>
      </c>
      <c r="C104" s="453"/>
      <c r="D104" s="522"/>
      <c r="E104" s="109"/>
    </row>
    <row r="105" spans="1:5" ht="12.75" customHeight="1" x14ac:dyDescent="0.2">
      <c r="A105" s="512" t="s">
        <v>637</v>
      </c>
      <c r="B105" s="342" t="s">
        <v>638</v>
      </c>
      <c r="C105" s="453">
        <v>0</v>
      </c>
      <c r="D105" s="522">
        <v>468</v>
      </c>
      <c r="E105" s="435" t="s">
        <v>461</v>
      </c>
    </row>
    <row r="106" spans="1:5" x14ac:dyDescent="0.2">
      <c r="A106" s="512"/>
      <c r="B106" s="342" t="s">
        <v>598</v>
      </c>
      <c r="C106" s="453"/>
      <c r="D106" s="522"/>
      <c r="E106" s="109"/>
    </row>
    <row r="107" spans="1:5" x14ac:dyDescent="0.2">
      <c r="A107" s="512"/>
      <c r="B107" s="342" t="s">
        <v>639</v>
      </c>
      <c r="C107" s="453"/>
      <c r="D107" s="522">
        <v>468</v>
      </c>
      <c r="E107" s="435" t="s">
        <v>461</v>
      </c>
    </row>
    <row r="108" spans="1:5" x14ac:dyDescent="0.2">
      <c r="A108" s="512"/>
      <c r="B108" s="342" t="s">
        <v>561</v>
      </c>
      <c r="C108" s="453"/>
      <c r="D108" s="522"/>
      <c r="E108" s="109"/>
    </row>
    <row r="109" spans="1:5" ht="12.75" customHeight="1" x14ac:dyDescent="0.2">
      <c r="A109" s="512">
        <v>57</v>
      </c>
      <c r="B109" s="515" t="s">
        <v>640</v>
      </c>
      <c r="C109" s="453">
        <f>SUM(C94:C96)+C99</f>
        <v>-74945</v>
      </c>
      <c r="D109" s="527" t="s">
        <v>641</v>
      </c>
      <c r="E109" s="435" t="s">
        <v>461</v>
      </c>
    </row>
    <row r="110" spans="1:5" ht="12.75" customHeight="1" x14ac:dyDescent="0.2">
      <c r="A110" s="512">
        <v>58</v>
      </c>
      <c r="B110" s="515" t="s">
        <v>642</v>
      </c>
      <c r="C110" s="453">
        <f>C91+C109</f>
        <v>2636625</v>
      </c>
      <c r="D110" s="527" t="s">
        <v>643</v>
      </c>
      <c r="E110" s="435" t="s">
        <v>461</v>
      </c>
    </row>
    <row r="111" spans="1:5" x14ac:dyDescent="0.2">
      <c r="A111" s="512">
        <v>59</v>
      </c>
      <c r="B111" s="515" t="s">
        <v>252</v>
      </c>
      <c r="C111" s="453">
        <f>C82+C110</f>
        <v>17464847</v>
      </c>
      <c r="D111" s="527" t="s">
        <v>644</v>
      </c>
      <c r="E111" s="435" t="s">
        <v>461</v>
      </c>
    </row>
    <row r="112" spans="1:5" ht="12" customHeight="1" x14ac:dyDescent="0.2">
      <c r="A112" s="512" t="s">
        <v>645</v>
      </c>
      <c r="B112" s="342" t="s">
        <v>646</v>
      </c>
      <c r="C112" s="453">
        <f>C113</f>
        <v>0</v>
      </c>
      <c r="D112" s="522" t="s">
        <v>647</v>
      </c>
      <c r="E112" s="435" t="s">
        <v>461</v>
      </c>
    </row>
    <row r="113" spans="1:6" x14ac:dyDescent="0.2">
      <c r="A113" s="513"/>
      <c r="B113" s="342" t="s">
        <v>648</v>
      </c>
      <c r="C113" s="453">
        <v>0</v>
      </c>
      <c r="D113" s="522" t="s">
        <v>649</v>
      </c>
      <c r="E113" s="435" t="s">
        <v>461</v>
      </c>
    </row>
    <row r="114" spans="1:6" ht="12.75" customHeight="1" x14ac:dyDescent="0.2">
      <c r="A114" s="513"/>
      <c r="B114" s="342" t="s">
        <v>650</v>
      </c>
      <c r="C114" s="453"/>
      <c r="D114" s="522"/>
      <c r="E114" s="109"/>
    </row>
    <row r="115" spans="1:6" x14ac:dyDescent="0.2">
      <c r="A115" s="513"/>
      <c r="B115" s="342" t="s">
        <v>651</v>
      </c>
      <c r="C115" s="453"/>
      <c r="D115" s="512"/>
      <c r="E115" s="109"/>
    </row>
    <row r="116" spans="1:6" x14ac:dyDescent="0.2">
      <c r="A116" s="512">
        <v>60</v>
      </c>
      <c r="B116" s="517" t="s">
        <v>652</v>
      </c>
      <c r="C116" s="453">
        <v>120188563</v>
      </c>
      <c r="D116" s="512"/>
      <c r="E116" s="109"/>
    </row>
    <row r="117" spans="1:6" x14ac:dyDescent="0.2">
      <c r="A117" s="512"/>
      <c r="B117" s="517"/>
      <c r="C117" s="453"/>
      <c r="D117" s="512"/>
      <c r="E117" s="109"/>
      <c r="F117" s="498"/>
    </row>
    <row r="118" spans="1:6" ht="12.75" customHeight="1" thickBot="1" x14ac:dyDescent="0.25">
      <c r="A118" s="563"/>
      <c r="B118" s="520" t="s">
        <v>653</v>
      </c>
      <c r="C118" s="520"/>
      <c r="D118" s="520"/>
      <c r="E118" s="520"/>
      <c r="F118" s="498"/>
    </row>
    <row r="119" spans="1:6" x14ac:dyDescent="0.2">
      <c r="A119" s="512">
        <v>61</v>
      </c>
      <c r="B119" s="517" t="s">
        <v>211</v>
      </c>
      <c r="C119" s="518">
        <f>C54/C116</f>
        <v>0.11496025624334988</v>
      </c>
      <c r="D119" s="522" t="s">
        <v>654</v>
      </c>
      <c r="E119" s="435" t="s">
        <v>461</v>
      </c>
    </row>
    <row r="120" spans="1:6" x14ac:dyDescent="0.2">
      <c r="A120" s="512">
        <v>62</v>
      </c>
      <c r="B120" s="517" t="s">
        <v>655</v>
      </c>
      <c r="C120" s="518">
        <f>C82/C116:D116</f>
        <v>0.1233746508808829</v>
      </c>
      <c r="D120" s="522" t="s">
        <v>656</v>
      </c>
      <c r="E120" s="435" t="s">
        <v>461</v>
      </c>
    </row>
    <row r="121" spans="1:6" x14ac:dyDescent="0.2">
      <c r="A121" s="512">
        <v>63</v>
      </c>
      <c r="B121" s="517" t="s">
        <v>115</v>
      </c>
      <c r="C121" s="518">
        <f>C111/C116</f>
        <v>0.14531205435911568</v>
      </c>
      <c r="D121" s="522" t="s">
        <v>657</v>
      </c>
      <c r="E121" s="435" t="s">
        <v>461</v>
      </c>
    </row>
    <row r="122" spans="1:6" x14ac:dyDescent="0.2">
      <c r="A122" s="512">
        <v>64</v>
      </c>
      <c r="B122" s="515" t="s">
        <v>658</v>
      </c>
      <c r="C122" s="518">
        <f>0.045+0.025+0.03</f>
        <v>0.1</v>
      </c>
      <c r="D122" s="521" t="s">
        <v>659</v>
      </c>
      <c r="E122" s="435" t="s">
        <v>461</v>
      </c>
    </row>
    <row r="123" spans="1:6" x14ac:dyDescent="0.2">
      <c r="A123" s="512">
        <v>65</v>
      </c>
      <c r="B123" s="517" t="s">
        <v>660</v>
      </c>
      <c r="C123" s="518">
        <v>2.5000000000000001E-2</v>
      </c>
      <c r="D123" s="522"/>
      <c r="E123" s="109"/>
    </row>
    <row r="124" spans="1:6" x14ac:dyDescent="0.2">
      <c r="A124" s="512">
        <v>66</v>
      </c>
      <c r="B124" s="517" t="s">
        <v>661</v>
      </c>
      <c r="C124" s="518"/>
      <c r="D124" s="522"/>
      <c r="E124" s="109"/>
    </row>
    <row r="125" spans="1:6" x14ac:dyDescent="0.2">
      <c r="A125" s="512">
        <v>67</v>
      </c>
      <c r="B125" s="517" t="s">
        <v>662</v>
      </c>
      <c r="C125" s="518">
        <v>0.03</v>
      </c>
      <c r="D125" s="522"/>
      <c r="E125" s="109"/>
    </row>
    <row r="126" spans="1:6" x14ac:dyDescent="0.2">
      <c r="A126" s="512" t="s">
        <v>663</v>
      </c>
      <c r="B126" s="517" t="s">
        <v>664</v>
      </c>
      <c r="C126" s="518">
        <v>0</v>
      </c>
      <c r="D126" s="522" t="s">
        <v>665</v>
      </c>
      <c r="E126" s="435" t="s">
        <v>461</v>
      </c>
    </row>
    <row r="127" spans="1:6" x14ac:dyDescent="0.2">
      <c r="A127" s="512">
        <v>68</v>
      </c>
      <c r="B127" s="517" t="s">
        <v>666</v>
      </c>
      <c r="C127" s="518">
        <f>C119-C122</f>
        <v>1.4960256243349873E-2</v>
      </c>
      <c r="D127" s="522" t="s">
        <v>667</v>
      </c>
      <c r="E127" s="435" t="s">
        <v>461</v>
      </c>
    </row>
    <row r="128" spans="1:6" x14ac:dyDescent="0.2">
      <c r="A128" s="512">
        <v>69</v>
      </c>
      <c r="B128" s="517" t="s">
        <v>668</v>
      </c>
      <c r="C128" s="109"/>
      <c r="D128" s="522"/>
      <c r="E128" s="109"/>
    </row>
    <row r="129" spans="1:6" x14ac:dyDescent="0.2">
      <c r="A129" s="512">
        <v>70</v>
      </c>
      <c r="B129" s="517" t="s">
        <v>668</v>
      </c>
      <c r="C129" s="109"/>
      <c r="D129" s="522"/>
      <c r="E129" s="109"/>
    </row>
    <row r="130" spans="1:6" x14ac:dyDescent="0.2">
      <c r="A130" s="512">
        <v>71</v>
      </c>
      <c r="B130" s="517" t="s">
        <v>668</v>
      </c>
      <c r="C130" s="109"/>
      <c r="D130" s="522"/>
      <c r="E130" s="109"/>
    </row>
    <row r="131" spans="1:6" x14ac:dyDescent="0.2">
      <c r="A131" s="512"/>
      <c r="B131" s="517"/>
      <c r="C131" s="109"/>
      <c r="D131" s="522"/>
      <c r="E131" s="109"/>
      <c r="F131" s="498"/>
    </row>
    <row r="132" spans="1:6" ht="13.5" thickBot="1" x14ac:dyDescent="0.25">
      <c r="A132" s="563"/>
      <c r="B132" s="520" t="s">
        <v>653</v>
      </c>
      <c r="C132" s="520"/>
      <c r="D132" s="520"/>
      <c r="E132" s="520"/>
      <c r="F132" s="498"/>
    </row>
    <row r="133" spans="1:6" ht="25.5" customHeight="1" x14ac:dyDescent="0.2">
      <c r="A133" s="512">
        <v>72</v>
      </c>
      <c r="B133" s="342" t="s">
        <v>669</v>
      </c>
      <c r="C133" s="559">
        <v>164768</v>
      </c>
      <c r="D133" s="521" t="s">
        <v>670</v>
      </c>
      <c r="E133" s="522" t="s">
        <v>461</v>
      </c>
    </row>
    <row r="134" spans="1:6" ht="25.5" customHeight="1" x14ac:dyDescent="0.2">
      <c r="A134" s="512">
        <v>73</v>
      </c>
      <c r="B134" s="342" t="s">
        <v>671</v>
      </c>
      <c r="C134" s="559">
        <v>1414299</v>
      </c>
      <c r="D134" s="521" t="s">
        <v>672</v>
      </c>
      <c r="E134" s="522" t="s">
        <v>461</v>
      </c>
    </row>
    <row r="135" spans="1:6" x14ac:dyDescent="0.2">
      <c r="A135" s="512">
        <v>74</v>
      </c>
      <c r="B135" s="111" t="s">
        <v>507</v>
      </c>
      <c r="C135" s="111"/>
      <c r="D135" s="435"/>
      <c r="E135" s="109"/>
    </row>
    <row r="136" spans="1:6" ht="12.75" customHeight="1" x14ac:dyDescent="0.2">
      <c r="A136" s="512">
        <v>75</v>
      </c>
      <c r="B136" s="342" t="s">
        <v>673</v>
      </c>
      <c r="C136" s="111"/>
      <c r="D136" s="353" t="s">
        <v>674</v>
      </c>
      <c r="E136" s="522" t="s">
        <v>461</v>
      </c>
    </row>
    <row r="137" spans="1:6" x14ac:dyDescent="0.2">
      <c r="A137" s="512"/>
      <c r="B137" s="342"/>
      <c r="C137" s="109"/>
      <c r="D137" s="521"/>
      <c r="E137" s="109"/>
      <c r="F137" s="498"/>
    </row>
    <row r="138" spans="1:6" ht="12.75" customHeight="1" thickBot="1" x14ac:dyDescent="0.25">
      <c r="A138" s="563"/>
      <c r="B138" s="520" t="s">
        <v>675</v>
      </c>
      <c r="C138" s="520"/>
      <c r="D138" s="520"/>
      <c r="E138" s="520"/>
      <c r="F138" s="498"/>
    </row>
    <row r="139" spans="1:6" x14ac:dyDescent="0.2">
      <c r="A139" s="512">
        <v>76</v>
      </c>
      <c r="B139" s="109" t="s">
        <v>676</v>
      </c>
      <c r="C139" s="435">
        <v>0</v>
      </c>
      <c r="D139" s="435">
        <v>62</v>
      </c>
      <c r="E139" s="522" t="s">
        <v>461</v>
      </c>
    </row>
    <row r="140" spans="1:6" ht="12.75" customHeight="1" x14ac:dyDescent="0.2">
      <c r="A140" s="512">
        <v>77</v>
      </c>
      <c r="B140" s="342" t="s">
        <v>677</v>
      </c>
      <c r="C140" s="435"/>
      <c r="D140" s="435">
        <v>62</v>
      </c>
      <c r="E140" s="522" t="s">
        <v>461</v>
      </c>
    </row>
    <row r="141" spans="1:6" x14ac:dyDescent="0.2">
      <c r="A141" s="512">
        <v>78</v>
      </c>
      <c r="B141" s="109" t="s">
        <v>614</v>
      </c>
      <c r="C141" s="435">
        <v>0</v>
      </c>
      <c r="D141" s="435">
        <v>62</v>
      </c>
      <c r="E141" s="522" t="s">
        <v>461</v>
      </c>
    </row>
    <row r="142" spans="1:6" ht="12.75" customHeight="1" x14ac:dyDescent="0.2">
      <c r="A142" s="512">
        <v>79</v>
      </c>
      <c r="B142" s="342" t="s">
        <v>678</v>
      </c>
      <c r="C142" s="435"/>
      <c r="D142" s="435">
        <v>62</v>
      </c>
      <c r="E142" s="522" t="s">
        <v>461</v>
      </c>
    </row>
    <row r="143" spans="1:6" x14ac:dyDescent="0.2">
      <c r="A143" s="512"/>
      <c r="B143" s="342"/>
      <c r="C143" s="435"/>
      <c r="D143" s="522"/>
      <c r="E143" s="109"/>
      <c r="F143" s="498"/>
    </row>
    <row r="144" spans="1:6" ht="12.75" customHeight="1" thickBot="1" x14ac:dyDescent="0.25">
      <c r="A144" s="563"/>
      <c r="B144" s="520" t="s">
        <v>679</v>
      </c>
      <c r="C144" s="520"/>
      <c r="D144" s="520"/>
      <c r="E144" s="520"/>
      <c r="F144" s="498"/>
    </row>
    <row r="145" spans="1:5" ht="12.75" customHeight="1" x14ac:dyDescent="0.2">
      <c r="A145" s="512">
        <v>80</v>
      </c>
      <c r="B145" s="342" t="s">
        <v>680</v>
      </c>
      <c r="C145" s="435"/>
      <c r="D145" s="353" t="s">
        <v>681</v>
      </c>
      <c r="E145" s="522" t="s">
        <v>461</v>
      </c>
    </row>
    <row r="146" spans="1:5" ht="12.75" customHeight="1" x14ac:dyDescent="0.2">
      <c r="A146" s="512">
        <v>81</v>
      </c>
      <c r="B146" s="342" t="s">
        <v>682</v>
      </c>
      <c r="C146" s="435">
        <v>0</v>
      </c>
      <c r="D146" s="353" t="s">
        <v>681</v>
      </c>
      <c r="E146" s="522" t="s">
        <v>461</v>
      </c>
    </row>
    <row r="147" spans="1:5" ht="12.75" customHeight="1" x14ac:dyDescent="0.2">
      <c r="A147" s="512">
        <v>82</v>
      </c>
      <c r="B147" s="342" t="s">
        <v>683</v>
      </c>
      <c r="C147" s="435"/>
      <c r="D147" s="353" t="s">
        <v>684</v>
      </c>
      <c r="E147" s="522" t="s">
        <v>461</v>
      </c>
    </row>
    <row r="148" spans="1:5" ht="12.75" customHeight="1" x14ac:dyDescent="0.2">
      <c r="A148" s="512">
        <v>83</v>
      </c>
      <c r="B148" s="342" t="s">
        <v>685</v>
      </c>
      <c r="C148" s="435"/>
      <c r="D148" s="353" t="s">
        <v>684</v>
      </c>
      <c r="E148" s="522" t="s">
        <v>461</v>
      </c>
    </row>
    <row r="149" spans="1:5" ht="12.75" customHeight="1" x14ac:dyDescent="0.2">
      <c r="A149" s="512">
        <v>84</v>
      </c>
      <c r="B149" s="342" t="s">
        <v>686</v>
      </c>
      <c r="C149" s="593">
        <v>120750</v>
      </c>
      <c r="D149" s="353" t="s">
        <v>687</v>
      </c>
      <c r="E149" s="522" t="s">
        <v>461</v>
      </c>
    </row>
    <row r="150" spans="1:5" ht="12.75" customHeight="1" x14ac:dyDescent="0.2">
      <c r="A150" s="512">
        <v>85</v>
      </c>
      <c r="B150" s="342" t="s">
        <v>688</v>
      </c>
      <c r="C150" s="593">
        <v>120750</v>
      </c>
      <c r="D150" s="353" t="s">
        <v>687</v>
      </c>
      <c r="E150" s="522" t="s">
        <v>461</v>
      </c>
    </row>
    <row r="151" spans="1:5" x14ac:dyDescent="0.2">
      <c r="A151" s="109"/>
      <c r="B151" s="109"/>
      <c r="C151" s="109"/>
      <c r="D151" s="109"/>
      <c r="E151" s="109"/>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election activeCell="A2" sqref="A2"/>
    </sheetView>
  </sheetViews>
  <sheetFormatPr baseColWidth="10" defaultRowHeight="12" x14ac:dyDescent="0.2"/>
  <cols>
    <col min="1" max="1" width="50.5" style="498" customWidth="1"/>
    <col min="2" max="2" width="17.375" style="498" customWidth="1"/>
    <col min="3" max="5" width="17.25" style="498" customWidth="1"/>
    <col min="6" max="6" width="11" style="498"/>
    <col min="7" max="7" width="19" style="498" customWidth="1"/>
    <col min="8" max="8" width="11.875" style="498" customWidth="1"/>
    <col min="9" max="16384" width="11" style="498"/>
  </cols>
  <sheetData>
    <row r="1" spans="1:8" x14ac:dyDescent="0.2">
      <c r="A1" s="242" t="s">
        <v>745</v>
      </c>
      <c r="D1" s="530"/>
      <c r="F1" s="530"/>
    </row>
    <row r="2" spans="1:8" x14ac:dyDescent="0.2">
      <c r="B2" s="547"/>
      <c r="C2" s="547"/>
      <c r="D2" s="547"/>
      <c r="E2" s="547"/>
      <c r="F2" s="547"/>
      <c r="G2" s="547"/>
      <c r="H2" s="547"/>
    </row>
    <row r="3" spans="1:8" x14ac:dyDescent="0.2">
      <c r="A3" s="547"/>
      <c r="B3" s="547"/>
      <c r="C3" s="547"/>
      <c r="D3" s="547"/>
      <c r="E3" s="547"/>
      <c r="F3" s="547"/>
      <c r="G3" s="547"/>
      <c r="H3" s="547"/>
    </row>
    <row r="4" spans="1:8" ht="48.75" customHeight="1" x14ac:dyDescent="0.2">
      <c r="A4" s="511"/>
      <c r="B4" s="523" t="s">
        <v>759</v>
      </c>
      <c r="C4" s="497" t="s">
        <v>756</v>
      </c>
      <c r="D4" s="497" t="s">
        <v>757</v>
      </c>
      <c r="E4" s="523" t="s">
        <v>758</v>
      </c>
      <c r="F4" s="523" t="s">
        <v>761</v>
      </c>
      <c r="G4" s="523" t="s">
        <v>760</v>
      </c>
      <c r="H4" s="523" t="s">
        <v>689</v>
      </c>
    </row>
    <row r="5" spans="1:8" ht="12.75" customHeight="1" thickBot="1" x14ac:dyDescent="0.25">
      <c r="A5" s="520" t="s">
        <v>690</v>
      </c>
      <c r="B5" s="538"/>
      <c r="C5" s="538"/>
      <c r="D5" s="538"/>
      <c r="E5" s="538"/>
      <c r="F5" s="538"/>
      <c r="G5" s="542"/>
      <c r="H5" s="538"/>
    </row>
    <row r="6" spans="1:8" ht="12.75" customHeight="1" x14ac:dyDescent="0.2">
      <c r="A6" s="531" t="s">
        <v>691</v>
      </c>
      <c r="B6" s="532">
        <v>1847</v>
      </c>
      <c r="C6" s="532">
        <v>0</v>
      </c>
      <c r="D6" s="532">
        <v>0</v>
      </c>
      <c r="E6" s="532">
        <v>0</v>
      </c>
      <c r="F6" s="532"/>
      <c r="G6" s="543">
        <f>SUM(B6:F6)</f>
        <v>1847</v>
      </c>
      <c r="H6" s="539"/>
    </row>
    <row r="7" spans="1:8" ht="12.75" customHeight="1" x14ac:dyDescent="0.2">
      <c r="A7" s="531" t="s">
        <v>692</v>
      </c>
      <c r="B7" s="532">
        <v>2222</v>
      </c>
      <c r="C7" s="532">
        <v>3479.9262660000004</v>
      </c>
      <c r="D7" s="532">
        <v>123.25534399999999</v>
      </c>
      <c r="E7" s="532">
        <v>358.57329485407502</v>
      </c>
      <c r="F7" s="532"/>
      <c r="G7" s="543">
        <f t="shared" ref="G7:G15" si="0">SUM(B7:F7)</f>
        <v>6183.7549048540759</v>
      </c>
      <c r="H7" s="539"/>
    </row>
    <row r="8" spans="1:8" ht="12.75" customHeight="1" x14ac:dyDescent="0.2">
      <c r="A8" s="531" t="s">
        <v>693</v>
      </c>
      <c r="B8" s="532">
        <v>140920</v>
      </c>
      <c r="C8" s="532">
        <v>34481.809819799993</v>
      </c>
      <c r="D8" s="532">
        <v>4317.9857160000001</v>
      </c>
      <c r="E8" s="532">
        <v>6557.6864456505127</v>
      </c>
      <c r="F8" s="532"/>
      <c r="G8" s="543">
        <f t="shared" si="0"/>
        <v>186277.48198145049</v>
      </c>
      <c r="H8" s="539"/>
    </row>
    <row r="9" spans="1:8" ht="12.75" customHeight="1" x14ac:dyDescent="0.2">
      <c r="A9" s="531" t="s">
        <v>694</v>
      </c>
      <c r="B9" s="532">
        <v>15261</v>
      </c>
      <c r="C9" s="532">
        <v>4356.8225778000005</v>
      </c>
      <c r="D9" s="532">
        <v>237.67500000000001</v>
      </c>
      <c r="E9" s="532">
        <v>1522.7284403086351</v>
      </c>
      <c r="F9" s="532"/>
      <c r="G9" s="543">
        <f t="shared" si="0"/>
        <v>21378.226018108635</v>
      </c>
      <c r="H9" s="539"/>
    </row>
    <row r="10" spans="1:8" ht="12.75" customHeight="1" x14ac:dyDescent="0.2">
      <c r="A10" s="531" t="s">
        <v>695</v>
      </c>
      <c r="B10" s="532">
        <v>7340</v>
      </c>
      <c r="C10" s="532">
        <v>6362.8116862799998</v>
      </c>
      <c r="D10" s="532">
        <v>187.21783199999999</v>
      </c>
      <c r="E10" s="532">
        <v>185.27745312310503</v>
      </c>
      <c r="F10" s="532"/>
      <c r="G10" s="543">
        <f t="shared" si="0"/>
        <v>14075.306971403104</v>
      </c>
      <c r="H10" s="539"/>
    </row>
    <row r="11" spans="1:8" ht="12.75" customHeight="1" x14ac:dyDescent="0.2">
      <c r="A11" s="531" t="s">
        <v>696</v>
      </c>
      <c r="B11" s="532">
        <v>626</v>
      </c>
      <c r="C11" s="532">
        <v>0</v>
      </c>
      <c r="D11" s="532">
        <v>0</v>
      </c>
      <c r="E11" s="532">
        <v>0</v>
      </c>
      <c r="F11" s="532"/>
      <c r="G11" s="543">
        <f t="shared" si="0"/>
        <v>626</v>
      </c>
      <c r="H11" s="539"/>
    </row>
    <row r="12" spans="1:8" ht="12.75" customHeight="1" x14ac:dyDescent="0.2">
      <c r="A12" s="531" t="s">
        <v>697</v>
      </c>
      <c r="B12" s="532">
        <v>4727</v>
      </c>
      <c r="C12" s="532">
        <v>0</v>
      </c>
      <c r="D12" s="532">
        <v>0</v>
      </c>
      <c r="E12" s="532">
        <v>0</v>
      </c>
      <c r="F12" s="532">
        <v>-3104.6770000000001</v>
      </c>
      <c r="G12" s="543">
        <f t="shared" si="0"/>
        <v>1622.3229999999999</v>
      </c>
      <c r="H12" s="543" t="s">
        <v>762</v>
      </c>
    </row>
    <row r="13" spans="1:8" ht="12.75" customHeight="1" x14ac:dyDescent="0.2">
      <c r="A13" s="531" t="s">
        <v>698</v>
      </c>
      <c r="B13" s="532">
        <v>22</v>
      </c>
      <c r="C13" s="532">
        <v>0</v>
      </c>
      <c r="D13" s="532">
        <v>0</v>
      </c>
      <c r="E13" s="532">
        <v>7.0554708000000002</v>
      </c>
      <c r="F13" s="532"/>
      <c r="G13" s="543">
        <f t="shared" si="0"/>
        <v>29.055470800000002</v>
      </c>
      <c r="H13" s="539"/>
    </row>
    <row r="14" spans="1:8" ht="12.75" customHeight="1" x14ac:dyDescent="0.2">
      <c r="A14" s="531" t="s">
        <v>699</v>
      </c>
      <c r="B14" s="532">
        <v>20</v>
      </c>
      <c r="C14" s="532">
        <v>0.621</v>
      </c>
      <c r="D14" s="532">
        <v>1.044932</v>
      </c>
      <c r="E14" s="532">
        <f>4.756771102125-2.176</f>
        <v>2.5807711021249995</v>
      </c>
      <c r="F14" s="532"/>
      <c r="G14" s="543">
        <f t="shared" si="0"/>
        <v>24.246703102124997</v>
      </c>
      <c r="H14" s="539"/>
    </row>
    <row r="15" spans="1:8" ht="12.75" customHeight="1" x14ac:dyDescent="0.2">
      <c r="A15" s="533" t="s">
        <v>700</v>
      </c>
      <c r="B15" s="532">
        <f>1961-20</f>
        <v>1941</v>
      </c>
      <c r="C15" s="532">
        <v>0.33500000000000002</v>
      </c>
      <c r="D15" s="532">
        <v>0</v>
      </c>
      <c r="E15" s="532">
        <f>6.439+2.176</f>
        <v>8.6150000000000002</v>
      </c>
      <c r="F15" s="532"/>
      <c r="G15" s="543">
        <f t="shared" si="0"/>
        <v>1949.95</v>
      </c>
      <c r="H15" s="539"/>
    </row>
    <row r="16" spans="1:8" ht="12.75" customHeight="1" x14ac:dyDescent="0.2">
      <c r="A16" s="104" t="s">
        <v>701</v>
      </c>
      <c r="B16" s="573">
        <f>SUM(B6:B14,B15)</f>
        <v>174926</v>
      </c>
      <c r="C16" s="573">
        <f>SUM(C6:C15)</f>
        <v>48682.326349879993</v>
      </c>
      <c r="D16" s="573">
        <f>SUM(D6:D15)</f>
        <v>4867.1788240000005</v>
      </c>
      <c r="E16" s="573">
        <f>SUM(E6:E15)</f>
        <v>8642.5168758384516</v>
      </c>
      <c r="F16" s="573"/>
      <c r="G16" s="573">
        <f>SUM(G6:G14,G15)</f>
        <v>234013.34504971845</v>
      </c>
      <c r="H16" s="545"/>
    </row>
    <row r="17" spans="1:8" ht="12.75" customHeight="1" x14ac:dyDescent="0.2">
      <c r="A17" s="16"/>
      <c r="B17" s="397"/>
      <c r="C17" s="397"/>
      <c r="D17" s="397"/>
      <c r="E17" s="397"/>
      <c r="F17" s="397"/>
      <c r="G17" s="397"/>
      <c r="H17" s="397"/>
    </row>
    <row r="18" spans="1:8" ht="12.75" customHeight="1" thickBot="1" x14ac:dyDescent="0.25">
      <c r="A18" s="520" t="s">
        <v>702</v>
      </c>
      <c r="B18" s="538"/>
      <c r="C18" s="538"/>
      <c r="D18" s="538"/>
      <c r="E18" s="538"/>
      <c r="F18" s="538"/>
      <c r="G18" s="542"/>
      <c r="H18" s="538"/>
    </row>
    <row r="19" spans="1:8" ht="12.75" customHeight="1" x14ac:dyDescent="0.2">
      <c r="A19" s="531" t="s">
        <v>703</v>
      </c>
      <c r="B19" s="532">
        <v>6139</v>
      </c>
      <c r="C19" s="532">
        <v>0</v>
      </c>
      <c r="D19" s="532">
        <v>0</v>
      </c>
      <c r="E19" s="532">
        <v>0.38573861602501019</v>
      </c>
      <c r="F19" s="532"/>
      <c r="G19" s="543">
        <f t="shared" ref="G19:G29" si="1">SUM(B19:F19)</f>
        <v>6139.3857386160253</v>
      </c>
      <c r="H19" s="539"/>
    </row>
    <row r="20" spans="1:8" ht="12.75" customHeight="1" x14ac:dyDescent="0.2">
      <c r="A20" s="531" t="s">
        <v>704</v>
      </c>
      <c r="B20" s="532">
        <v>81489</v>
      </c>
      <c r="C20" s="532">
        <v>0</v>
      </c>
      <c r="D20" s="532">
        <v>0</v>
      </c>
      <c r="E20" s="532">
        <v>3487.6249138874846</v>
      </c>
      <c r="F20" s="532"/>
      <c r="G20" s="543">
        <f t="shared" si="1"/>
        <v>84976.624913887485</v>
      </c>
      <c r="H20" s="539"/>
    </row>
    <row r="21" spans="1:8" ht="12.75" customHeight="1" x14ac:dyDescent="0.2">
      <c r="A21" s="531" t="s">
        <v>286</v>
      </c>
      <c r="B21" s="532">
        <v>63253</v>
      </c>
      <c r="C21" s="532">
        <v>40367.099124900007</v>
      </c>
      <c r="D21" s="532">
        <v>4186.4590879999996</v>
      </c>
      <c r="E21" s="532">
        <v>3779.1561540173693</v>
      </c>
      <c r="F21" s="532"/>
      <c r="G21" s="543">
        <f t="shared" si="1"/>
        <v>111585.71436691738</v>
      </c>
      <c r="H21" s="539"/>
    </row>
    <row r="22" spans="1:8" ht="12.75" customHeight="1" x14ac:dyDescent="0.2">
      <c r="A22" s="531" t="s">
        <v>695</v>
      </c>
      <c r="B22" s="532">
        <v>3317</v>
      </c>
      <c r="C22" s="532">
        <v>5990.5402974000008</v>
      </c>
      <c r="D22" s="532">
        <v>0</v>
      </c>
      <c r="E22" s="532">
        <v>144.01123745494499</v>
      </c>
      <c r="F22" s="532"/>
      <c r="G22" s="543">
        <f t="shared" si="1"/>
        <v>9451.5515348549452</v>
      </c>
      <c r="H22" s="539"/>
    </row>
    <row r="23" spans="1:8" ht="12.75" customHeight="1" x14ac:dyDescent="0.2">
      <c r="A23" s="531" t="s">
        <v>705</v>
      </c>
      <c r="B23" s="109">
        <v>821</v>
      </c>
      <c r="C23" s="532">
        <v>33.358346699999998</v>
      </c>
      <c r="D23" s="560">
        <v>5.3364159999999998</v>
      </c>
      <c r="E23" s="109">
        <v>0</v>
      </c>
      <c r="F23" s="109"/>
      <c r="G23" s="543">
        <f t="shared" si="1"/>
        <v>859.69476269999996</v>
      </c>
      <c r="H23" s="111"/>
    </row>
    <row r="24" spans="1:8" ht="13.5" customHeight="1" x14ac:dyDescent="0.2">
      <c r="A24" s="531" t="s">
        <v>706</v>
      </c>
      <c r="B24" s="532">
        <f>2361-821</f>
        <v>1540</v>
      </c>
      <c r="C24" s="532">
        <v>60.194626575600026</v>
      </c>
      <c r="D24" s="532">
        <v>14.525</v>
      </c>
      <c r="E24" s="532">
        <v>61.16</v>
      </c>
      <c r="F24" s="532"/>
      <c r="G24" s="543">
        <f t="shared" si="1"/>
        <v>1675.8796265756002</v>
      </c>
      <c r="H24" s="539"/>
    </row>
    <row r="25" spans="1:8" ht="12.75" customHeight="1" x14ac:dyDescent="0.2">
      <c r="A25" s="531" t="s">
        <v>707</v>
      </c>
      <c r="B25" s="532">
        <v>2964</v>
      </c>
      <c r="C25" s="532">
        <v>418.0166418</v>
      </c>
      <c r="D25" s="532">
        <v>139.96701999999999</v>
      </c>
      <c r="E25" s="532">
        <v>290.90833165716003</v>
      </c>
      <c r="F25" s="532"/>
      <c r="G25" s="543">
        <f t="shared" si="1"/>
        <v>3812.89199345716</v>
      </c>
      <c r="H25" s="539"/>
    </row>
    <row r="26" spans="1:8" ht="12.75" customHeight="1" x14ac:dyDescent="0.2">
      <c r="A26" s="534" t="s">
        <v>708</v>
      </c>
      <c r="B26" s="535">
        <v>794</v>
      </c>
      <c r="C26" s="535">
        <v>75</v>
      </c>
      <c r="D26" s="535">
        <v>46</v>
      </c>
      <c r="E26" s="535">
        <v>96</v>
      </c>
      <c r="F26" s="535"/>
      <c r="G26" s="544">
        <f t="shared" si="1"/>
        <v>1011</v>
      </c>
      <c r="H26" s="539"/>
    </row>
    <row r="27" spans="1:8" ht="12.75" customHeight="1" x14ac:dyDescent="0.2">
      <c r="A27" s="534" t="s">
        <v>709</v>
      </c>
      <c r="B27" s="535">
        <v>2069</v>
      </c>
      <c r="C27" s="535">
        <v>342</v>
      </c>
      <c r="D27" s="535">
        <v>93</v>
      </c>
      <c r="E27" s="535">
        <v>72</v>
      </c>
      <c r="F27" s="535"/>
      <c r="G27" s="544">
        <f t="shared" si="1"/>
        <v>2576</v>
      </c>
      <c r="H27" s="539"/>
    </row>
    <row r="28" spans="1:8" ht="12.75" customHeight="1" x14ac:dyDescent="0.2">
      <c r="A28" s="534" t="s">
        <v>710</v>
      </c>
      <c r="B28" s="535"/>
      <c r="C28" s="535"/>
      <c r="D28" s="535"/>
      <c r="E28" s="535">
        <v>121</v>
      </c>
      <c r="F28" s="535"/>
      <c r="G28" s="544">
        <v>121</v>
      </c>
      <c r="H28" s="541"/>
    </row>
    <row r="29" spans="1:8" ht="12.75" customHeight="1" x14ac:dyDescent="0.2">
      <c r="A29" s="534" t="s">
        <v>711</v>
      </c>
      <c r="B29" s="535"/>
      <c r="C29" s="535"/>
      <c r="D29" s="535"/>
      <c r="E29" s="535"/>
      <c r="F29" s="535"/>
      <c r="G29" s="543">
        <f t="shared" si="1"/>
        <v>0</v>
      </c>
      <c r="H29" s="541"/>
    </row>
    <row r="30" spans="1:8" ht="12.75" customHeight="1" x14ac:dyDescent="0.2">
      <c r="A30" s="104" t="s">
        <v>712</v>
      </c>
      <c r="B30" s="573">
        <f>SUM(B19:B25)</f>
        <v>159523</v>
      </c>
      <c r="C30" s="573">
        <f t="shared" ref="C30:E30" si="2">SUM(C19:C25)</f>
        <v>46869.209037375607</v>
      </c>
      <c r="D30" s="573">
        <f t="shared" si="2"/>
        <v>4346.2875239999994</v>
      </c>
      <c r="E30" s="573">
        <f t="shared" si="2"/>
        <v>7763.2463756329835</v>
      </c>
      <c r="F30" s="573"/>
      <c r="G30" s="573">
        <f>SUM(G19:G25)</f>
        <v>218501.74293700862</v>
      </c>
      <c r="H30" s="545"/>
    </row>
    <row r="31" spans="1:8" ht="12.75" customHeight="1" x14ac:dyDescent="0.2">
      <c r="A31" s="16"/>
      <c r="B31" s="397"/>
      <c r="C31" s="397"/>
      <c r="D31" s="397"/>
      <c r="E31" s="397"/>
      <c r="F31" s="397"/>
      <c r="G31" s="397"/>
      <c r="H31" s="397"/>
    </row>
    <row r="32" spans="1:8" ht="12.75" customHeight="1" thickBot="1" x14ac:dyDescent="0.25">
      <c r="A32" s="520" t="s">
        <v>713</v>
      </c>
      <c r="B32" s="538"/>
      <c r="C32" s="538"/>
      <c r="D32" s="538"/>
      <c r="E32" s="538"/>
      <c r="F32" s="538"/>
      <c r="G32" s="542"/>
      <c r="H32" s="538"/>
    </row>
    <row r="33" spans="1:8" ht="12.75" customHeight="1" x14ac:dyDescent="0.2">
      <c r="A33" s="531" t="s">
        <v>714</v>
      </c>
      <c r="B33" s="532">
        <f>6394+1587</f>
        <v>7981</v>
      </c>
      <c r="C33" s="565">
        <v>1768.6257330000001</v>
      </c>
      <c r="D33" s="565">
        <v>489.1</v>
      </c>
      <c r="E33" s="565">
        <v>170.45469682499998</v>
      </c>
      <c r="F33" s="565">
        <v>-2428</v>
      </c>
      <c r="G33" s="565">
        <f t="shared" ref="G33:G36" si="3">SUM(B33:F33)</f>
        <v>7981.1804298250008</v>
      </c>
      <c r="H33" s="565" t="s">
        <v>762</v>
      </c>
    </row>
    <row r="34" spans="1:8" ht="12.75" customHeight="1" x14ac:dyDescent="0.2">
      <c r="A34" s="531" t="s">
        <v>14</v>
      </c>
      <c r="B34" s="532">
        <v>59</v>
      </c>
      <c r="C34" s="565">
        <v>0</v>
      </c>
      <c r="D34" s="565">
        <v>0</v>
      </c>
      <c r="E34" s="565">
        <v>0</v>
      </c>
      <c r="F34" s="565"/>
      <c r="G34" s="565">
        <f t="shared" si="3"/>
        <v>59</v>
      </c>
      <c r="H34" s="566"/>
    </row>
    <row r="35" spans="1:8" ht="12.75" customHeight="1" x14ac:dyDescent="0.2">
      <c r="A35" s="531" t="s">
        <v>13</v>
      </c>
      <c r="B35" s="532">
        <v>512</v>
      </c>
      <c r="C35" s="565">
        <v>44.201999999999998</v>
      </c>
      <c r="D35" s="565">
        <v>31.693999999999999</v>
      </c>
      <c r="E35" s="565">
        <v>63.756</v>
      </c>
      <c r="F35" s="565">
        <v>-38</v>
      </c>
      <c r="G35" s="565">
        <f t="shared" si="3"/>
        <v>613.65199999999993</v>
      </c>
      <c r="H35" s="565" t="s">
        <v>114</v>
      </c>
    </row>
    <row r="36" spans="1:8" ht="12.75" customHeight="1" x14ac:dyDescent="0.2">
      <c r="A36" s="531" t="s">
        <v>15</v>
      </c>
      <c r="B36" s="532">
        <f>6851</f>
        <v>6851</v>
      </c>
      <c r="C36" s="565">
        <f>44.491-44.202</f>
        <v>0.28900000000000148</v>
      </c>
      <c r="D36" s="565">
        <f>31.791-31.694</f>
        <v>9.7000000000001307E-2</v>
      </c>
      <c r="E36" s="565">
        <f>708.816486368655-63.756</f>
        <v>645.06048636865501</v>
      </c>
      <c r="F36" s="565">
        <v>-639</v>
      </c>
      <c r="G36" s="565">
        <f t="shared" si="3"/>
        <v>6857.4464863686544</v>
      </c>
      <c r="H36" s="565" t="s">
        <v>762</v>
      </c>
    </row>
    <row r="37" spans="1:8" ht="12.75" customHeight="1" x14ac:dyDescent="0.2">
      <c r="A37" s="104" t="s">
        <v>715</v>
      </c>
      <c r="B37" s="573">
        <f>SUM(B33:B36)</f>
        <v>15403</v>
      </c>
      <c r="C37" s="573">
        <f>SUM(C33:C36)</f>
        <v>1813.1167330000001</v>
      </c>
      <c r="D37" s="573">
        <f>SUM(D33:D36)</f>
        <v>520.89099999999996</v>
      </c>
      <c r="E37" s="573">
        <f>SUM(E33:E36)</f>
        <v>879.27118319365502</v>
      </c>
      <c r="F37" s="573"/>
      <c r="G37" s="573">
        <f>SUM(G33:G36)</f>
        <v>15511.278916193656</v>
      </c>
      <c r="H37" s="567"/>
    </row>
    <row r="38" spans="1:8" ht="12.75" customHeight="1" x14ac:dyDescent="0.2">
      <c r="A38" s="536"/>
      <c r="B38" s="537"/>
      <c r="C38" s="537"/>
      <c r="D38" s="537"/>
      <c r="E38" s="537"/>
      <c r="F38" s="537"/>
      <c r="G38" s="537"/>
      <c r="H38" s="540"/>
    </row>
    <row r="39" spans="1:8" ht="12.75" customHeight="1" thickBot="1" x14ac:dyDescent="0.25">
      <c r="A39" s="520" t="s">
        <v>716</v>
      </c>
      <c r="B39" s="574">
        <f>B30+B37</f>
        <v>174926</v>
      </c>
      <c r="C39" s="575">
        <f>C30+C37</f>
        <v>48682.32577037561</v>
      </c>
      <c r="D39" s="575">
        <f>D30+D37</f>
        <v>4867.178523999999</v>
      </c>
      <c r="E39" s="575">
        <f>E30+E37</f>
        <v>8642.5175588266393</v>
      </c>
      <c r="F39" s="575"/>
      <c r="G39" s="575">
        <f>G30+G37</f>
        <v>234013.02185320228</v>
      </c>
      <c r="H39" s="546"/>
    </row>
    <row r="40" spans="1:8" x14ac:dyDescent="0.2">
      <c r="G40" s="561"/>
    </row>
    <row r="42" spans="1:8" x14ac:dyDescent="0.2">
      <c r="A42" s="498" t="s">
        <v>763</v>
      </c>
    </row>
    <row r="43" spans="1:8" x14ac:dyDescent="0.2">
      <c r="A43" s="498" t="s">
        <v>764</v>
      </c>
    </row>
  </sheetData>
  <pageMargins left="0.7" right="0.7" top="0.75" bottom="0.75" header="0.3" footer="0.3"/>
  <pageSetup paperSize="9" scale="72" fitToHeight="0" orientation="landscape" r:id="rId1"/>
  <ignoredErrors>
    <ignoredError sqref="C30:E30"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zoomScaleNormal="100" workbookViewId="0"/>
  </sheetViews>
  <sheetFormatPr baseColWidth="10" defaultRowHeight="12" x14ac:dyDescent="0.2"/>
  <cols>
    <col min="1" max="1" width="95.25" style="498" customWidth="1"/>
    <col min="2" max="2" width="11.25" style="498" bestFit="1" customWidth="1"/>
    <col min="3" max="16384" width="11" style="498"/>
  </cols>
  <sheetData>
    <row r="1" spans="1:3" x14ac:dyDescent="0.2">
      <c r="A1" s="420" t="s">
        <v>748</v>
      </c>
    </row>
    <row r="3" spans="1:3" ht="12.75" thickBot="1" x14ac:dyDescent="0.25">
      <c r="A3" s="538"/>
      <c r="B3" s="554">
        <v>42004</v>
      </c>
      <c r="C3" s="348"/>
    </row>
    <row r="4" spans="1:3" x14ac:dyDescent="0.2">
      <c r="A4" s="496" t="s">
        <v>721</v>
      </c>
      <c r="B4" s="555"/>
      <c r="C4" s="550"/>
    </row>
    <row r="5" spans="1:3" x14ac:dyDescent="0.2">
      <c r="A5" s="496" t="s">
        <v>722</v>
      </c>
      <c r="B5" s="555"/>
      <c r="C5" s="550"/>
    </row>
    <row r="6" spans="1:3" x14ac:dyDescent="0.2">
      <c r="A6" s="496" t="s">
        <v>723</v>
      </c>
      <c r="B6" s="556">
        <v>2848765</v>
      </c>
      <c r="C6" s="550"/>
    </row>
    <row r="7" spans="1:3" x14ac:dyDescent="0.2">
      <c r="A7" s="496" t="s">
        <v>724</v>
      </c>
      <c r="B7" s="556">
        <v>1762034</v>
      </c>
      <c r="C7" s="550"/>
    </row>
    <row r="8" spans="1:3" x14ac:dyDescent="0.2">
      <c r="A8" s="496" t="s">
        <v>725</v>
      </c>
      <c r="B8" s="555"/>
      <c r="C8" s="550"/>
    </row>
    <row r="9" spans="1:3" ht="12.75" customHeight="1" x14ac:dyDescent="0.2">
      <c r="A9" s="496" t="s">
        <v>726</v>
      </c>
      <c r="B9" s="556">
        <v>952554.9</v>
      </c>
      <c r="C9" s="550"/>
    </row>
    <row r="10" spans="1:3" x14ac:dyDescent="0.2">
      <c r="A10" s="496" t="s">
        <v>727</v>
      </c>
      <c r="B10" s="556">
        <v>3308.6000000000004</v>
      </c>
      <c r="C10" s="550"/>
    </row>
    <row r="11" spans="1:3" ht="12.75" customHeight="1" x14ac:dyDescent="0.2">
      <c r="A11" s="496" t="s">
        <v>728</v>
      </c>
      <c r="B11" s="556">
        <v>9020226</v>
      </c>
      <c r="C11" s="550"/>
    </row>
    <row r="12" spans="1:3" x14ac:dyDescent="0.2">
      <c r="A12" s="496" t="s">
        <v>729</v>
      </c>
      <c r="B12" s="556">
        <v>8068818</v>
      </c>
      <c r="C12" s="550"/>
    </row>
    <row r="13" spans="1:3" x14ac:dyDescent="0.2">
      <c r="A13" s="496" t="s">
        <v>730</v>
      </c>
      <c r="B13" s="572">
        <v>221081392</v>
      </c>
      <c r="C13" s="550"/>
    </row>
    <row r="14" spans="1:3" x14ac:dyDescent="0.2">
      <c r="A14" s="549"/>
      <c r="B14" s="552"/>
      <c r="C14" s="550"/>
    </row>
    <row r="15" spans="1:3" ht="12.75" thickBot="1" x14ac:dyDescent="0.25">
      <c r="A15" s="520" t="s">
        <v>731</v>
      </c>
      <c r="B15" s="542"/>
      <c r="C15" s="548"/>
    </row>
    <row r="16" spans="1:3" x14ac:dyDescent="0.2">
      <c r="A16" s="496" t="s">
        <v>732</v>
      </c>
      <c r="B16" s="556">
        <v>14828222</v>
      </c>
      <c r="C16" s="550"/>
    </row>
    <row r="17" spans="1:3" x14ac:dyDescent="0.2">
      <c r="A17" s="496" t="s">
        <v>733</v>
      </c>
      <c r="B17" s="556">
        <v>14828222</v>
      </c>
      <c r="C17" s="550"/>
    </row>
    <row r="18" spans="1:3" x14ac:dyDescent="0.2">
      <c r="A18" s="496" t="s">
        <v>734</v>
      </c>
      <c r="B18" s="556">
        <v>0</v>
      </c>
      <c r="C18" s="550"/>
    </row>
    <row r="19" spans="1:3" x14ac:dyDescent="0.2">
      <c r="A19" s="496" t="s">
        <v>735</v>
      </c>
      <c r="B19" s="556">
        <v>0</v>
      </c>
      <c r="C19" s="550"/>
    </row>
    <row r="20" spans="1:3" x14ac:dyDescent="0.2">
      <c r="A20" s="558" t="s">
        <v>736</v>
      </c>
      <c r="B20" s="556">
        <v>-1074668</v>
      </c>
      <c r="C20" s="550"/>
    </row>
    <row r="21" spans="1:3" x14ac:dyDescent="0.2">
      <c r="A21" s="496" t="s">
        <v>741</v>
      </c>
      <c r="B21" s="556">
        <v>0</v>
      </c>
      <c r="C21" s="550"/>
    </row>
    <row r="22" spans="1:3" x14ac:dyDescent="0.2">
      <c r="A22" s="496" t="s">
        <v>737</v>
      </c>
      <c r="B22" s="556">
        <v>-1074668</v>
      </c>
      <c r="C22" s="550"/>
    </row>
    <row r="23" spans="1:3" x14ac:dyDescent="0.2">
      <c r="A23" s="549"/>
      <c r="B23" s="557"/>
      <c r="C23" s="550"/>
    </row>
    <row r="24" spans="1:3" ht="12.75" thickBot="1" x14ac:dyDescent="0.25">
      <c r="A24" s="520" t="s">
        <v>738</v>
      </c>
      <c r="B24" s="542"/>
      <c r="C24" s="548"/>
    </row>
    <row r="25" spans="1:3" x14ac:dyDescent="0.2">
      <c r="A25" s="496" t="s">
        <v>739</v>
      </c>
      <c r="B25" s="553">
        <v>6.1106377157134753E-2</v>
      </c>
      <c r="C25" s="551"/>
    </row>
    <row r="26" spans="1:3" ht="12.75" customHeight="1" x14ac:dyDescent="0.2">
      <c r="A26" s="496" t="s">
        <v>740</v>
      </c>
      <c r="B26" s="553">
        <v>6.1106377157134753E-2</v>
      </c>
      <c r="C26" s="551"/>
    </row>
    <row r="29" spans="1:3" x14ac:dyDescent="0.2">
      <c r="A29" s="530"/>
    </row>
    <row r="30" spans="1:3" x14ac:dyDescent="0.2">
      <c r="A30" s="530"/>
    </row>
  </sheetData>
  <conditionalFormatting sqref="B4:B5 B14 B8 B25:B26">
    <cfRule type="cellIs" dxfId="3" priority="8" operator="lessThan">
      <formula>0</formula>
    </cfRule>
  </conditionalFormatting>
  <conditionalFormatting sqref="B23">
    <cfRule type="cellIs" dxfId="2" priority="6" operator="lessThan">
      <formula>B21</formula>
    </cfRule>
  </conditionalFormatting>
  <conditionalFormatting sqref="C25">
    <cfRule type="cellIs" dxfId="1" priority="3" operator="lessThan">
      <formula>0</formula>
    </cfRule>
  </conditionalFormatting>
  <conditionalFormatting sqref="C26">
    <cfRule type="cellIs" dxfId="0" priority="2" operator="lessThan">
      <formula>0</formula>
    </cfRule>
  </conditionalFormatting>
  <pageMargins left="0.7" right="0.7"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zoomScaleNormal="100" workbookViewId="0">
      <selection activeCell="G50" sqref="G50"/>
    </sheetView>
  </sheetViews>
  <sheetFormatPr baseColWidth="10" defaultColWidth="11" defaultRowHeight="12" x14ac:dyDescent="0.2"/>
  <cols>
    <col min="1" max="1" width="26" style="21" customWidth="1"/>
    <col min="2" max="2" width="11.25" style="428" customWidth="1"/>
    <col min="3" max="3" width="11.25" style="21" customWidth="1"/>
    <col min="4" max="4" width="11.25" style="428" customWidth="1"/>
    <col min="5" max="5" width="11.25" style="21" customWidth="1"/>
    <col min="6" max="6" width="16.375" style="21" customWidth="1"/>
    <col min="7" max="16384" width="11" style="21"/>
  </cols>
  <sheetData>
    <row r="1" spans="1:7" x14ac:dyDescent="0.2">
      <c r="A1" s="27"/>
      <c r="B1" s="27"/>
    </row>
    <row r="2" spans="1:7" x14ac:dyDescent="0.2">
      <c r="A2" s="94" t="s">
        <v>228</v>
      </c>
      <c r="B2" s="94"/>
    </row>
    <row r="4" spans="1:7" x14ac:dyDescent="0.2">
      <c r="A4" s="17"/>
      <c r="B4" s="120" t="s">
        <v>374</v>
      </c>
      <c r="C4" s="120" t="s">
        <v>1</v>
      </c>
      <c r="D4" s="121" t="s">
        <v>374</v>
      </c>
      <c r="E4" s="121" t="s">
        <v>1</v>
      </c>
      <c r="F4" s="17"/>
      <c r="G4" s="17"/>
    </row>
    <row r="5" spans="1:7" ht="12.75" thickBot="1" x14ac:dyDescent="0.25">
      <c r="A5" s="122" t="s">
        <v>162</v>
      </c>
      <c r="B5" s="123" t="s">
        <v>375</v>
      </c>
      <c r="C5" s="123">
        <v>42004</v>
      </c>
      <c r="D5" s="124" t="s">
        <v>376</v>
      </c>
      <c r="E5" s="124">
        <v>41639</v>
      </c>
      <c r="F5" s="79"/>
    </row>
    <row r="6" spans="1:7" s="428" customFormat="1" x14ac:dyDescent="0.2">
      <c r="A6" s="110" t="s">
        <v>316</v>
      </c>
      <c r="B6" s="482">
        <v>0.19500000000000001</v>
      </c>
      <c r="C6" s="365">
        <v>1505</v>
      </c>
      <c r="D6" s="482">
        <v>0.19500000000000001</v>
      </c>
      <c r="E6" s="365">
        <v>1174</v>
      </c>
      <c r="F6" s="79"/>
    </row>
    <row r="7" spans="1:7" x14ac:dyDescent="0.2">
      <c r="A7" s="83" t="s">
        <v>377</v>
      </c>
      <c r="B7" s="483">
        <v>1</v>
      </c>
      <c r="C7" s="91">
        <v>35</v>
      </c>
      <c r="D7" s="483">
        <v>1</v>
      </c>
      <c r="E7" s="91">
        <v>35</v>
      </c>
      <c r="F7" s="101"/>
      <c r="G7" s="125"/>
    </row>
    <row r="8" spans="1:7" x14ac:dyDescent="0.2">
      <c r="A8" s="21" t="s">
        <v>307</v>
      </c>
      <c r="B8" s="187">
        <v>4.8000000000000001E-2</v>
      </c>
      <c r="C8" s="89">
        <v>137</v>
      </c>
      <c r="D8" s="187">
        <v>4.8000000000000001E-2</v>
      </c>
      <c r="E8" s="89">
        <v>119</v>
      </c>
      <c r="F8" s="101"/>
      <c r="G8" s="125"/>
    </row>
    <row r="9" spans="1:7" s="344" customFormat="1" x14ac:dyDescent="0.2">
      <c r="A9" s="83" t="s">
        <v>147</v>
      </c>
      <c r="B9" s="483">
        <v>0.13900000000000001</v>
      </c>
      <c r="C9" s="91">
        <v>102</v>
      </c>
      <c r="D9" s="483">
        <v>0.108</v>
      </c>
      <c r="E9" s="91">
        <v>66</v>
      </c>
      <c r="F9" s="101"/>
      <c r="G9" s="125"/>
    </row>
    <row r="10" spans="1:7" s="426" customFormat="1" x14ac:dyDescent="0.2">
      <c r="A10" s="427" t="s">
        <v>308</v>
      </c>
      <c r="B10" s="483">
        <v>0.17899999999999999</v>
      </c>
      <c r="C10" s="91">
        <v>158</v>
      </c>
      <c r="D10" s="483">
        <v>0.17599999999999999</v>
      </c>
      <c r="E10" s="91">
        <v>33</v>
      </c>
      <c r="F10" s="101"/>
      <c r="G10" s="125"/>
    </row>
    <row r="11" spans="1:7" x14ac:dyDescent="0.2">
      <c r="A11" s="83" t="s">
        <v>11</v>
      </c>
      <c r="B11" s="481"/>
      <c r="C11" s="365">
        <v>29</v>
      </c>
      <c r="D11" s="482"/>
      <c r="E11" s="365">
        <v>54</v>
      </c>
      <c r="F11" s="101"/>
      <c r="G11" s="125"/>
    </row>
    <row r="12" spans="1:7" x14ac:dyDescent="0.2">
      <c r="A12" s="126" t="s">
        <v>9</v>
      </c>
      <c r="B12" s="126"/>
      <c r="C12" s="105">
        <f>SUM(C6:C11)</f>
        <v>1966</v>
      </c>
      <c r="D12" s="105"/>
      <c r="E12" s="439">
        <f>SUM(E6:E11)</f>
        <v>1481</v>
      </c>
      <c r="F12" s="79"/>
      <c r="G12" s="125"/>
    </row>
    <row r="14" spans="1:7" x14ac:dyDescent="0.2">
      <c r="A14" s="426" t="s">
        <v>330</v>
      </c>
    </row>
    <row r="15" spans="1:7" x14ac:dyDescent="0.2">
      <c r="A15" s="21" t="s">
        <v>328</v>
      </c>
    </row>
    <row r="16" spans="1:7" x14ac:dyDescent="0.2">
      <c r="A16" s="21" t="s">
        <v>327</v>
      </c>
    </row>
    <row r="17" spans="1:1" x14ac:dyDescent="0.2">
      <c r="A17" s="21" t="s">
        <v>329</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ignoredErrors>
    <ignoredError sqref="E12 C1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enableFormatConditionsCalculation="0">
    <pageSetUpPr fitToPage="1"/>
  </sheetPr>
  <dimension ref="A1:Q145"/>
  <sheetViews>
    <sheetView showGridLines="0" zoomScaleNormal="100" workbookViewId="0">
      <selection activeCell="G50" sqref="G50"/>
    </sheetView>
  </sheetViews>
  <sheetFormatPr baseColWidth="10" defaultColWidth="11" defaultRowHeight="12" x14ac:dyDescent="0.2"/>
  <cols>
    <col min="1" max="1" width="52.625" style="21" customWidth="1"/>
    <col min="2" max="2" width="11.875" style="21" customWidth="1"/>
    <col min="3" max="3" width="8.625" style="21" customWidth="1"/>
    <col min="4" max="5" width="11.75" style="21" customWidth="1"/>
    <col min="6" max="6" width="14.625" style="21" customWidth="1"/>
    <col min="7" max="9" width="11" style="21"/>
    <col min="10" max="10" width="9.875" style="21" bestFit="1" customWidth="1"/>
    <col min="11" max="11" width="19.75" style="21" bestFit="1" customWidth="1"/>
    <col min="12" max="16384" width="11" style="21"/>
  </cols>
  <sheetData>
    <row r="1" spans="1:3" x14ac:dyDescent="0.2">
      <c r="A1" s="34" t="s">
        <v>379</v>
      </c>
    </row>
    <row r="2" spans="1:3" s="428" customFormat="1" x14ac:dyDescent="0.2">
      <c r="A2" s="23" t="s">
        <v>380</v>
      </c>
    </row>
    <row r="3" spans="1:3" s="428" customFormat="1" x14ac:dyDescent="0.2">
      <c r="A3" s="35" t="s">
        <v>378</v>
      </c>
    </row>
    <row r="6" spans="1:3" ht="12.75" thickBot="1" x14ac:dyDescent="0.25">
      <c r="A6" s="1" t="s">
        <v>232</v>
      </c>
      <c r="B6" s="2">
        <v>42004</v>
      </c>
      <c r="C6" s="3">
        <v>41639</v>
      </c>
    </row>
    <row r="7" spans="1:3" x14ac:dyDescent="0.2">
      <c r="A7" s="4" t="s">
        <v>193</v>
      </c>
      <c r="B7" s="5">
        <v>6394</v>
      </c>
      <c r="C7" s="6">
        <v>6394</v>
      </c>
    </row>
    <row r="8" spans="1:3" x14ac:dyDescent="0.2">
      <c r="A8" s="4" t="s">
        <v>12</v>
      </c>
      <c r="B8" s="5">
        <v>1587</v>
      </c>
      <c r="C8" s="6">
        <v>1587</v>
      </c>
    </row>
    <row r="9" spans="1:3" x14ac:dyDescent="0.2">
      <c r="A9" s="4" t="s">
        <v>13</v>
      </c>
      <c r="B9" s="5">
        <v>512</v>
      </c>
      <c r="C9" s="6">
        <v>409</v>
      </c>
    </row>
    <row r="10" spans="1:3" x14ac:dyDescent="0.2">
      <c r="A10" s="4" t="s">
        <v>14</v>
      </c>
      <c r="B10" s="5">
        <v>59</v>
      </c>
      <c r="C10" s="6">
        <v>162</v>
      </c>
    </row>
    <row r="11" spans="1:3" x14ac:dyDescent="0.2">
      <c r="A11" s="7" t="s">
        <v>15</v>
      </c>
      <c r="B11" s="5">
        <v>6851</v>
      </c>
      <c r="C11" s="6">
        <v>5504</v>
      </c>
    </row>
    <row r="12" spans="1:3" x14ac:dyDescent="0.2">
      <c r="A12" s="8" t="s">
        <v>16</v>
      </c>
      <c r="B12" s="9">
        <f>SUM(B7:B11)</f>
        <v>15403</v>
      </c>
      <c r="C12" s="10">
        <f>SUM(C7:C11)</f>
        <v>14056</v>
      </c>
    </row>
    <row r="13" spans="1:3" x14ac:dyDescent="0.2">
      <c r="A13" s="4"/>
      <c r="B13" s="5"/>
      <c r="C13" s="6"/>
    </row>
    <row r="14" spans="1:3" x14ac:dyDescent="0.2">
      <c r="A14" s="11" t="s">
        <v>148</v>
      </c>
      <c r="B14" s="5"/>
      <c r="C14" s="6"/>
    </row>
    <row r="15" spans="1:3" x14ac:dyDescent="0.2">
      <c r="A15" s="4" t="s">
        <v>17</v>
      </c>
      <c r="B15" s="5">
        <v>-24</v>
      </c>
      <c r="C15" s="6">
        <v>-43</v>
      </c>
    </row>
    <row r="16" spans="1:3" x14ac:dyDescent="0.2">
      <c r="A16" s="4" t="s">
        <v>18</v>
      </c>
      <c r="B16" s="5">
        <v>0</v>
      </c>
      <c r="C16" s="6">
        <v>0</v>
      </c>
    </row>
    <row r="17" spans="1:3" x14ac:dyDescent="0.2">
      <c r="A17" s="4" t="s">
        <v>126</v>
      </c>
      <c r="B17" s="5">
        <v>-512</v>
      </c>
      <c r="C17" s="6">
        <v>-409</v>
      </c>
    </row>
    <row r="18" spans="1:3" x14ac:dyDescent="0.2">
      <c r="A18" s="4" t="s">
        <v>149</v>
      </c>
      <c r="B18" s="5"/>
      <c r="C18" s="6">
        <v>-104</v>
      </c>
    </row>
    <row r="19" spans="1:3" x14ac:dyDescent="0.2">
      <c r="A19" s="4" t="s">
        <v>320</v>
      </c>
      <c r="B19" s="5">
        <v>-676</v>
      </c>
      <c r="C19" s="6">
        <v>-356</v>
      </c>
    </row>
    <row r="20" spans="1:3" s="428" customFormat="1" x14ac:dyDescent="0.2">
      <c r="A20" s="4" t="s">
        <v>19</v>
      </c>
      <c r="B20" s="5"/>
      <c r="C20" s="6">
        <v>-587</v>
      </c>
    </row>
    <row r="21" spans="1:3" s="428" customFormat="1" x14ac:dyDescent="0.2">
      <c r="A21" s="4" t="s">
        <v>321</v>
      </c>
      <c r="B21" s="5">
        <v>-326</v>
      </c>
      <c r="C21" s="6"/>
    </row>
    <row r="22" spans="1:3" x14ac:dyDescent="0.2">
      <c r="A22" s="4" t="s">
        <v>322</v>
      </c>
      <c r="B22" s="5">
        <v>-48</v>
      </c>
      <c r="C22" s="6"/>
    </row>
    <row r="23" spans="1:3" s="339" customFormat="1" x14ac:dyDescent="0.2">
      <c r="A23" s="458" t="s">
        <v>337</v>
      </c>
      <c r="B23" s="449">
        <f>SUM(B12:B22)</f>
        <v>13817</v>
      </c>
      <c r="C23" s="450">
        <f>SUM(C12:C22)</f>
        <v>12557</v>
      </c>
    </row>
    <row r="24" spans="1:3" ht="14.25" x14ac:dyDescent="0.2">
      <c r="A24" s="7" t="s">
        <v>233</v>
      </c>
      <c r="B24" s="5">
        <v>1011</v>
      </c>
      <c r="C24" s="6">
        <v>1954</v>
      </c>
    </row>
    <row r="25" spans="1:3" x14ac:dyDescent="0.2">
      <c r="A25" s="8" t="s">
        <v>20</v>
      </c>
      <c r="B25" s="9">
        <f>B23+B24</f>
        <v>14828</v>
      </c>
      <c r="C25" s="10">
        <f>C23+C24</f>
        <v>14511</v>
      </c>
    </row>
    <row r="26" spans="1:3" x14ac:dyDescent="0.2">
      <c r="A26" s="4"/>
      <c r="B26" s="5"/>
      <c r="C26" s="6"/>
    </row>
    <row r="27" spans="1:3" x14ac:dyDescent="0.2">
      <c r="A27" s="11" t="s">
        <v>21</v>
      </c>
      <c r="B27" s="5"/>
      <c r="C27" s="6"/>
    </row>
    <row r="28" spans="1:3" x14ac:dyDescent="0.2">
      <c r="A28" s="4" t="s">
        <v>152</v>
      </c>
      <c r="B28" s="5">
        <v>2697</v>
      </c>
      <c r="C28" s="6">
        <v>2451</v>
      </c>
    </row>
    <row r="29" spans="1:3" x14ac:dyDescent="0.2">
      <c r="A29" s="4" t="s">
        <v>149</v>
      </c>
      <c r="B29" s="5"/>
      <c r="C29" s="6">
        <v>-104</v>
      </c>
    </row>
    <row r="30" spans="1:3" x14ac:dyDescent="0.2">
      <c r="A30" s="4" t="s">
        <v>150</v>
      </c>
      <c r="B30" s="5"/>
      <c r="C30" s="6">
        <v>-356</v>
      </c>
    </row>
    <row r="31" spans="1:3" s="428" customFormat="1" x14ac:dyDescent="0.2">
      <c r="A31" s="4" t="s">
        <v>323</v>
      </c>
      <c r="B31" s="5">
        <v>-60</v>
      </c>
      <c r="C31" s="6"/>
    </row>
    <row r="32" spans="1:3" x14ac:dyDescent="0.2">
      <c r="A32" s="4" t="s">
        <v>19</v>
      </c>
      <c r="B32" s="5"/>
      <c r="C32" s="6">
        <v>-587</v>
      </c>
    </row>
    <row r="33" spans="1:3" x14ac:dyDescent="0.2">
      <c r="A33" s="8" t="s">
        <v>153</v>
      </c>
      <c r="B33" s="9">
        <f>SUM(B28:B32)</f>
        <v>2637</v>
      </c>
      <c r="C33" s="10">
        <f>SUM(C28:C32)</f>
        <v>1404</v>
      </c>
    </row>
    <row r="34" spans="1:3" x14ac:dyDescent="0.2">
      <c r="A34" s="7"/>
      <c r="B34" s="5"/>
      <c r="C34" s="6"/>
    </row>
    <row r="35" spans="1:3" x14ac:dyDescent="0.2">
      <c r="A35" s="8" t="s">
        <v>22</v>
      </c>
      <c r="B35" s="9">
        <f>+B33+B25</f>
        <v>17465</v>
      </c>
      <c r="C35" s="10">
        <f>+C33+C25</f>
        <v>15915</v>
      </c>
    </row>
    <row r="36" spans="1:3" ht="14.25" x14ac:dyDescent="0.2">
      <c r="A36" s="12" t="s">
        <v>270</v>
      </c>
      <c r="B36" s="13"/>
      <c r="C36" s="14"/>
    </row>
    <row r="37" spans="1:3" x14ac:dyDescent="0.2">
      <c r="A37" s="15"/>
      <c r="B37" s="16"/>
      <c r="C37" s="17"/>
    </row>
    <row r="38" spans="1:3" ht="12.75" thickBot="1" x14ac:dyDescent="0.25">
      <c r="A38" s="18" t="s">
        <v>332</v>
      </c>
      <c r="B38" s="19">
        <v>42004</v>
      </c>
      <c r="C38" s="20">
        <v>41639</v>
      </c>
    </row>
    <row r="39" spans="1:3" x14ac:dyDescent="0.2">
      <c r="A39" s="21" t="s">
        <v>229</v>
      </c>
      <c r="B39" s="419">
        <v>103397</v>
      </c>
      <c r="C39" s="22">
        <v>86437</v>
      </c>
    </row>
    <row r="40" spans="1:3" s="428" customFormat="1" x14ac:dyDescent="0.2">
      <c r="A40" s="428" t="s">
        <v>355</v>
      </c>
      <c r="B40" s="419">
        <v>1127</v>
      </c>
      <c r="C40" s="22"/>
    </row>
    <row r="41" spans="1:3" x14ac:dyDescent="0.2">
      <c r="A41" s="21" t="s">
        <v>230</v>
      </c>
      <c r="B41" s="419">
        <v>9445</v>
      </c>
      <c r="C41" s="22">
        <v>6438</v>
      </c>
    </row>
    <row r="42" spans="1:3" x14ac:dyDescent="0.2">
      <c r="A42" s="21" t="s">
        <v>231</v>
      </c>
      <c r="B42" s="419">
        <v>6220</v>
      </c>
      <c r="C42" s="22">
        <v>5713</v>
      </c>
    </row>
    <row r="43" spans="1:3" x14ac:dyDescent="0.2">
      <c r="A43" s="24" t="s">
        <v>26</v>
      </c>
      <c r="B43" s="25">
        <v>0</v>
      </c>
      <c r="C43" s="340">
        <v>14487</v>
      </c>
    </row>
    <row r="44" spans="1:3" x14ac:dyDescent="0.2">
      <c r="A44" s="27" t="s">
        <v>332</v>
      </c>
      <c r="B44" s="28">
        <f>B39+B40+B41+B42+B43</f>
        <v>120189</v>
      </c>
      <c r="C44" s="341">
        <f>C39+C41+C42+C43</f>
        <v>113075</v>
      </c>
    </row>
    <row r="45" spans="1:3" x14ac:dyDescent="0.2">
      <c r="A45" s="29"/>
      <c r="B45" s="30"/>
      <c r="C45" s="31"/>
    </row>
    <row r="46" spans="1:3" s="428" customFormat="1" x14ac:dyDescent="0.2">
      <c r="A46" s="484" t="s">
        <v>367</v>
      </c>
      <c r="B46" s="419">
        <v>5408.5050000000001</v>
      </c>
      <c r="C46" s="31"/>
    </row>
    <row r="47" spans="1:3" s="428" customFormat="1" x14ac:dyDescent="0.2">
      <c r="A47" s="484" t="s">
        <v>368</v>
      </c>
      <c r="B47" s="419"/>
      <c r="C47" s="31"/>
    </row>
    <row r="48" spans="1:3" s="428" customFormat="1" x14ac:dyDescent="0.2">
      <c r="A48" s="484" t="s">
        <v>369</v>
      </c>
      <c r="B48" s="419">
        <v>3004.7250000000004</v>
      </c>
      <c r="C48" s="31"/>
    </row>
    <row r="49" spans="1:17" s="428" customFormat="1" x14ac:dyDescent="0.2">
      <c r="A49" s="484" t="s">
        <v>370</v>
      </c>
      <c r="B49" s="419">
        <v>3605.67</v>
      </c>
      <c r="C49" s="31"/>
    </row>
    <row r="50" spans="1:17" s="428" customFormat="1" x14ac:dyDescent="0.2">
      <c r="A50" s="484" t="s">
        <v>371</v>
      </c>
      <c r="B50" s="419">
        <v>6610.3950000000004</v>
      </c>
      <c r="C50" s="31"/>
    </row>
    <row r="51" spans="1:17" s="428" customFormat="1" x14ac:dyDescent="0.2">
      <c r="A51" s="484" t="s">
        <v>372</v>
      </c>
      <c r="B51" s="419">
        <v>1798.0999999999985</v>
      </c>
      <c r="C51" s="31"/>
    </row>
    <row r="52" spans="1:17" s="428" customFormat="1" x14ac:dyDescent="0.2">
      <c r="A52" s="29"/>
      <c r="B52" s="30"/>
      <c r="C52" s="31"/>
    </row>
    <row r="53" spans="1:17" x14ac:dyDescent="0.2">
      <c r="A53" s="11" t="s">
        <v>115</v>
      </c>
      <c r="B53" s="32">
        <v>0.14530000000000001</v>
      </c>
      <c r="C53" s="33">
        <v>0.14069999999999999</v>
      </c>
    </row>
    <row r="54" spans="1:17" x14ac:dyDescent="0.2">
      <c r="A54" s="4" t="s">
        <v>271</v>
      </c>
      <c r="B54" s="32">
        <v>0.1234</v>
      </c>
      <c r="C54" s="33">
        <v>0.1283</v>
      </c>
    </row>
    <row r="55" spans="1:17" x14ac:dyDescent="0.2">
      <c r="A55" s="4" t="s">
        <v>272</v>
      </c>
      <c r="B55" s="32">
        <v>2.1899999999999999E-2</v>
      </c>
      <c r="C55" s="33">
        <v>1.24E-2</v>
      </c>
    </row>
    <row r="56" spans="1:17" x14ac:dyDescent="0.2">
      <c r="A56" s="17" t="s">
        <v>211</v>
      </c>
      <c r="B56" s="32">
        <v>0.115</v>
      </c>
      <c r="C56" s="33">
        <v>0.1111</v>
      </c>
    </row>
    <row r="57" spans="1:17" x14ac:dyDescent="0.2">
      <c r="A57" s="17"/>
      <c r="B57" s="17"/>
    </row>
    <row r="58" spans="1:17" s="35" customFormat="1" x14ac:dyDescent="0.2">
      <c r="A58" s="444"/>
      <c r="B58" s="444"/>
      <c r="C58" s="444"/>
      <c r="L58" s="21"/>
      <c r="M58" s="21"/>
      <c r="N58" s="21"/>
      <c r="O58" s="21"/>
      <c r="P58" s="21"/>
      <c r="Q58" s="21"/>
    </row>
    <row r="59" spans="1:17" s="35" customFormat="1" x14ac:dyDescent="0.2">
      <c r="L59" s="21"/>
      <c r="M59" s="21"/>
      <c r="N59" s="21"/>
      <c r="O59" s="21"/>
      <c r="P59" s="21"/>
      <c r="Q59" s="21"/>
    </row>
    <row r="60" spans="1:17" s="35" customFormat="1" x14ac:dyDescent="0.2">
      <c r="L60" s="21"/>
      <c r="M60" s="21"/>
      <c r="N60" s="21"/>
      <c r="O60" s="21"/>
      <c r="P60" s="21"/>
      <c r="Q60" s="21"/>
    </row>
    <row r="61" spans="1:17" x14ac:dyDescent="0.2">
      <c r="C61" s="36"/>
      <c r="D61" s="36"/>
      <c r="E61" s="36"/>
      <c r="F61" s="36"/>
    </row>
    <row r="62" spans="1:17" x14ac:dyDescent="0.2">
      <c r="A62" s="37"/>
      <c r="B62" s="38"/>
      <c r="C62" s="38"/>
      <c r="D62" s="39"/>
      <c r="E62" s="39"/>
      <c r="F62" s="39"/>
      <c r="G62" s="17"/>
      <c r="H62" s="17"/>
      <c r="I62" s="17"/>
    </row>
    <row r="63" spans="1:17" x14ac:dyDescent="0.2">
      <c r="A63" s="17"/>
      <c r="B63" s="17"/>
      <c r="C63" s="38"/>
      <c r="D63" s="40"/>
      <c r="E63" s="40"/>
      <c r="F63" s="38"/>
      <c r="G63" s="17"/>
      <c r="H63" s="17"/>
      <c r="I63" s="17"/>
    </row>
    <row r="64" spans="1:17" x14ac:dyDescent="0.2">
      <c r="A64" s="41"/>
      <c r="B64" s="41"/>
      <c r="C64" s="42"/>
      <c r="D64" s="40"/>
      <c r="E64" s="40"/>
      <c r="F64" s="41"/>
      <c r="G64" s="41"/>
      <c r="H64" s="17"/>
      <c r="I64" s="17"/>
    </row>
    <row r="65" spans="1:9" x14ac:dyDescent="0.2">
      <c r="A65" s="43"/>
      <c r="B65" s="44"/>
      <c r="C65" s="40"/>
      <c r="D65" s="40"/>
      <c r="E65" s="40"/>
      <c r="F65" s="45"/>
      <c r="G65" s="45"/>
      <c r="H65" s="17"/>
      <c r="I65" s="17"/>
    </row>
    <row r="66" spans="1:9" x14ac:dyDescent="0.2">
      <c r="A66" s="45"/>
      <c r="B66" s="44"/>
      <c r="C66" s="40"/>
      <c r="D66" s="40"/>
      <c r="E66" s="40"/>
      <c r="F66" s="45"/>
      <c r="G66" s="46"/>
      <c r="H66" s="17"/>
      <c r="I66" s="17"/>
    </row>
    <row r="67" spans="1:9" x14ac:dyDescent="0.2">
      <c r="A67" s="47"/>
      <c r="B67" s="48"/>
      <c r="C67" s="49"/>
      <c r="D67" s="49"/>
      <c r="E67" s="49"/>
      <c r="F67" s="50"/>
      <c r="G67" s="51"/>
      <c r="H67" s="17"/>
      <c r="I67" s="17"/>
    </row>
    <row r="68" spans="1:9" x14ac:dyDescent="0.2">
      <c r="A68" s="52"/>
      <c r="B68" s="48"/>
      <c r="C68" s="49"/>
      <c r="D68" s="49"/>
      <c r="E68" s="49"/>
      <c r="F68" s="53"/>
      <c r="G68" s="53"/>
      <c r="H68" s="17"/>
      <c r="I68" s="17"/>
    </row>
    <row r="69" spans="1:9" x14ac:dyDescent="0.2">
      <c r="A69" s="52"/>
      <c r="B69" s="48"/>
      <c r="C69" s="49"/>
      <c r="D69" s="49"/>
      <c r="E69" s="49"/>
      <c r="F69" s="53"/>
      <c r="G69" s="53"/>
      <c r="H69" s="17"/>
      <c r="I69" s="17"/>
    </row>
    <row r="70" spans="1:9" x14ac:dyDescent="0.2">
      <c r="A70" s="52"/>
      <c r="B70" s="48"/>
      <c r="C70" s="49"/>
      <c r="D70" s="49"/>
      <c r="E70" s="49"/>
      <c r="F70" s="53"/>
      <c r="G70" s="53"/>
      <c r="H70" s="17"/>
      <c r="I70" s="17"/>
    </row>
    <row r="71" spans="1:9" x14ac:dyDescent="0.2">
      <c r="A71" s="54"/>
      <c r="B71" s="48"/>
      <c r="C71" s="49"/>
      <c r="D71" s="49"/>
      <c r="E71" s="49"/>
      <c r="F71" s="55"/>
      <c r="G71" s="51"/>
      <c r="H71" s="17"/>
      <c r="I71" s="17"/>
    </row>
    <row r="72" spans="1:9" x14ac:dyDescent="0.2">
      <c r="A72" s="56"/>
      <c r="B72" s="57"/>
      <c r="C72" s="58"/>
      <c r="D72" s="58"/>
      <c r="E72" s="58"/>
      <c r="F72" s="59"/>
      <c r="G72" s="59"/>
      <c r="H72" s="17"/>
      <c r="I72" s="17"/>
    </row>
    <row r="73" spans="1:9" x14ac:dyDescent="0.2">
      <c r="A73" s="60"/>
      <c r="B73" s="48"/>
      <c r="C73" s="58"/>
      <c r="D73" s="58"/>
      <c r="E73" s="58"/>
      <c r="F73" s="50"/>
      <c r="G73" s="51"/>
      <c r="H73" s="17"/>
      <c r="I73" s="17"/>
    </row>
    <row r="74" spans="1:9" x14ac:dyDescent="0.2">
      <c r="A74" s="61"/>
      <c r="B74" s="41"/>
      <c r="C74" s="58"/>
      <c r="D74" s="58"/>
      <c r="E74" s="58"/>
      <c r="F74" s="50"/>
      <c r="G74" s="51"/>
      <c r="H74" s="17"/>
      <c r="I74" s="17"/>
    </row>
    <row r="75" spans="1:9" x14ac:dyDescent="0.2">
      <c r="A75" s="52"/>
      <c r="B75" s="48"/>
      <c r="C75" s="58"/>
      <c r="D75" s="58"/>
      <c r="E75" s="58"/>
      <c r="F75" s="53"/>
      <c r="G75" s="53"/>
      <c r="H75" s="17"/>
      <c r="I75" s="17"/>
    </row>
    <row r="76" spans="1:9" x14ac:dyDescent="0.2">
      <c r="A76" s="52"/>
      <c r="B76" s="48"/>
      <c r="C76" s="58"/>
      <c r="D76" s="58"/>
      <c r="E76" s="58"/>
      <c r="F76" s="53"/>
      <c r="G76" s="53"/>
      <c r="H76" s="17"/>
      <c r="I76" s="17"/>
    </row>
    <row r="77" spans="1:9" x14ac:dyDescent="0.2">
      <c r="A77" s="52"/>
      <c r="B77" s="48"/>
      <c r="C77" s="58"/>
      <c r="D77" s="58"/>
      <c r="E77" s="58"/>
      <c r="F77" s="53"/>
      <c r="G77" s="53"/>
      <c r="H77" s="17"/>
      <c r="I77" s="17"/>
    </row>
    <row r="78" spans="1:9" x14ac:dyDescent="0.2">
      <c r="A78" s="56"/>
      <c r="B78" s="57"/>
      <c r="C78" s="62"/>
      <c r="D78" s="62"/>
      <c r="E78" s="62"/>
      <c r="F78" s="59"/>
      <c r="G78" s="59"/>
      <c r="H78" s="17"/>
      <c r="I78" s="17"/>
    </row>
    <row r="79" spans="1:9" ht="14.25" x14ac:dyDescent="0.2">
      <c r="A79" s="63"/>
      <c r="B79" s="12"/>
      <c r="C79" s="58"/>
      <c r="D79" s="58"/>
      <c r="E79" s="58"/>
      <c r="F79" s="64"/>
      <c r="G79" s="65"/>
      <c r="H79" s="17"/>
      <c r="I79" s="17"/>
    </row>
    <row r="80" spans="1:9" ht="14.25" x14ac:dyDescent="0.2">
      <c r="A80" s="61"/>
      <c r="B80" s="66"/>
      <c r="C80" s="12"/>
      <c r="D80" s="12"/>
      <c r="E80" s="12"/>
      <c r="F80" s="67"/>
      <c r="G80" s="68"/>
      <c r="H80" s="17"/>
      <c r="I80" s="17"/>
    </row>
    <row r="81" spans="1:12" x14ac:dyDescent="0.2">
      <c r="A81" s="52"/>
      <c r="B81" s="69"/>
      <c r="C81" s="69"/>
      <c r="D81" s="69"/>
      <c r="E81" s="69"/>
      <c r="F81" s="53"/>
      <c r="G81" s="53"/>
      <c r="H81" s="17"/>
      <c r="I81" s="17"/>
    </row>
    <row r="82" spans="1:12" x14ac:dyDescent="0.2">
      <c r="A82" s="52"/>
      <c r="B82" s="48"/>
      <c r="C82" s="69"/>
      <c r="D82" s="69"/>
      <c r="E82" s="69"/>
      <c r="F82" s="53"/>
      <c r="G82" s="53"/>
      <c r="H82" s="17"/>
      <c r="I82" s="17"/>
    </row>
    <row r="83" spans="1:12" x14ac:dyDescent="0.2">
      <c r="A83" s="52"/>
      <c r="B83" s="48"/>
      <c r="C83" s="69"/>
      <c r="D83" s="69"/>
      <c r="E83" s="69"/>
      <c r="F83" s="53"/>
      <c r="G83" s="53"/>
      <c r="H83" s="17"/>
      <c r="I83" s="17"/>
    </row>
    <row r="84" spans="1:12" x14ac:dyDescent="0.2">
      <c r="A84" s="52"/>
      <c r="B84" s="48"/>
      <c r="C84" s="69"/>
      <c r="D84" s="69"/>
      <c r="E84" s="69"/>
      <c r="F84" s="53"/>
      <c r="G84" s="51"/>
      <c r="H84" s="17"/>
      <c r="I84" s="17"/>
    </row>
    <row r="85" spans="1:12" x14ac:dyDescent="0.2">
      <c r="A85" s="56"/>
      <c r="B85" s="70"/>
      <c r="C85" s="69"/>
      <c r="D85" s="69"/>
      <c r="E85" s="69"/>
      <c r="F85" s="59"/>
      <c r="G85" s="59"/>
      <c r="H85" s="17"/>
      <c r="I85" s="17"/>
    </row>
    <row r="86" spans="1:12" x14ac:dyDescent="0.2">
      <c r="A86" s="60"/>
      <c r="B86" s="48"/>
      <c r="C86" s="48"/>
      <c r="D86" s="48"/>
      <c r="E86" s="48"/>
      <c r="F86" s="57"/>
      <c r="G86" s="48"/>
      <c r="H86" s="17"/>
      <c r="I86" s="17"/>
    </row>
    <row r="87" spans="1:12" x14ac:dyDescent="0.2">
      <c r="A87" s="60"/>
      <c r="B87" s="48"/>
      <c r="C87" s="48"/>
      <c r="D87" s="48"/>
      <c r="E87" s="48"/>
      <c r="F87" s="53"/>
      <c r="G87" s="53"/>
      <c r="H87" s="17"/>
      <c r="I87" s="17"/>
    </row>
    <row r="88" spans="1:12" x14ac:dyDescent="0.2">
      <c r="A88" s="56"/>
      <c r="B88" s="57"/>
      <c r="C88" s="62"/>
      <c r="D88" s="62"/>
      <c r="E88" s="62"/>
      <c r="F88" s="59"/>
      <c r="G88" s="59"/>
      <c r="H88" s="17"/>
      <c r="I88" s="17"/>
    </row>
    <row r="89" spans="1:12" x14ac:dyDescent="0.2">
      <c r="A89" s="17"/>
      <c r="B89" s="17"/>
      <c r="C89" s="17"/>
      <c r="D89" s="17"/>
      <c r="E89" s="17"/>
      <c r="F89" s="17"/>
      <c r="G89" s="17"/>
      <c r="H89" s="17"/>
      <c r="I89" s="17"/>
    </row>
    <row r="90" spans="1:12" x14ac:dyDescent="0.2">
      <c r="A90" s="17"/>
      <c r="B90" s="17"/>
      <c r="C90" s="17"/>
      <c r="D90" s="17"/>
      <c r="E90" s="17"/>
      <c r="F90" s="17"/>
      <c r="G90" s="17"/>
      <c r="H90" s="17"/>
      <c r="I90" s="17"/>
    </row>
    <row r="91" spans="1:12" x14ac:dyDescent="0.2">
      <c r="A91" s="71"/>
      <c r="B91" s="71"/>
      <c r="C91" s="71"/>
      <c r="D91" s="71"/>
      <c r="E91" s="71"/>
      <c r="F91" s="71"/>
      <c r="G91" s="71"/>
      <c r="H91" s="41"/>
      <c r="I91" s="41"/>
      <c r="J91" s="72"/>
      <c r="K91" s="72"/>
      <c r="L91" s="72"/>
    </row>
    <row r="92" spans="1:12" x14ac:dyDescent="0.2">
      <c r="A92" s="71"/>
      <c r="B92" s="71"/>
      <c r="C92" s="71"/>
      <c r="D92" s="71"/>
      <c r="E92" s="71"/>
      <c r="F92" s="71"/>
      <c r="G92" s="71"/>
      <c r="H92" s="41"/>
      <c r="I92" s="41"/>
      <c r="J92" s="72"/>
      <c r="K92" s="72"/>
      <c r="L92" s="72"/>
    </row>
    <row r="93" spans="1:12" x14ac:dyDescent="0.2">
      <c r="A93" s="71"/>
      <c r="B93" s="71"/>
      <c r="C93" s="71"/>
      <c r="D93" s="71"/>
      <c r="E93" s="71"/>
      <c r="F93" s="71"/>
      <c r="G93" s="71"/>
      <c r="H93" s="41"/>
      <c r="I93" s="41"/>
      <c r="J93" s="72"/>
      <c r="K93" s="72"/>
      <c r="L93" s="72"/>
    </row>
    <row r="94" spans="1:12" x14ac:dyDescent="0.2">
      <c r="A94" s="71"/>
      <c r="B94" s="71"/>
      <c r="C94" s="71"/>
      <c r="D94" s="71"/>
      <c r="E94" s="71"/>
      <c r="F94" s="71"/>
      <c r="G94" s="71"/>
      <c r="H94" s="41"/>
      <c r="I94" s="41"/>
      <c r="J94" s="72"/>
      <c r="K94" s="72"/>
      <c r="L94" s="72"/>
    </row>
    <row r="95" spans="1:12" x14ac:dyDescent="0.2">
      <c r="A95" s="17"/>
      <c r="B95" s="17"/>
      <c r="C95" s="17"/>
      <c r="D95" s="17"/>
      <c r="E95" s="17"/>
      <c r="F95" s="17"/>
      <c r="G95" s="17"/>
      <c r="H95" s="17"/>
      <c r="I95" s="17"/>
    </row>
    <row r="96" spans="1:12"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row r="108" spans="1:9" x14ac:dyDescent="0.2">
      <c r="A108" s="17"/>
      <c r="B108" s="17"/>
      <c r="C108" s="17"/>
      <c r="D108" s="17"/>
      <c r="E108" s="17"/>
      <c r="F108" s="17"/>
      <c r="G108" s="17"/>
      <c r="H108" s="17"/>
      <c r="I108" s="17"/>
    </row>
    <row r="109" spans="1:9" x14ac:dyDescent="0.2">
      <c r="A109" s="17"/>
      <c r="B109" s="17"/>
      <c r="C109" s="17"/>
      <c r="D109" s="17"/>
      <c r="E109" s="17"/>
      <c r="F109" s="17"/>
      <c r="G109" s="17"/>
      <c r="H109" s="17"/>
      <c r="I109" s="17"/>
    </row>
    <row r="110" spans="1:9" x14ac:dyDescent="0.2">
      <c r="A110" s="17"/>
      <c r="B110" s="17"/>
      <c r="C110" s="17"/>
      <c r="D110" s="17"/>
      <c r="E110" s="17"/>
      <c r="F110" s="17"/>
      <c r="G110" s="17"/>
      <c r="H110" s="17"/>
      <c r="I110" s="17"/>
    </row>
    <row r="111" spans="1:9" x14ac:dyDescent="0.2">
      <c r="A111" s="17"/>
      <c r="B111" s="17"/>
      <c r="C111" s="17"/>
      <c r="D111" s="17"/>
      <c r="E111" s="17"/>
      <c r="F111" s="17"/>
      <c r="G111" s="17"/>
      <c r="H111" s="17"/>
      <c r="I111" s="17"/>
    </row>
    <row r="112" spans="1:9" x14ac:dyDescent="0.2">
      <c r="A112" s="17"/>
      <c r="B112" s="17"/>
      <c r="C112" s="17"/>
      <c r="D112" s="17"/>
      <c r="E112" s="17"/>
      <c r="F112" s="17"/>
      <c r="G112" s="17"/>
      <c r="H112" s="17"/>
      <c r="I112" s="17"/>
    </row>
    <row r="113" spans="1:9" x14ac:dyDescent="0.2">
      <c r="A113" s="17"/>
      <c r="B113" s="17"/>
      <c r="C113" s="17"/>
      <c r="D113" s="17"/>
      <c r="E113" s="17"/>
      <c r="F113" s="17"/>
      <c r="G113" s="17"/>
      <c r="H113" s="17"/>
      <c r="I113" s="17"/>
    </row>
    <row r="114" spans="1:9" x14ac:dyDescent="0.2">
      <c r="A114" s="17"/>
      <c r="B114" s="17"/>
      <c r="C114" s="17"/>
      <c r="D114" s="17"/>
      <c r="E114" s="17"/>
      <c r="F114" s="17"/>
      <c r="G114" s="17"/>
      <c r="H114" s="17"/>
      <c r="I114" s="17"/>
    </row>
    <row r="115" spans="1:9" x14ac:dyDescent="0.2">
      <c r="A115" s="17"/>
      <c r="B115" s="17"/>
      <c r="C115" s="17"/>
      <c r="D115" s="17"/>
      <c r="E115" s="17"/>
      <c r="F115" s="17"/>
      <c r="G115" s="17"/>
      <c r="H115" s="17"/>
      <c r="I115" s="17"/>
    </row>
    <row r="116" spans="1:9" x14ac:dyDescent="0.2">
      <c r="A116" s="17"/>
      <c r="B116" s="17"/>
      <c r="C116" s="17"/>
      <c r="D116" s="17"/>
      <c r="E116" s="17"/>
      <c r="F116" s="17"/>
      <c r="G116" s="17"/>
      <c r="H116" s="17"/>
      <c r="I116" s="17"/>
    </row>
    <row r="117" spans="1:9" x14ac:dyDescent="0.2">
      <c r="A117" s="17"/>
      <c r="B117" s="17"/>
      <c r="C117" s="17"/>
      <c r="D117" s="17"/>
      <c r="E117" s="17"/>
      <c r="F117" s="17"/>
      <c r="G117" s="17"/>
      <c r="H117" s="17"/>
      <c r="I117" s="17"/>
    </row>
    <row r="118" spans="1:9" x14ac:dyDescent="0.2">
      <c r="A118" s="17"/>
      <c r="B118" s="17"/>
      <c r="C118" s="17"/>
      <c r="D118" s="17"/>
      <c r="E118" s="17"/>
      <c r="F118" s="17"/>
      <c r="G118" s="17"/>
      <c r="H118" s="17"/>
      <c r="I118" s="17"/>
    </row>
    <row r="119" spans="1:9" x14ac:dyDescent="0.2">
      <c r="A119" s="17"/>
      <c r="B119" s="17"/>
      <c r="C119" s="17"/>
      <c r="D119" s="17"/>
      <c r="E119" s="17"/>
      <c r="F119" s="17"/>
      <c r="G119" s="17"/>
      <c r="H119" s="17"/>
      <c r="I119" s="17"/>
    </row>
    <row r="120" spans="1:9" x14ac:dyDescent="0.2">
      <c r="A120" s="17"/>
      <c r="B120" s="17"/>
      <c r="C120" s="17"/>
      <c r="D120" s="17"/>
      <c r="E120" s="17"/>
      <c r="F120" s="17"/>
      <c r="G120" s="17"/>
      <c r="H120" s="17"/>
      <c r="I120" s="17"/>
    </row>
    <row r="121" spans="1:9" x14ac:dyDescent="0.2">
      <c r="A121" s="17"/>
      <c r="B121" s="17"/>
      <c r="C121" s="17"/>
      <c r="D121" s="17"/>
      <c r="E121" s="17"/>
      <c r="F121" s="17"/>
      <c r="G121" s="17"/>
      <c r="H121" s="17"/>
      <c r="I121" s="17"/>
    </row>
    <row r="122" spans="1:9" x14ac:dyDescent="0.2">
      <c r="A122" s="17"/>
      <c r="B122" s="17"/>
      <c r="C122" s="17"/>
      <c r="D122" s="17"/>
      <c r="E122" s="17"/>
      <c r="F122" s="17"/>
      <c r="G122" s="17"/>
      <c r="H122" s="17"/>
      <c r="I122" s="17"/>
    </row>
    <row r="123" spans="1:9" x14ac:dyDescent="0.2">
      <c r="A123" s="17"/>
      <c r="B123" s="17"/>
      <c r="C123" s="17"/>
      <c r="D123" s="17"/>
      <c r="E123" s="17"/>
      <c r="F123" s="17"/>
      <c r="G123" s="17"/>
      <c r="H123" s="17"/>
      <c r="I123" s="17"/>
    </row>
    <row r="124" spans="1:9" x14ac:dyDescent="0.2">
      <c r="A124" s="17"/>
      <c r="B124" s="17"/>
      <c r="C124" s="17"/>
      <c r="D124" s="17"/>
      <c r="E124" s="17"/>
      <c r="F124" s="17"/>
      <c r="G124" s="17"/>
      <c r="H124" s="17"/>
      <c r="I124" s="17"/>
    </row>
    <row r="125" spans="1:9" x14ac:dyDescent="0.2">
      <c r="A125" s="17"/>
      <c r="B125" s="17"/>
      <c r="C125" s="17"/>
      <c r="D125" s="17"/>
      <c r="E125" s="17"/>
      <c r="F125" s="17"/>
      <c r="G125" s="17"/>
      <c r="H125" s="17"/>
      <c r="I125" s="17"/>
    </row>
    <row r="126" spans="1:9" x14ac:dyDescent="0.2">
      <c r="A126" s="17"/>
      <c r="B126" s="17"/>
      <c r="C126" s="17"/>
      <c r="D126" s="17"/>
      <c r="E126" s="17"/>
      <c r="F126" s="17"/>
      <c r="G126" s="17"/>
      <c r="H126" s="17"/>
      <c r="I126" s="17"/>
    </row>
    <row r="127" spans="1:9" x14ac:dyDescent="0.2">
      <c r="A127" s="17"/>
      <c r="B127" s="17"/>
      <c r="C127" s="17"/>
      <c r="D127" s="17"/>
      <c r="E127" s="17"/>
      <c r="F127" s="17"/>
      <c r="G127" s="17"/>
      <c r="H127" s="17"/>
      <c r="I127" s="17"/>
    </row>
    <row r="128" spans="1:9" x14ac:dyDescent="0.2">
      <c r="A128" s="17"/>
      <c r="B128" s="17"/>
      <c r="C128" s="17"/>
      <c r="D128" s="17"/>
      <c r="E128" s="17"/>
      <c r="F128" s="17"/>
      <c r="G128" s="17"/>
      <c r="H128" s="17"/>
      <c r="I128" s="17"/>
    </row>
    <row r="129" spans="1:9" x14ac:dyDescent="0.2">
      <c r="A129" s="17"/>
      <c r="B129" s="17"/>
      <c r="C129" s="17"/>
      <c r="D129" s="17"/>
      <c r="E129" s="17"/>
      <c r="F129" s="17"/>
      <c r="G129" s="17"/>
      <c r="H129" s="17"/>
      <c r="I129" s="17"/>
    </row>
    <row r="130" spans="1:9" x14ac:dyDescent="0.2">
      <c r="A130" s="17"/>
      <c r="B130" s="17"/>
      <c r="C130" s="17"/>
      <c r="D130" s="17"/>
      <c r="E130" s="17"/>
      <c r="F130" s="17"/>
      <c r="G130" s="17"/>
      <c r="H130" s="17"/>
      <c r="I130" s="17"/>
    </row>
    <row r="131" spans="1:9" x14ac:dyDescent="0.2">
      <c r="A131" s="17"/>
      <c r="B131" s="17"/>
      <c r="C131" s="17"/>
      <c r="D131" s="17"/>
      <c r="E131" s="17"/>
      <c r="F131" s="17"/>
      <c r="G131" s="17"/>
      <c r="H131" s="17"/>
      <c r="I131" s="17"/>
    </row>
    <row r="132" spans="1:9" x14ac:dyDescent="0.2">
      <c r="A132" s="17"/>
      <c r="B132" s="17"/>
      <c r="C132" s="17"/>
      <c r="D132" s="17"/>
      <c r="E132" s="17"/>
      <c r="F132" s="17"/>
      <c r="G132" s="17"/>
      <c r="H132" s="17"/>
      <c r="I132" s="17"/>
    </row>
    <row r="133" spans="1:9" x14ac:dyDescent="0.2">
      <c r="A133" s="17"/>
      <c r="B133" s="17"/>
      <c r="C133" s="17"/>
      <c r="D133" s="17"/>
      <c r="E133" s="17"/>
      <c r="F133" s="17"/>
      <c r="G133" s="17"/>
      <c r="H133" s="17"/>
      <c r="I133" s="17"/>
    </row>
    <row r="134" spans="1:9" x14ac:dyDescent="0.2">
      <c r="A134" s="17"/>
      <c r="B134" s="17"/>
      <c r="C134" s="17"/>
      <c r="D134" s="17"/>
      <c r="E134" s="17"/>
      <c r="F134" s="17"/>
      <c r="G134" s="17"/>
      <c r="H134" s="17"/>
      <c r="I134" s="17"/>
    </row>
    <row r="135" spans="1:9" x14ac:dyDescent="0.2">
      <c r="A135" s="17"/>
      <c r="B135" s="17"/>
      <c r="C135" s="17"/>
      <c r="D135" s="17"/>
      <c r="E135" s="17"/>
      <c r="F135" s="17"/>
      <c r="G135" s="17"/>
      <c r="H135" s="17"/>
      <c r="I135" s="17"/>
    </row>
    <row r="136" spans="1:9" x14ac:dyDescent="0.2">
      <c r="A136" s="17"/>
      <c r="B136" s="17"/>
      <c r="C136" s="17"/>
      <c r="D136" s="17"/>
      <c r="E136" s="17"/>
      <c r="F136" s="17"/>
      <c r="G136" s="17"/>
      <c r="H136" s="17"/>
      <c r="I136" s="17"/>
    </row>
    <row r="137" spans="1:9" x14ac:dyDescent="0.2">
      <c r="A137" s="17"/>
      <c r="B137" s="17"/>
      <c r="C137" s="17"/>
      <c r="D137" s="17"/>
      <c r="E137" s="17"/>
      <c r="F137" s="17"/>
      <c r="G137" s="17"/>
      <c r="H137" s="17"/>
      <c r="I137" s="17"/>
    </row>
    <row r="138" spans="1:9" x14ac:dyDescent="0.2">
      <c r="A138" s="17"/>
      <c r="B138" s="17"/>
      <c r="C138" s="17"/>
      <c r="D138" s="17"/>
      <c r="E138" s="17"/>
      <c r="F138" s="17"/>
      <c r="G138" s="17"/>
      <c r="H138" s="17"/>
      <c r="I138" s="17"/>
    </row>
    <row r="139" spans="1:9" x14ac:dyDescent="0.2">
      <c r="A139" s="17"/>
      <c r="B139" s="17"/>
      <c r="C139" s="17"/>
      <c r="D139" s="17"/>
      <c r="E139" s="17"/>
      <c r="F139" s="17"/>
      <c r="G139" s="17"/>
      <c r="H139" s="17"/>
      <c r="I139" s="17"/>
    </row>
    <row r="140" spans="1:9" x14ac:dyDescent="0.2">
      <c r="A140" s="17"/>
      <c r="B140" s="17"/>
      <c r="C140" s="17"/>
      <c r="D140" s="17"/>
      <c r="E140" s="17"/>
      <c r="F140" s="17"/>
      <c r="G140" s="17"/>
      <c r="H140" s="17"/>
      <c r="I140" s="17"/>
    </row>
    <row r="141" spans="1:9" x14ac:dyDescent="0.2">
      <c r="A141" s="17"/>
      <c r="B141" s="17"/>
      <c r="C141" s="17"/>
      <c r="D141" s="17"/>
      <c r="E141" s="17"/>
      <c r="F141" s="17"/>
      <c r="G141" s="17"/>
      <c r="H141" s="17"/>
      <c r="I141" s="17"/>
    </row>
    <row r="142" spans="1:9" x14ac:dyDescent="0.2">
      <c r="A142" s="17"/>
      <c r="B142" s="17"/>
      <c r="C142" s="17"/>
      <c r="D142" s="17"/>
      <c r="E142" s="17"/>
      <c r="F142" s="17"/>
      <c r="G142" s="17"/>
      <c r="H142" s="17"/>
      <c r="I142" s="17"/>
    </row>
    <row r="143" spans="1:9" x14ac:dyDescent="0.2">
      <c r="A143" s="17"/>
      <c r="B143" s="17"/>
      <c r="C143" s="17"/>
      <c r="D143" s="17"/>
      <c r="E143" s="17"/>
      <c r="F143" s="17"/>
      <c r="G143" s="17"/>
      <c r="H143" s="17"/>
      <c r="I143" s="17"/>
    </row>
    <row r="144" spans="1:9" x14ac:dyDescent="0.2">
      <c r="A144" s="17"/>
      <c r="B144" s="17"/>
      <c r="C144" s="17"/>
      <c r="D144" s="17"/>
      <c r="E144" s="17"/>
      <c r="F144" s="17"/>
      <c r="G144" s="17"/>
      <c r="H144" s="17"/>
      <c r="I144" s="17"/>
    </row>
    <row r="145" spans="1:9" x14ac:dyDescent="0.2">
      <c r="A145" s="17"/>
      <c r="B145" s="17"/>
      <c r="C145" s="17"/>
      <c r="D145" s="17"/>
      <c r="E145" s="17"/>
      <c r="F145" s="17"/>
      <c r="G145" s="17"/>
      <c r="H145" s="17"/>
      <c r="I145"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12:C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enableFormatConditionsCalculation="0">
    <pageSetUpPr fitToPage="1"/>
  </sheetPr>
  <dimension ref="A1:K43"/>
  <sheetViews>
    <sheetView zoomScaleNormal="100" workbookViewId="0">
      <selection activeCell="G50" sqref="G50"/>
    </sheetView>
  </sheetViews>
  <sheetFormatPr baseColWidth="10" defaultColWidth="11" defaultRowHeight="12" x14ac:dyDescent="0.2"/>
  <cols>
    <col min="1" max="1" width="12.125" style="21" customWidth="1"/>
    <col min="2" max="2" width="29.625" style="21" customWidth="1"/>
    <col min="3" max="3" width="8.375" style="21" customWidth="1"/>
    <col min="4" max="4" width="8.875" style="21" customWidth="1"/>
    <col min="5" max="5" width="11.5" style="21" customWidth="1"/>
    <col min="6" max="6" width="10.625" style="21" customWidth="1"/>
    <col min="7" max="7" width="14.625" style="21" customWidth="1"/>
    <col min="8" max="8" width="11" style="21"/>
    <col min="9" max="9" width="31.25" style="21" customWidth="1"/>
    <col min="10" max="16384" width="11" style="21"/>
  </cols>
  <sheetData>
    <row r="1" spans="1:11" x14ac:dyDescent="0.2">
      <c r="A1" s="346" t="s">
        <v>344</v>
      </c>
      <c r="B1" s="23"/>
      <c r="C1" s="347"/>
      <c r="D1" s="347"/>
      <c r="E1" s="347"/>
      <c r="F1" s="347"/>
      <c r="G1" s="73"/>
      <c r="H1" s="73"/>
      <c r="J1" s="73"/>
    </row>
    <row r="2" spans="1:11" x14ac:dyDescent="0.2">
      <c r="A2" s="346"/>
      <c r="B2" s="23"/>
      <c r="C2" s="347"/>
      <c r="D2" s="347"/>
      <c r="E2" s="347"/>
      <c r="F2" s="347"/>
      <c r="G2" s="73"/>
      <c r="H2" s="73"/>
      <c r="J2" s="73"/>
    </row>
    <row r="3" spans="1:11" x14ac:dyDescent="0.2">
      <c r="A3" s="348"/>
      <c r="B3" s="348"/>
      <c r="C3" s="348"/>
      <c r="D3" s="348"/>
      <c r="E3" s="349"/>
      <c r="F3" s="23"/>
      <c r="J3" s="74"/>
    </row>
    <row r="4" spans="1:11" x14ac:dyDescent="0.2">
      <c r="A4" s="345"/>
      <c r="B4" s="345"/>
      <c r="C4" s="345"/>
      <c r="D4" s="345"/>
      <c r="E4" s="350"/>
      <c r="F4" s="350"/>
      <c r="G4" s="76"/>
    </row>
    <row r="5" spans="1:11" ht="24" x14ac:dyDescent="0.2">
      <c r="A5" s="343"/>
      <c r="B5" s="351"/>
      <c r="C5" s="352" t="s">
        <v>65</v>
      </c>
      <c r="D5" s="352" t="s">
        <v>65</v>
      </c>
      <c r="E5" s="350" t="s">
        <v>332</v>
      </c>
      <c r="F5" s="353" t="s">
        <v>332</v>
      </c>
      <c r="G5" s="80"/>
    </row>
    <row r="6" spans="1:11" x14ac:dyDescent="0.2">
      <c r="A6" s="343"/>
      <c r="B6" s="351"/>
      <c r="C6" s="352"/>
      <c r="D6" s="352" t="s">
        <v>66</v>
      </c>
      <c r="E6" s="350" t="s">
        <v>67</v>
      </c>
      <c r="F6" s="353" t="s">
        <v>67</v>
      </c>
      <c r="G6" s="76"/>
    </row>
    <row r="7" spans="1:11" ht="12.75" thickBot="1" x14ac:dyDescent="0.25">
      <c r="A7" s="354"/>
      <c r="B7" s="355"/>
      <c r="C7" s="356">
        <v>42004</v>
      </c>
      <c r="D7" s="356">
        <v>42004</v>
      </c>
      <c r="E7" s="356">
        <v>42004</v>
      </c>
      <c r="F7" s="357">
        <v>41639</v>
      </c>
      <c r="G7" s="82"/>
      <c r="I7" s="16"/>
    </row>
    <row r="8" spans="1:11" x14ac:dyDescent="0.2">
      <c r="A8" s="110" t="s">
        <v>27</v>
      </c>
      <c r="B8" s="486" t="s">
        <v>391</v>
      </c>
      <c r="C8" s="358">
        <f>3825+36368</f>
        <v>40193</v>
      </c>
      <c r="D8" s="358">
        <f>3825+34502</f>
        <v>38327</v>
      </c>
      <c r="E8" s="358">
        <v>32685</v>
      </c>
      <c r="F8" s="358">
        <v>28174</v>
      </c>
      <c r="G8" s="84"/>
      <c r="I8" s="16"/>
    </row>
    <row r="9" spans="1:11" s="428" customFormat="1" x14ac:dyDescent="0.2">
      <c r="A9" s="110"/>
      <c r="B9" s="486" t="s">
        <v>385</v>
      </c>
      <c r="C9" s="358">
        <v>26459</v>
      </c>
      <c r="D9" s="358">
        <v>24181</v>
      </c>
      <c r="E9" s="358">
        <v>21789</v>
      </c>
      <c r="F9" s="358"/>
      <c r="G9" s="84"/>
      <c r="I9" s="16"/>
    </row>
    <row r="10" spans="1:11" x14ac:dyDescent="0.2">
      <c r="A10" s="359"/>
      <c r="B10" s="360" t="s">
        <v>124</v>
      </c>
      <c r="C10" s="361">
        <f>506+9758</f>
        <v>10264</v>
      </c>
      <c r="D10" s="361">
        <f>506+8512</f>
        <v>9018</v>
      </c>
      <c r="E10" s="361">
        <f>8789</f>
        <v>8789</v>
      </c>
      <c r="F10" s="361">
        <v>27245</v>
      </c>
      <c r="G10" s="84"/>
      <c r="I10" s="85"/>
    </row>
    <row r="11" spans="1:11" x14ac:dyDescent="0.2">
      <c r="A11" s="342" t="s">
        <v>28</v>
      </c>
      <c r="B11" s="342" t="s">
        <v>68</v>
      </c>
      <c r="C11" s="358">
        <v>5804</v>
      </c>
      <c r="D11" s="358">
        <v>5801</v>
      </c>
      <c r="E11" s="358">
        <v>1144</v>
      </c>
      <c r="F11" s="358">
        <v>641</v>
      </c>
      <c r="G11" s="84"/>
      <c r="I11" s="85"/>
    </row>
    <row r="12" spans="1:11" ht="12" customHeight="1" x14ac:dyDescent="0.2">
      <c r="A12" s="342"/>
      <c r="B12" s="342" t="s">
        <v>110</v>
      </c>
      <c r="C12" s="358">
        <v>119170</v>
      </c>
      <c r="D12" s="358">
        <v>119163</v>
      </c>
      <c r="E12" s="358">
        <v>20661</v>
      </c>
      <c r="F12" s="358">
        <v>10715</v>
      </c>
      <c r="G12" s="84"/>
      <c r="I12" s="85"/>
    </row>
    <row r="13" spans="1:11" ht="14.25" customHeight="1" x14ac:dyDescent="0.2">
      <c r="A13" s="362"/>
      <c r="B13" s="362" t="s">
        <v>111</v>
      </c>
      <c r="C13" s="361">
        <f>191+1707</f>
        <v>1898</v>
      </c>
      <c r="D13" s="361">
        <f>190+1703</f>
        <v>1893</v>
      </c>
      <c r="E13" s="361">
        <v>845</v>
      </c>
      <c r="F13" s="361">
        <v>763</v>
      </c>
      <c r="G13" s="84"/>
      <c r="I13" s="633"/>
      <c r="J13" s="633"/>
      <c r="K13" s="633"/>
    </row>
    <row r="14" spans="1:11" x14ac:dyDescent="0.2">
      <c r="A14" s="634" t="s">
        <v>341</v>
      </c>
      <c r="B14" s="634"/>
      <c r="C14" s="363">
        <f>SUM(C8:C13)</f>
        <v>203788</v>
      </c>
      <c r="D14" s="363">
        <f>SUM(D8:D13)</f>
        <v>198383</v>
      </c>
      <c r="E14" s="363">
        <f>SUM(E8:E13)</f>
        <v>85913</v>
      </c>
      <c r="F14" s="363">
        <f>SUM(F8:F13)</f>
        <v>67538</v>
      </c>
      <c r="G14" s="87"/>
    </row>
    <row r="15" spans="1:11" x14ac:dyDescent="0.2">
      <c r="A15" s="351"/>
      <c r="B15" s="351"/>
      <c r="C15" s="364"/>
      <c r="D15" s="364"/>
      <c r="E15" s="364"/>
      <c r="F15" s="364"/>
      <c r="G15" s="88"/>
    </row>
    <row r="16" spans="1:11" x14ac:dyDescent="0.2">
      <c r="A16" s="465" t="s">
        <v>71</v>
      </c>
      <c r="B16" s="465"/>
      <c r="C16" s="358">
        <f>7377+196+197</f>
        <v>7770</v>
      </c>
      <c r="D16" s="358"/>
      <c r="E16" s="358">
        <f>72+39+111</f>
        <v>222</v>
      </c>
      <c r="F16" s="358">
        <v>287</v>
      </c>
      <c r="G16" s="84"/>
      <c r="H16" s="89"/>
    </row>
    <row r="17" spans="1:8" x14ac:dyDescent="0.2">
      <c r="A17" s="478" t="s">
        <v>34</v>
      </c>
      <c r="B17" s="478"/>
      <c r="C17" s="358">
        <f>25693-13559-667</f>
        <v>11467</v>
      </c>
      <c r="D17" s="358"/>
      <c r="E17" s="358">
        <f>5872-3227-543</f>
        <v>2102</v>
      </c>
      <c r="F17" s="358">
        <v>1550</v>
      </c>
      <c r="G17" s="84"/>
      <c r="H17" s="89"/>
    </row>
    <row r="18" spans="1:8" x14ac:dyDescent="0.2">
      <c r="A18" s="478" t="s">
        <v>27</v>
      </c>
      <c r="B18" s="478"/>
      <c r="C18" s="358">
        <f>7379+130-485</f>
        <v>7024</v>
      </c>
      <c r="D18" s="358"/>
      <c r="E18" s="358">
        <f>6642+115-485</f>
        <v>6272</v>
      </c>
      <c r="F18" s="358">
        <v>1575</v>
      </c>
      <c r="G18" s="84"/>
      <c r="H18" s="89"/>
    </row>
    <row r="19" spans="1:8" x14ac:dyDescent="0.2">
      <c r="A19" s="465" t="s">
        <v>28</v>
      </c>
      <c r="B19" s="465"/>
      <c r="C19" s="358">
        <f>1937+7644</f>
        <v>9581</v>
      </c>
      <c r="D19" s="358"/>
      <c r="E19" s="358">
        <f>1257+5612</f>
        <v>6869</v>
      </c>
      <c r="F19" s="358">
        <v>150</v>
      </c>
      <c r="G19" s="84"/>
      <c r="H19" s="89"/>
    </row>
    <row r="20" spans="1:8" ht="24" x14ac:dyDescent="0.2">
      <c r="A20" s="465" t="s">
        <v>324</v>
      </c>
      <c r="B20" s="465"/>
      <c r="C20" s="358"/>
      <c r="D20" s="358"/>
      <c r="E20" s="358"/>
      <c r="F20" s="358">
        <v>14850</v>
      </c>
      <c r="G20" s="84"/>
      <c r="H20" s="89"/>
    </row>
    <row r="21" spans="1:8" ht="24" x14ac:dyDescent="0.2">
      <c r="A21" s="360" t="s">
        <v>72</v>
      </c>
      <c r="B21" s="360"/>
      <c r="C21" s="361">
        <v>3783</v>
      </c>
      <c r="D21" s="479"/>
      <c r="E21" s="361">
        <f>1866+153</f>
        <v>2019</v>
      </c>
      <c r="F21" s="361">
        <v>1950</v>
      </c>
      <c r="G21" s="84"/>
      <c r="H21" s="89"/>
    </row>
    <row r="22" spans="1:8" x14ac:dyDescent="0.2">
      <c r="A22" s="634" t="s">
        <v>342</v>
      </c>
      <c r="B22" s="634"/>
      <c r="C22" s="363">
        <f>SUM(C16:C21)</f>
        <v>39625</v>
      </c>
      <c r="D22" s="363"/>
      <c r="E22" s="363">
        <f>SUM(E16:E21)</f>
        <v>17484</v>
      </c>
      <c r="F22" s="363">
        <f>SUM(F16:F21)</f>
        <v>20362</v>
      </c>
      <c r="G22" s="87"/>
      <c r="H22" s="89"/>
    </row>
    <row r="23" spans="1:8" x14ac:dyDescent="0.2">
      <c r="A23" s="351"/>
      <c r="B23" s="351"/>
      <c r="C23" s="363"/>
      <c r="D23" s="363"/>
      <c r="E23" s="363"/>
      <c r="F23" s="363"/>
      <c r="G23" s="87"/>
      <c r="H23" s="89"/>
    </row>
    <row r="24" spans="1:8" x14ac:dyDescent="0.2">
      <c r="A24" s="111" t="s">
        <v>73</v>
      </c>
      <c r="B24" s="111"/>
      <c r="C24" s="365"/>
      <c r="D24" s="365"/>
      <c r="E24" s="365"/>
      <c r="F24" s="365">
        <v>-1463</v>
      </c>
      <c r="G24" s="91"/>
    </row>
    <row r="25" spans="1:8" x14ac:dyDescent="0.2">
      <c r="A25" s="366" t="s">
        <v>343</v>
      </c>
      <c r="B25" s="367"/>
      <c r="C25" s="368"/>
      <c r="D25" s="443"/>
      <c r="E25" s="368">
        <f>E14+E22+E24</f>
        <v>103397</v>
      </c>
      <c r="F25" s="368">
        <f>F14+F22+F24</f>
        <v>86437</v>
      </c>
      <c r="G25" s="93"/>
    </row>
    <row r="27" spans="1:8" x14ac:dyDescent="0.2">
      <c r="A27" s="444" t="s">
        <v>326</v>
      </c>
      <c r="B27" s="444"/>
      <c r="C27" s="444"/>
      <c r="D27" s="22"/>
      <c r="E27" s="444"/>
      <c r="F27" s="444"/>
      <c r="G27" s="444"/>
    </row>
    <row r="28" spans="1:8" x14ac:dyDescent="0.2">
      <c r="A28" s="444" t="s">
        <v>325</v>
      </c>
      <c r="B28" s="444"/>
      <c r="C28" s="444"/>
      <c r="D28" s="444"/>
      <c r="E28" s="444"/>
      <c r="F28" s="444"/>
      <c r="G28" s="444"/>
    </row>
    <row r="29" spans="1:8" x14ac:dyDescent="0.2">
      <c r="E29" s="89"/>
    </row>
    <row r="31" spans="1:8" x14ac:dyDescent="0.2">
      <c r="A31" s="23"/>
      <c r="B31" s="23"/>
      <c r="C31" s="23"/>
      <c r="D31" s="23"/>
      <c r="E31" s="23"/>
      <c r="F31" s="23"/>
      <c r="G31" s="23"/>
    </row>
    <row r="32" spans="1:8" x14ac:dyDescent="0.2">
      <c r="A32" s="23"/>
      <c r="B32" s="23"/>
      <c r="C32" s="23"/>
      <c r="D32" s="23"/>
      <c r="E32" s="23"/>
      <c r="F32" s="23"/>
      <c r="G32" s="23"/>
    </row>
    <row r="33" spans="1:7" x14ac:dyDescent="0.2">
      <c r="A33" s="23"/>
      <c r="B33" s="23"/>
      <c r="C33" s="23"/>
      <c r="D33" s="23"/>
      <c r="E33" s="23"/>
      <c r="F33" s="23"/>
      <c r="G33" s="23"/>
    </row>
    <row r="34" spans="1:7" x14ac:dyDescent="0.2">
      <c r="A34" s="23"/>
      <c r="B34" s="23"/>
      <c r="C34" s="23"/>
      <c r="D34" s="23"/>
      <c r="E34" s="23"/>
      <c r="F34" s="23"/>
      <c r="G34" s="23"/>
    </row>
    <row r="35" spans="1:7" x14ac:dyDescent="0.2">
      <c r="A35" s="23"/>
      <c r="B35" s="23"/>
      <c r="C35" s="23"/>
      <c r="D35" s="23"/>
      <c r="E35" s="23"/>
      <c r="F35" s="23"/>
      <c r="G35" s="23"/>
    </row>
    <row r="36" spans="1:7" x14ac:dyDescent="0.2">
      <c r="A36" s="23"/>
      <c r="B36" s="23"/>
      <c r="C36" s="23"/>
      <c r="D36" s="23"/>
      <c r="E36" s="23"/>
      <c r="F36" s="23"/>
      <c r="G36" s="23"/>
    </row>
    <row r="37" spans="1:7" x14ac:dyDescent="0.2">
      <c r="A37" s="23"/>
      <c r="B37" s="23"/>
      <c r="C37" s="23"/>
      <c r="D37" s="23"/>
      <c r="E37" s="23"/>
      <c r="F37" s="23"/>
      <c r="G37" s="23"/>
    </row>
    <row r="38" spans="1:7" x14ac:dyDescent="0.2">
      <c r="A38" s="23"/>
      <c r="B38" s="23"/>
      <c r="C38" s="23"/>
      <c r="D38" s="23"/>
      <c r="E38" s="23"/>
      <c r="F38" s="23"/>
      <c r="G38" s="23"/>
    </row>
    <row r="39" spans="1:7" x14ac:dyDescent="0.2">
      <c r="A39" s="23"/>
      <c r="B39" s="23"/>
      <c r="C39" s="23"/>
      <c r="D39" s="23"/>
      <c r="E39" s="23"/>
      <c r="F39" s="23"/>
      <c r="G39" s="23"/>
    </row>
    <row r="40" spans="1:7" x14ac:dyDescent="0.2">
      <c r="A40" s="23"/>
      <c r="B40" s="23"/>
      <c r="C40" s="23"/>
      <c r="D40" s="23"/>
      <c r="E40" s="23"/>
      <c r="F40" s="23"/>
      <c r="G40" s="23"/>
    </row>
    <row r="41" spans="1:7" x14ac:dyDescent="0.2">
      <c r="A41" s="23"/>
      <c r="B41" s="23"/>
      <c r="C41" s="23"/>
      <c r="D41" s="23"/>
      <c r="E41" s="23"/>
      <c r="F41" s="23"/>
      <c r="G41" s="23"/>
    </row>
    <row r="42" spans="1:7" x14ac:dyDescent="0.2">
      <c r="A42" s="23"/>
      <c r="B42" s="23"/>
      <c r="C42" s="23"/>
      <c r="D42" s="23"/>
      <c r="E42" s="23"/>
      <c r="F42" s="23"/>
      <c r="G42" s="23"/>
    </row>
    <row r="43" spans="1:7" x14ac:dyDescent="0.2">
      <c r="A43" s="23"/>
      <c r="B43" s="23"/>
      <c r="C43" s="23"/>
      <c r="D43" s="23"/>
      <c r="E43" s="23"/>
      <c r="F43" s="23"/>
      <c r="G43" s="23"/>
    </row>
  </sheetData>
  <mergeCells count="3">
    <mergeCell ref="I13:K13"/>
    <mergeCell ref="A14:B14"/>
    <mergeCell ref="A22:B22"/>
  </mergeCells>
  <phoneticPr fontId="3" type="noConversion"/>
  <pageMargins left="0.74803149606299213" right="0.74803149606299213" top="0.98425196850393704" bottom="0.98425196850393704" header="0.51181102362204722" footer="0.51181102362204722"/>
  <pageSetup paperSize="9" scale="94" orientation="portrait" r:id="rId1"/>
  <headerFooter alignWithMargins="0">
    <oddFooter>&amp;R&amp;A</oddFooter>
  </headerFooter>
  <rowBreaks count="1" manualBreakCount="1">
    <brk id="2" max="5" man="1"/>
  </rowBreaks>
  <colBreaks count="1" manualBreakCount="1">
    <brk id="5" max="1048575" man="1"/>
  </colBreaks>
  <ignoredErrors>
    <ignoredError sqref="D14:F14 C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pageSetUpPr fitToPage="1"/>
  </sheetPr>
  <dimension ref="A1:E15"/>
  <sheetViews>
    <sheetView zoomScaleNormal="100" workbookViewId="0">
      <selection activeCell="G50" sqref="G50"/>
    </sheetView>
  </sheetViews>
  <sheetFormatPr baseColWidth="10" defaultColWidth="11" defaultRowHeight="12" x14ac:dyDescent="0.2"/>
  <cols>
    <col min="1" max="1" width="47.25" style="21" customWidth="1"/>
    <col min="2" max="2" width="13" style="21" customWidth="1"/>
    <col min="3" max="3" width="11" style="21"/>
    <col min="4" max="4" width="12.75" style="21" bestFit="1" customWidth="1"/>
    <col min="5" max="5" width="30.5" style="21" customWidth="1"/>
    <col min="6" max="16384" width="11" style="21"/>
  </cols>
  <sheetData>
    <row r="1" spans="1:5" x14ac:dyDescent="0.2">
      <c r="A1" s="94" t="s">
        <v>346</v>
      </c>
    </row>
    <row r="2" spans="1:5" x14ac:dyDescent="0.2">
      <c r="A2" s="94" t="s">
        <v>90</v>
      </c>
    </row>
    <row r="3" spans="1:5" ht="12.75" customHeight="1" x14ac:dyDescent="0.2">
      <c r="A3" s="94"/>
    </row>
    <row r="4" spans="1:5" ht="12.75" customHeight="1" x14ac:dyDescent="0.2">
      <c r="A4" s="94"/>
      <c r="E4" s="127"/>
    </row>
    <row r="5" spans="1:5" ht="12.75" customHeight="1" x14ac:dyDescent="0.2">
      <c r="A5" s="94"/>
    </row>
    <row r="6" spans="1:5" x14ac:dyDescent="0.2">
      <c r="A6" s="128"/>
      <c r="B6" s="635"/>
      <c r="C6" s="635"/>
      <c r="D6" s="129"/>
    </row>
    <row r="7" spans="1:5" ht="24.75" thickBot="1" x14ac:dyDescent="0.25">
      <c r="A7" s="130"/>
      <c r="B7" s="131" t="s">
        <v>345</v>
      </c>
      <c r="C7" s="132" t="s">
        <v>277</v>
      </c>
      <c r="D7" s="102"/>
    </row>
    <row r="8" spans="1:5" ht="12.75" customHeight="1" x14ac:dyDescent="0.2">
      <c r="A8" s="78" t="s">
        <v>91</v>
      </c>
      <c r="B8" s="363">
        <f>SUM(B9:B12)</f>
        <v>6218</v>
      </c>
      <c r="C8" s="358">
        <f>SUM(C9:C12)</f>
        <v>4601</v>
      </c>
      <c r="D8" s="102"/>
    </row>
    <row r="9" spans="1:5" ht="12.75" customHeight="1" x14ac:dyDescent="0.2">
      <c r="A9" s="133" t="s">
        <v>94</v>
      </c>
      <c r="B9" s="451">
        <v>598</v>
      </c>
      <c r="C9" s="364">
        <v>675</v>
      </c>
      <c r="D9" s="85"/>
    </row>
    <row r="10" spans="1:5" ht="12.75" customHeight="1" x14ac:dyDescent="0.2">
      <c r="A10" s="133" t="s">
        <v>203</v>
      </c>
      <c r="B10" s="451">
        <v>3642</v>
      </c>
      <c r="C10" s="364">
        <v>1838</v>
      </c>
      <c r="D10" s="85"/>
    </row>
    <row r="11" spans="1:5" ht="12.75" customHeight="1" x14ac:dyDescent="0.2">
      <c r="A11" s="133" t="s">
        <v>195</v>
      </c>
      <c r="B11" s="451">
        <v>1978</v>
      </c>
      <c r="C11" s="364">
        <v>1600</v>
      </c>
      <c r="D11" s="85"/>
    </row>
    <row r="12" spans="1:5" ht="12.75" customHeight="1" x14ac:dyDescent="0.2">
      <c r="A12" s="133" t="s">
        <v>194</v>
      </c>
      <c r="B12" s="451">
        <v>0</v>
      </c>
      <c r="C12" s="364">
        <v>488</v>
      </c>
      <c r="D12" s="85"/>
    </row>
    <row r="13" spans="1:5" ht="12.75" customHeight="1" x14ac:dyDescent="0.2">
      <c r="A13" s="78" t="s">
        <v>92</v>
      </c>
      <c r="B13" s="363">
        <v>3227</v>
      </c>
      <c r="C13" s="358">
        <v>1837</v>
      </c>
      <c r="D13" s="102"/>
    </row>
    <row r="14" spans="1:5" x14ac:dyDescent="0.2">
      <c r="A14" s="78" t="s">
        <v>93</v>
      </c>
      <c r="B14" s="93">
        <v>0</v>
      </c>
      <c r="C14" s="91">
        <v>0</v>
      </c>
      <c r="D14" s="102"/>
    </row>
    <row r="15" spans="1:5" x14ac:dyDescent="0.2">
      <c r="A15" s="92" t="s">
        <v>9</v>
      </c>
      <c r="B15" s="105">
        <f>+B8+B13+B14</f>
        <v>9445</v>
      </c>
      <c r="C15" s="439">
        <f>+C8+C13+C14</f>
        <v>6438</v>
      </c>
      <c r="D15" s="27"/>
    </row>
  </sheetData>
  <mergeCells count="1">
    <mergeCell ref="B6:C6"/>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46" max="16383" man="1"/>
  </rowBreaks>
  <colBreaks count="1" manualBreakCount="1">
    <brk id="1" max="1048575" man="1"/>
  </colBreaks>
  <ignoredErrors>
    <ignoredError sqref="B8:C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enableFormatConditionsCalculation="0">
    <pageSetUpPr fitToPage="1"/>
  </sheetPr>
  <dimension ref="A1:H24"/>
  <sheetViews>
    <sheetView workbookViewId="0">
      <selection activeCell="G50" sqref="G50"/>
    </sheetView>
  </sheetViews>
  <sheetFormatPr baseColWidth="10" defaultColWidth="11" defaultRowHeight="12" x14ac:dyDescent="0.2"/>
  <cols>
    <col min="1" max="1" width="35" style="21" customWidth="1"/>
    <col min="2" max="2" width="1" style="21" customWidth="1"/>
    <col min="3" max="6" width="12.625" style="21" customWidth="1"/>
    <col min="7" max="7" width="18.375" style="21" customWidth="1"/>
    <col min="8" max="8" width="11" style="21"/>
    <col min="9" max="9" width="31.25" style="21" customWidth="1"/>
    <col min="10" max="16384" width="11" style="21"/>
  </cols>
  <sheetData>
    <row r="1" spans="1:8" ht="14.25" x14ac:dyDescent="0.2">
      <c r="A1" s="429" t="s">
        <v>381</v>
      </c>
      <c r="B1" s="23"/>
      <c r="C1" s="23"/>
      <c r="D1" s="23"/>
      <c r="E1" s="23"/>
      <c r="F1" s="23"/>
      <c r="G1" s="23"/>
      <c r="H1" s="428"/>
    </row>
    <row r="2" spans="1:8" x14ac:dyDescent="0.2">
      <c r="A2" s="23" t="s">
        <v>184</v>
      </c>
      <c r="B2" s="23"/>
      <c r="C2" s="23"/>
      <c r="D2" s="23"/>
      <c r="E2" s="23"/>
      <c r="F2" s="23"/>
      <c r="G2" s="23"/>
      <c r="H2" s="428"/>
    </row>
    <row r="3" spans="1:8" x14ac:dyDescent="0.2">
      <c r="A3" s="111"/>
      <c r="B3" s="111"/>
      <c r="C3" s="352"/>
      <c r="D3" s="636" t="s">
        <v>309</v>
      </c>
      <c r="E3" s="352"/>
      <c r="F3" s="352"/>
      <c r="G3" s="352"/>
      <c r="H3" s="428"/>
    </row>
    <row r="4" spans="1:8" ht="12.75" thickBot="1" x14ac:dyDescent="0.25">
      <c r="A4" s="430">
        <v>2014</v>
      </c>
      <c r="B4" s="431"/>
      <c r="C4" s="306" t="s">
        <v>67</v>
      </c>
      <c r="D4" s="637"/>
      <c r="E4" s="306" t="s">
        <v>310</v>
      </c>
      <c r="F4" s="306" t="s">
        <v>311</v>
      </c>
      <c r="G4" s="350"/>
      <c r="H4" s="428"/>
    </row>
    <row r="5" spans="1:8" x14ac:dyDescent="0.2">
      <c r="A5" s="639" t="s">
        <v>95</v>
      </c>
      <c r="B5" s="639"/>
      <c r="C5" s="305">
        <v>3398</v>
      </c>
      <c r="D5" s="305"/>
      <c r="E5" s="305"/>
      <c r="F5" s="305"/>
      <c r="G5" s="432"/>
      <c r="H5" s="136"/>
    </row>
    <row r="6" spans="1:8" x14ac:dyDescent="0.2">
      <c r="A6" s="639" t="s">
        <v>96</v>
      </c>
      <c r="B6" s="639"/>
      <c r="C6" s="305">
        <v>2533</v>
      </c>
      <c r="D6" s="305"/>
      <c r="E6" s="305"/>
      <c r="F6" s="305"/>
      <c r="G6" s="432"/>
      <c r="H6" s="136"/>
    </row>
    <row r="7" spans="1:8" x14ac:dyDescent="0.2">
      <c r="A7" s="639" t="s">
        <v>97</v>
      </c>
      <c r="B7" s="639"/>
      <c r="C7" s="305">
        <v>-83</v>
      </c>
      <c r="D7" s="305"/>
      <c r="E7" s="305"/>
      <c r="F7" s="305"/>
      <c r="G7" s="432"/>
      <c r="H7" s="136"/>
    </row>
    <row r="8" spans="1:8" s="428" customFormat="1" x14ac:dyDescent="0.2">
      <c r="A8" s="639" t="s">
        <v>312</v>
      </c>
      <c r="B8" s="639"/>
      <c r="C8" s="305">
        <v>372</v>
      </c>
      <c r="D8" s="305">
        <v>95</v>
      </c>
      <c r="E8" s="305">
        <v>25</v>
      </c>
      <c r="F8" s="305">
        <v>252</v>
      </c>
      <c r="G8" s="432"/>
      <c r="H8" s="136"/>
    </row>
    <row r="9" spans="1:8" x14ac:dyDescent="0.2">
      <c r="A9" s="366" t="s">
        <v>98</v>
      </c>
      <c r="B9" s="366"/>
      <c r="C9" s="433">
        <f>SUM(C5:C8)</f>
        <v>6220</v>
      </c>
      <c r="D9" s="433">
        <f t="shared" ref="D9:F9" si="0">SUM(D5:D8)</f>
        <v>95</v>
      </c>
      <c r="E9" s="433">
        <f t="shared" si="0"/>
        <v>25</v>
      </c>
      <c r="F9" s="433">
        <f t="shared" si="0"/>
        <v>252</v>
      </c>
      <c r="G9" s="434"/>
      <c r="H9" s="136"/>
    </row>
    <row r="10" spans="1:8" x14ac:dyDescent="0.2">
      <c r="A10" s="23"/>
      <c r="B10" s="23"/>
      <c r="C10" s="435"/>
      <c r="D10" s="435"/>
      <c r="E10" s="435"/>
      <c r="F10" s="435"/>
      <c r="G10" s="435"/>
      <c r="H10" s="136"/>
    </row>
    <row r="11" spans="1:8" s="428" customFormat="1" ht="12" customHeight="1" x14ac:dyDescent="0.2">
      <c r="A11" s="111"/>
      <c r="B11" s="111"/>
      <c r="C11" s="352"/>
      <c r="D11" s="636" t="s">
        <v>309</v>
      </c>
      <c r="E11" s="352"/>
      <c r="F11" s="352"/>
      <c r="G11" s="435"/>
      <c r="H11" s="136"/>
    </row>
    <row r="12" spans="1:8" s="428" customFormat="1" ht="12.75" thickBot="1" x14ac:dyDescent="0.25">
      <c r="A12" s="430">
        <v>2013</v>
      </c>
      <c r="B12" s="431"/>
      <c r="C12" s="306" t="s">
        <v>67</v>
      </c>
      <c r="D12" s="637"/>
      <c r="E12" s="306" t="s">
        <v>310</v>
      </c>
      <c r="F12" s="306" t="s">
        <v>311</v>
      </c>
      <c r="G12" s="435"/>
      <c r="H12" s="136"/>
    </row>
    <row r="13" spans="1:8" s="428" customFormat="1" x14ac:dyDescent="0.2">
      <c r="A13" s="639" t="s">
        <v>95</v>
      </c>
      <c r="B13" s="639"/>
      <c r="C13" s="305">
        <v>3262</v>
      </c>
      <c r="D13" s="305"/>
      <c r="E13" s="305"/>
      <c r="F13" s="305"/>
      <c r="G13" s="435"/>
      <c r="H13" s="136"/>
    </row>
    <row r="14" spans="1:8" s="428" customFormat="1" x14ac:dyDescent="0.2">
      <c r="A14" s="639" t="s">
        <v>96</v>
      </c>
      <c r="B14" s="639"/>
      <c r="C14" s="305">
        <v>2525</v>
      </c>
      <c r="D14" s="305"/>
      <c r="E14" s="305"/>
      <c r="F14" s="305"/>
      <c r="G14" s="435"/>
      <c r="H14" s="136"/>
    </row>
    <row r="15" spans="1:8" s="428" customFormat="1" x14ac:dyDescent="0.2">
      <c r="A15" s="639" t="s">
        <v>97</v>
      </c>
      <c r="B15" s="639"/>
      <c r="C15" s="305">
        <v>-401</v>
      </c>
      <c r="D15" s="305"/>
      <c r="E15" s="305"/>
      <c r="F15" s="305"/>
      <c r="G15" s="435"/>
      <c r="H15" s="136"/>
    </row>
    <row r="16" spans="1:8" s="428" customFormat="1" x14ac:dyDescent="0.2">
      <c r="A16" s="639" t="s">
        <v>312</v>
      </c>
      <c r="B16" s="639"/>
      <c r="C16" s="305">
        <f>SUM(D16:F16)</f>
        <v>327</v>
      </c>
      <c r="D16" s="305">
        <v>91</v>
      </c>
      <c r="E16" s="305">
        <v>19</v>
      </c>
      <c r="F16" s="305">
        <v>217</v>
      </c>
      <c r="G16" s="435"/>
      <c r="H16" s="136"/>
    </row>
    <row r="17" spans="1:8" x14ac:dyDescent="0.2">
      <c r="A17" s="366" t="s">
        <v>98</v>
      </c>
      <c r="B17" s="366"/>
      <c r="C17" s="433">
        <f>SUM(C13:C16)</f>
        <v>5713</v>
      </c>
      <c r="D17" s="433">
        <f>SUM(D16)</f>
        <v>91</v>
      </c>
      <c r="E17" s="433">
        <f t="shared" ref="E17:F17" si="1">SUM(E16)</f>
        <v>19</v>
      </c>
      <c r="F17" s="433">
        <f t="shared" si="1"/>
        <v>217</v>
      </c>
      <c r="G17" s="435"/>
      <c r="H17" s="136"/>
    </row>
    <row r="18" spans="1:8" x14ac:dyDescent="0.2">
      <c r="A18" s="23"/>
      <c r="B18" s="23"/>
      <c r="C18" s="435"/>
      <c r="D18" s="435"/>
      <c r="E18" s="435"/>
      <c r="F18" s="435"/>
      <c r="G18" s="435"/>
      <c r="H18" s="136"/>
    </row>
    <row r="19" spans="1:8" x14ac:dyDescent="0.2">
      <c r="A19" s="23"/>
      <c r="B19" s="23"/>
      <c r="C19" s="435"/>
      <c r="D19" s="435"/>
      <c r="E19" s="435"/>
      <c r="F19" s="435"/>
      <c r="G19" s="435"/>
      <c r="H19" s="136"/>
    </row>
    <row r="20" spans="1:8" x14ac:dyDescent="0.2">
      <c r="A20" s="638" t="s">
        <v>356</v>
      </c>
      <c r="B20" s="638"/>
      <c r="C20" s="638"/>
      <c r="D20" s="638"/>
      <c r="E20" s="638"/>
      <c r="F20" s="638"/>
      <c r="G20" s="638"/>
      <c r="H20" s="428"/>
    </row>
    <row r="21" spans="1:8" x14ac:dyDescent="0.2">
      <c r="A21" s="638" t="s">
        <v>266</v>
      </c>
      <c r="B21" s="638"/>
      <c r="C21" s="638"/>
      <c r="D21" s="638"/>
      <c r="E21" s="638"/>
      <c r="F21" s="638"/>
      <c r="G21" s="638"/>
      <c r="H21" s="428"/>
    </row>
    <row r="22" spans="1:8" x14ac:dyDescent="0.2">
      <c r="A22" s="23" t="s">
        <v>267</v>
      </c>
      <c r="B22" s="23"/>
      <c r="C22" s="23"/>
      <c r="D22" s="23"/>
      <c r="E22" s="23"/>
      <c r="F22" s="23"/>
      <c r="G22" s="23"/>
      <c r="H22" s="428"/>
    </row>
    <row r="23" spans="1:8" x14ac:dyDescent="0.2">
      <c r="A23" s="23"/>
      <c r="B23" s="23"/>
      <c r="C23" s="23"/>
      <c r="D23" s="23"/>
      <c r="E23" s="23"/>
      <c r="F23" s="23"/>
      <c r="G23" s="23"/>
      <c r="H23" s="428"/>
    </row>
    <row r="24" spans="1:8" ht="14.25" x14ac:dyDescent="0.2">
      <c r="A24" s="485" t="s">
        <v>382</v>
      </c>
      <c r="B24" s="23"/>
      <c r="C24" s="23"/>
      <c r="D24" s="23"/>
      <c r="E24" s="23"/>
      <c r="F24" s="23"/>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0"/>
  <sheetViews>
    <sheetView showGridLines="0" zoomScaleNormal="100" workbookViewId="0">
      <selection activeCell="H17" sqref="H17"/>
    </sheetView>
  </sheetViews>
  <sheetFormatPr baseColWidth="10" defaultColWidth="11" defaultRowHeight="12" x14ac:dyDescent="0.2"/>
  <cols>
    <col min="1" max="1" width="20.375" style="21" customWidth="1"/>
    <col min="2" max="2" width="2.75" style="21" customWidth="1"/>
    <col min="3" max="3" width="14.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38" t="s">
        <v>234</v>
      </c>
      <c r="B1" s="36"/>
      <c r="C1" s="36"/>
      <c r="D1" s="139"/>
      <c r="E1" s="139"/>
    </row>
    <row r="2" spans="1:7" x14ac:dyDescent="0.2">
      <c r="C2" s="36"/>
      <c r="D2" s="40"/>
      <c r="E2" s="36"/>
    </row>
    <row r="3" spans="1:7" x14ac:dyDescent="0.2">
      <c r="A3" s="72"/>
      <c r="B3" s="72"/>
      <c r="C3" s="72"/>
      <c r="D3" s="140"/>
      <c r="E3" s="40" t="s">
        <v>164</v>
      </c>
      <c r="F3" s="72"/>
      <c r="G3" s="72"/>
    </row>
    <row r="4" spans="1:7" x14ac:dyDescent="0.2">
      <c r="A4" s="640" t="s">
        <v>116</v>
      </c>
      <c r="B4" s="640"/>
      <c r="C4" s="141" t="s">
        <v>123</v>
      </c>
      <c r="D4" s="142" t="s">
        <v>117</v>
      </c>
      <c r="E4" s="142" t="s">
        <v>154</v>
      </c>
      <c r="F4" s="143">
        <v>2014</v>
      </c>
      <c r="G4" s="144">
        <v>2013</v>
      </c>
    </row>
    <row r="5" spans="1:7" x14ac:dyDescent="0.2">
      <c r="A5" s="45"/>
      <c r="B5" s="145"/>
      <c r="C5" s="44"/>
      <c r="D5" s="40"/>
      <c r="E5" s="40"/>
      <c r="F5" s="45"/>
      <c r="G5" s="46"/>
    </row>
    <row r="6" spans="1:7" x14ac:dyDescent="0.2">
      <c r="A6" s="641" t="s">
        <v>155</v>
      </c>
      <c r="B6" s="641"/>
      <c r="C6" s="4"/>
      <c r="D6" s="146"/>
      <c r="E6" s="146"/>
      <c r="F6" s="147"/>
      <c r="G6" s="148"/>
    </row>
    <row r="7" spans="1:7" x14ac:dyDescent="0.2">
      <c r="A7" s="149" t="s">
        <v>174</v>
      </c>
      <c r="B7" s="150"/>
      <c r="C7" s="4" t="s">
        <v>118</v>
      </c>
      <c r="D7" s="146">
        <v>2021</v>
      </c>
      <c r="E7" s="146">
        <v>2016</v>
      </c>
      <c r="F7" s="151">
        <v>745</v>
      </c>
      <c r="G7" s="152">
        <v>745</v>
      </c>
    </row>
    <row r="8" spans="1:7" x14ac:dyDescent="0.2">
      <c r="A8" s="149" t="s">
        <v>121</v>
      </c>
      <c r="B8" s="150"/>
      <c r="C8" s="4" t="s">
        <v>118</v>
      </c>
      <c r="D8" s="146">
        <v>2023</v>
      </c>
      <c r="E8" s="146">
        <v>2018</v>
      </c>
      <c r="F8" s="151">
        <v>499</v>
      </c>
      <c r="G8" s="152">
        <v>455</v>
      </c>
    </row>
    <row r="9" spans="1:7" x14ac:dyDescent="0.2">
      <c r="A9" s="149" t="s">
        <v>156</v>
      </c>
      <c r="B9" s="150"/>
      <c r="C9" s="4" t="s">
        <v>118</v>
      </c>
      <c r="D9" s="146"/>
      <c r="E9" s="146"/>
      <c r="F9" s="151">
        <v>0</v>
      </c>
      <c r="G9" s="152">
        <v>78</v>
      </c>
    </row>
    <row r="10" spans="1:7" x14ac:dyDescent="0.2">
      <c r="A10" s="149" t="s">
        <v>209</v>
      </c>
      <c r="B10" s="150"/>
      <c r="C10" s="4" t="s">
        <v>118</v>
      </c>
      <c r="D10" s="146">
        <v>2022</v>
      </c>
      <c r="E10" s="146">
        <v>2017</v>
      </c>
      <c r="F10" s="151">
        <v>825</v>
      </c>
      <c r="G10" s="152">
        <v>825</v>
      </c>
    </row>
    <row r="11" spans="1:7" x14ac:dyDescent="0.2">
      <c r="A11" s="153" t="s">
        <v>23</v>
      </c>
      <c r="B11" s="154"/>
      <c r="C11" s="155"/>
      <c r="D11" s="156"/>
      <c r="E11" s="156"/>
      <c r="F11" s="157">
        <f>SUM(F7:F10)</f>
        <v>2069</v>
      </c>
      <c r="G11" s="158">
        <f>SUM(G7:G10)</f>
        <v>2103</v>
      </c>
    </row>
    <row r="12" spans="1:7" x14ac:dyDescent="0.2">
      <c r="A12" s="149"/>
      <c r="B12" s="150"/>
      <c r="C12" s="4"/>
      <c r="D12" s="159"/>
      <c r="E12" s="159"/>
      <c r="F12" s="147"/>
      <c r="G12" s="148"/>
    </row>
    <row r="13" spans="1:7" ht="14.25" x14ac:dyDescent="0.2">
      <c r="A13" s="160"/>
      <c r="B13" s="161"/>
      <c r="C13" s="7"/>
      <c r="D13" s="159"/>
      <c r="E13" s="159"/>
      <c r="F13" s="162"/>
      <c r="G13" s="163"/>
    </row>
    <row r="14" spans="1:7" ht="14.25" x14ac:dyDescent="0.2">
      <c r="A14" s="641" t="s">
        <v>151</v>
      </c>
      <c r="B14" s="641"/>
      <c r="C14" s="164"/>
      <c r="D14" s="7"/>
      <c r="E14" s="7"/>
      <c r="F14" s="165"/>
      <c r="G14" s="166"/>
    </row>
    <row r="15" spans="1:7" x14ac:dyDescent="0.2">
      <c r="A15" s="167" t="s">
        <v>210</v>
      </c>
      <c r="B15" s="160"/>
      <c r="C15" s="4" t="s">
        <v>118</v>
      </c>
      <c r="D15" s="7"/>
      <c r="E15" s="7"/>
      <c r="F15" s="151">
        <v>0</v>
      </c>
      <c r="G15" s="152">
        <v>992</v>
      </c>
    </row>
    <row r="16" spans="1:7" x14ac:dyDescent="0.2">
      <c r="A16" s="167" t="s">
        <v>142</v>
      </c>
      <c r="B16" s="150"/>
      <c r="C16" s="4" t="s">
        <v>118</v>
      </c>
      <c r="D16" s="69"/>
      <c r="E16" s="594">
        <v>2019</v>
      </c>
      <c r="F16" s="151">
        <v>767</v>
      </c>
      <c r="G16" s="152">
        <v>734</v>
      </c>
    </row>
    <row r="17" spans="1:12" x14ac:dyDescent="0.2">
      <c r="A17" s="167" t="s">
        <v>143</v>
      </c>
      <c r="B17" s="168"/>
      <c r="C17" s="48" t="s">
        <v>118</v>
      </c>
      <c r="D17" s="69"/>
      <c r="E17" s="594">
        <v>2019</v>
      </c>
      <c r="F17" s="59">
        <v>116</v>
      </c>
      <c r="G17" s="53">
        <v>115</v>
      </c>
    </row>
    <row r="18" spans="1:12" x14ac:dyDescent="0.2">
      <c r="A18" s="169" t="s">
        <v>157</v>
      </c>
      <c r="B18" s="170"/>
      <c r="C18" s="171" t="s">
        <v>118</v>
      </c>
      <c r="D18" s="172"/>
      <c r="E18" s="172"/>
      <c r="F18" s="151">
        <v>0</v>
      </c>
      <c r="G18" s="152">
        <v>39</v>
      </c>
    </row>
    <row r="19" spans="1:12" x14ac:dyDescent="0.2">
      <c r="A19" s="173" t="s">
        <v>24</v>
      </c>
      <c r="B19" s="170"/>
      <c r="C19" s="174"/>
      <c r="D19" s="172"/>
      <c r="E19" s="172"/>
      <c r="F19" s="157">
        <f>SUM(F15:F18)</f>
        <v>883</v>
      </c>
      <c r="G19" s="158">
        <f>SUM(G15:G18)</f>
        <v>1880</v>
      </c>
    </row>
    <row r="20" spans="1:12" x14ac:dyDescent="0.2">
      <c r="A20" s="149"/>
      <c r="B20" s="175"/>
      <c r="C20" s="4"/>
      <c r="D20" s="4"/>
      <c r="E20" s="4"/>
      <c r="F20" s="11"/>
      <c r="G20" s="4"/>
    </row>
    <row r="21" spans="1:12" x14ac:dyDescent="0.2">
      <c r="A21" s="149" t="s">
        <v>204</v>
      </c>
      <c r="B21" s="175"/>
      <c r="C21" s="4"/>
      <c r="D21" s="4"/>
      <c r="E21" s="4"/>
      <c r="F21" s="151">
        <v>12</v>
      </c>
      <c r="G21" s="152">
        <v>21</v>
      </c>
    </row>
    <row r="22" spans="1:12" x14ac:dyDescent="0.2">
      <c r="A22" s="149"/>
      <c r="B22" s="175"/>
      <c r="C22" s="4"/>
      <c r="D22" s="4"/>
      <c r="E22" s="4"/>
      <c r="F22" s="11"/>
      <c r="G22" s="4"/>
    </row>
    <row r="23" spans="1:12" x14ac:dyDescent="0.2">
      <c r="A23" s="153" t="s">
        <v>25</v>
      </c>
      <c r="B23" s="176"/>
      <c r="C23" s="155"/>
      <c r="D23" s="177"/>
      <c r="E23" s="177"/>
      <c r="F23" s="157">
        <f>+F21+F19+F11</f>
        <v>2964</v>
      </c>
      <c r="G23" s="158">
        <f>+G21+G19+G11</f>
        <v>4004</v>
      </c>
    </row>
    <row r="25" spans="1:12" x14ac:dyDescent="0.2">
      <c r="A25" s="178" t="s">
        <v>205</v>
      </c>
      <c r="B25" s="72"/>
      <c r="C25" s="178"/>
      <c r="D25" s="178"/>
      <c r="E25" s="178"/>
      <c r="F25" s="178"/>
      <c r="G25" s="178"/>
      <c r="H25" s="72"/>
      <c r="I25" s="72"/>
    </row>
    <row r="26" spans="1:12" x14ac:dyDescent="0.2">
      <c r="A26" s="178" t="s">
        <v>357</v>
      </c>
      <c r="B26" s="72"/>
      <c r="C26" s="178"/>
      <c r="D26" s="178"/>
      <c r="E26" s="178"/>
      <c r="F26" s="178"/>
      <c r="G26" s="178"/>
      <c r="H26" s="72"/>
      <c r="I26" s="72"/>
    </row>
    <row r="27" spans="1:12" x14ac:dyDescent="0.2">
      <c r="A27" s="178" t="s">
        <v>206</v>
      </c>
      <c r="B27" s="72"/>
      <c r="C27" s="178"/>
      <c r="D27" s="178"/>
      <c r="E27" s="178"/>
      <c r="F27" s="178"/>
      <c r="G27" s="178"/>
      <c r="H27" s="72"/>
      <c r="I27" s="72"/>
    </row>
    <row r="28" spans="1:12" x14ac:dyDescent="0.2">
      <c r="A28" s="178" t="s">
        <v>207</v>
      </c>
      <c r="B28" s="72"/>
      <c r="C28" s="178"/>
      <c r="D28" s="178"/>
      <c r="E28" s="178"/>
      <c r="F28" s="178"/>
      <c r="G28" s="178"/>
      <c r="H28" s="72"/>
      <c r="I28" s="72"/>
      <c r="J28" s="72"/>
      <c r="K28" s="72"/>
      <c r="L28" s="72"/>
    </row>
    <row r="29" spans="1:12" x14ac:dyDescent="0.2">
      <c r="A29" s="178" t="s">
        <v>208</v>
      </c>
      <c r="B29" s="72"/>
      <c r="C29" s="178"/>
      <c r="D29" s="178"/>
      <c r="E29" s="178"/>
      <c r="F29" s="178"/>
      <c r="G29" s="178"/>
      <c r="H29" s="72"/>
      <c r="I29" s="72"/>
      <c r="J29" s="72"/>
      <c r="K29" s="72"/>
      <c r="L29" s="72"/>
    </row>
    <row r="30" spans="1:12" x14ac:dyDescent="0.2">
      <c r="A30" s="644"/>
      <c r="B30" s="644"/>
      <c r="C30" s="644"/>
      <c r="D30" s="644"/>
      <c r="E30" s="644"/>
      <c r="F30" s="644"/>
      <c r="G30" s="72"/>
      <c r="H30" s="72"/>
      <c r="I30" s="72"/>
      <c r="J30" s="72"/>
      <c r="K30" s="72"/>
      <c r="L30" s="72"/>
    </row>
    <row r="31" spans="1:12" x14ac:dyDescent="0.2">
      <c r="A31" s="644"/>
      <c r="B31" s="644"/>
      <c r="C31" s="644"/>
      <c r="D31" s="644"/>
      <c r="E31" s="644"/>
      <c r="F31" s="644"/>
      <c r="G31" s="72"/>
      <c r="H31" s="72"/>
      <c r="I31" s="72"/>
      <c r="J31" s="72"/>
      <c r="K31" s="72"/>
      <c r="L31" s="72"/>
    </row>
    <row r="32" spans="1:12" x14ac:dyDescent="0.2">
      <c r="A32" s="178"/>
      <c r="B32" s="178"/>
      <c r="C32" s="178"/>
      <c r="D32" s="178"/>
      <c r="E32" s="178"/>
      <c r="F32" s="178"/>
      <c r="G32" s="72"/>
      <c r="H32" s="72"/>
      <c r="I32" s="72"/>
      <c r="J32" s="72"/>
      <c r="K32" s="72"/>
      <c r="L32" s="72"/>
    </row>
    <row r="33" spans="1:12" x14ac:dyDescent="0.2">
      <c r="A33" s="644"/>
      <c r="B33" s="644"/>
      <c r="C33" s="644"/>
      <c r="D33" s="644"/>
      <c r="E33" s="644"/>
      <c r="F33" s="644"/>
      <c r="G33" s="72"/>
      <c r="H33" s="72"/>
      <c r="I33" s="72"/>
      <c r="J33" s="72"/>
      <c r="K33" s="72"/>
      <c r="L33" s="72"/>
    </row>
    <row r="39" spans="1:12" ht="12.75" x14ac:dyDescent="0.2">
      <c r="A39" s="179"/>
      <c r="B39" s="179"/>
      <c r="C39" s="179"/>
      <c r="D39" s="179"/>
      <c r="E39" s="179"/>
      <c r="F39" s="179"/>
      <c r="G39" s="179"/>
    </row>
    <row r="40" spans="1:12" x14ac:dyDescent="0.2">
      <c r="A40" s="180"/>
      <c r="B40" s="181"/>
      <c r="C40" s="181"/>
      <c r="D40" s="181"/>
      <c r="E40" s="181"/>
      <c r="F40" s="642"/>
      <c r="G40" s="643"/>
    </row>
    <row r="66" spans="10:12" ht="12.75" x14ac:dyDescent="0.2">
      <c r="J66" s="72"/>
      <c r="K66" s="179"/>
      <c r="L66" s="179"/>
    </row>
    <row r="67" spans="10:12" ht="12.75" x14ac:dyDescent="0.2">
      <c r="J67" s="72"/>
      <c r="K67" s="179"/>
      <c r="L67" s="179"/>
    </row>
    <row r="68" spans="10:12" ht="12.75" x14ac:dyDescent="0.2">
      <c r="J68" s="72"/>
      <c r="K68" s="179"/>
      <c r="L68" s="179"/>
    </row>
    <row r="69" spans="10:12" ht="12.75" x14ac:dyDescent="0.2">
      <c r="J69" s="72"/>
      <c r="K69" s="179"/>
      <c r="L69" s="179"/>
    </row>
    <row r="70" spans="10:12" ht="12.75" x14ac:dyDescent="0.2">
      <c r="J70" s="72"/>
      <c r="K70" s="179"/>
      <c r="L70" s="179"/>
    </row>
  </sheetData>
  <mergeCells count="7">
    <mergeCell ref="A4:B4"/>
    <mergeCell ref="A6:B6"/>
    <mergeCell ref="A14:B14"/>
    <mergeCell ref="F40:G40"/>
    <mergeCell ref="A30:F30"/>
    <mergeCell ref="A31:F31"/>
    <mergeCell ref="A33:F33"/>
  </mergeCells>
  <pageMargins left="0.74803149606299213" right="0.27559055118110237" top="0.98425196850393704" bottom="0.98425196850393704" header="0.51181102362204722" footer="0.51181102362204722"/>
  <pageSetup paperSize="9" scale="79" orientation="portrait" r:id="rId1"/>
  <headerFooter alignWithMargins="0">
    <oddFooter>&amp;R&amp;A</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27</vt:i4>
      </vt:variant>
    </vt:vector>
  </HeadingPairs>
  <TitlesOfParts>
    <vt:vector size="60"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'20'!Utskriftsområde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'6'!Utskriftsområde</vt:lpstr>
      <vt:lpstr>'8'!Utskriftsområde</vt:lpstr>
      <vt:lpstr>'9'!Utskriftsområde</vt:lpstr>
    </vt:vector>
  </TitlesOfParts>
  <Company>SR-Bank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c250h27</cp:lastModifiedBy>
  <cp:lastPrinted>2015-03-25T08:27:20Z</cp:lastPrinted>
  <dcterms:created xsi:type="dcterms:W3CDTF">2008-04-01T14:46:24Z</dcterms:created>
  <dcterms:modified xsi:type="dcterms:W3CDTF">2015-04-10T06:56:19Z</dcterms:modified>
</cp:coreProperties>
</file>