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home-awf\awf-users$\c252a40\Redirected Folders\Desktop\"/>
    </mc:Choice>
  </mc:AlternateContent>
  <bookViews>
    <workbookView xWindow="480" yWindow="630" windowWidth="14880" windowHeight="660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'1'!$A$1:$G$48</definedName>
    <definedName name="_xlnm.Print_Area" localSheetId="10">'10'!$A$1:$C$29</definedName>
    <definedName name="_xlnm.Print_Area" localSheetId="11">'11'!$A$1:$J$38</definedName>
    <definedName name="_xlnm.Print_Area" localSheetId="12">'12'!$A$1:$F$21</definedName>
    <definedName name="_xlnm.Print_Area" localSheetId="13">'13'!$A$3:$E$43</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'22'!$A$1:$I$11</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'28'!$A$1:$E$37</definedName>
    <definedName name="_xlnm.Print_Area" localSheetId="3">'3'!$A$1:$H$17</definedName>
    <definedName name="_xlnm.Print_Area" localSheetId="4">'4'!$A$1:$E$56</definedName>
    <definedName name="_xlnm.Print_Area" localSheetId="5">'5'!$A$1:$F$26</definedName>
    <definedName name="_xlnm.Print_Area" localSheetId="6">'6'!$A$1:$C$17</definedName>
    <definedName name="_xlnm.Print_Area" localSheetId="7">'7'!#REF!</definedName>
    <definedName name="_xlnm.Print_Area" localSheetId="8">'8'!$A$1:$I$30</definedName>
    <definedName name="_xlnm.Print_Area" localSheetId="9">'9'!$A$1:$G$18</definedName>
  </definedNames>
  <calcPr calcId="152511"/>
</workbook>
</file>

<file path=xl/calcChain.xml><?xml version="1.0" encoding="utf-8"?>
<calcChain xmlns="http://schemas.openxmlformats.org/spreadsheetml/2006/main">
  <c r="B22" i="41" l="1"/>
  <c r="B20" i="41"/>
  <c r="G38" i="39"/>
  <c r="C38" i="39"/>
  <c r="D38" i="39"/>
  <c r="E38" i="39"/>
  <c r="B38" i="39"/>
  <c r="G37" i="39"/>
  <c r="B36" i="39"/>
  <c r="G36" i="39" s="1"/>
  <c r="G35" i="39"/>
  <c r="G34" i="39"/>
  <c r="B33" i="39"/>
  <c r="G33" i="39" s="1"/>
  <c r="G29" i="39"/>
  <c r="G28" i="39"/>
  <c r="G27" i="39"/>
  <c r="G26" i="39"/>
  <c r="G25" i="39"/>
  <c r="B24" i="39"/>
  <c r="G24" i="39" s="1"/>
  <c r="G23" i="39"/>
  <c r="G22" i="39"/>
  <c r="G21" i="39"/>
  <c r="G20" i="39"/>
  <c r="G19" i="39"/>
  <c r="G15" i="39"/>
  <c r="G14" i="39"/>
  <c r="G13" i="39"/>
  <c r="G12" i="39"/>
  <c r="G11" i="39"/>
  <c r="G10" i="39"/>
  <c r="G9" i="39"/>
  <c r="G8" i="39"/>
  <c r="G7" i="39"/>
  <c r="G6" i="39"/>
  <c r="C122" i="38"/>
  <c r="C121" i="38"/>
  <c r="C120" i="38"/>
  <c r="C119" i="38"/>
  <c r="C127" i="38" s="1"/>
  <c r="C85" i="38"/>
  <c r="C91" i="38" s="1"/>
  <c r="C59" i="38"/>
  <c r="C57" i="38"/>
  <c r="C63" i="38" s="1"/>
  <c r="C33" i="38"/>
  <c r="C20" i="38"/>
  <c r="C53" i="38" s="1"/>
  <c r="C54" i="38" s="1"/>
  <c r="C5" i="38"/>
  <c r="C16" i="38" s="1"/>
  <c r="B40" i="39" l="1"/>
  <c r="C8" i="7" l="1"/>
  <c r="B8" i="7"/>
  <c r="F23" i="14"/>
  <c r="E23" i="14"/>
  <c r="E13" i="14" l="1"/>
  <c r="D13" i="14"/>
  <c r="C13" i="14"/>
  <c r="F10" i="14"/>
  <c r="E9" i="14"/>
  <c r="D9" i="14"/>
  <c r="C9" i="14"/>
  <c r="C41" i="4"/>
  <c r="B41" i="4"/>
  <c r="C13" i="4" l="1"/>
  <c r="B13" i="4"/>
  <c r="B23" i="4" s="1"/>
  <c r="C18" i="32"/>
  <c r="C109" i="38" l="1"/>
  <c r="C40" i="39" l="1"/>
  <c r="E30" i="39"/>
  <c r="E40" i="39" s="1"/>
  <c r="D30" i="39"/>
  <c r="D40" i="39" s="1"/>
  <c r="C30" i="39"/>
  <c r="B30" i="39"/>
  <c r="D16" i="39"/>
  <c r="C16" i="39"/>
  <c r="B16" i="39"/>
  <c r="C112" i="38"/>
  <c r="C100" i="38"/>
  <c r="C70" i="38"/>
  <c r="C80" i="38" s="1"/>
  <c r="C81" i="38" l="1"/>
  <c r="C110" i="38"/>
  <c r="G16" i="39"/>
  <c r="E16" i="39"/>
  <c r="G30" i="39"/>
  <c r="G40" i="39" l="1"/>
  <c r="C82" i="38"/>
  <c r="C111" i="38" s="1"/>
  <c r="D6" i="10" l="1"/>
  <c r="C8" i="8" l="1"/>
  <c r="C10" i="10"/>
  <c r="D9" i="10" s="1"/>
  <c r="C7" i="10"/>
  <c r="C5" i="23" l="1"/>
  <c r="E20" i="14"/>
  <c r="E17" i="14"/>
  <c r="C17" i="14"/>
  <c r="E18" i="14" l="1"/>
  <c r="C18" i="14"/>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5" i="17"/>
  <c r="D35" i="17"/>
  <c r="C35" i="17"/>
  <c r="B35" i="17"/>
  <c r="B18" i="17"/>
  <c r="B15" i="17"/>
  <c r="E15" i="17"/>
  <c r="E18" i="17" s="1"/>
  <c r="D15" i="17"/>
  <c r="D18" i="17" s="1"/>
  <c r="C15" i="17"/>
  <c r="C18" i="17" s="1"/>
  <c r="E6" i="19"/>
  <c r="E7" i="19"/>
  <c r="E8" i="19"/>
  <c r="E9" i="19"/>
  <c r="E10" i="19"/>
  <c r="E11" i="19"/>
  <c r="E12" i="19"/>
  <c r="E13" i="19"/>
  <c r="E14" i="19"/>
  <c r="E15" i="19"/>
  <c r="E16" i="19"/>
  <c r="E5" i="19"/>
  <c r="C20" i="21"/>
  <c r="C24" i="21" s="1"/>
  <c r="C28" i="21" s="1"/>
  <c r="B20" i="21"/>
  <c r="B24" i="21" s="1"/>
  <c r="B28" i="21" s="1"/>
  <c r="C13" i="21"/>
  <c r="C12" i="21"/>
  <c r="C9" i="21"/>
  <c r="C8" i="21"/>
  <c r="C7" i="21"/>
  <c r="C6" i="21"/>
  <c r="C10" i="21" s="1"/>
  <c r="C14" i="21" s="1"/>
  <c r="B6" i="21"/>
  <c r="B10" i="21" s="1"/>
  <c r="B14" i="21" s="1"/>
  <c r="C5" i="21"/>
  <c r="C4" i="21"/>
  <c r="D17" i="20"/>
  <c r="C17" i="20"/>
  <c r="C16" i="20"/>
  <c r="B16" i="20"/>
  <c r="E16" i="20" s="1"/>
  <c r="E15" i="20"/>
  <c r="E14" i="20"/>
  <c r="B13" i="20"/>
  <c r="B17" i="20" s="1"/>
  <c r="B9" i="20"/>
  <c r="D8" i="20"/>
  <c r="D9" i="20" s="1"/>
  <c r="C8" i="20"/>
  <c r="E7" i="20"/>
  <c r="E6" i="20"/>
  <c r="E5" i="20"/>
  <c r="E8" i="20" l="1"/>
  <c r="E7" i="15"/>
  <c r="E9" i="20"/>
  <c r="C9" i="20"/>
  <c r="E13" i="20"/>
  <c r="E17" i="20" s="1"/>
  <c r="E16" i="14" l="1"/>
  <c r="C16" i="14"/>
  <c r="E19" i="14"/>
  <c r="C19" i="14"/>
  <c r="D7" i="23" l="1"/>
  <c r="D121" i="13" l="1"/>
  <c r="C121" i="13"/>
  <c r="D109" i="13"/>
  <c r="C109" i="13"/>
  <c r="D97" i="13"/>
  <c r="C97" i="13"/>
  <c r="B10" i="11" l="1"/>
  <c r="C10" i="11"/>
  <c r="C29" i="11"/>
  <c r="C21" i="11"/>
  <c r="G19" i="28"/>
  <c r="G11" i="28"/>
  <c r="G23" i="28" l="1"/>
  <c r="C9" i="8" l="1"/>
  <c r="C4" i="10" l="1"/>
  <c r="C8" i="10"/>
  <c r="C11" i="10" l="1"/>
  <c r="H10" i="10"/>
  <c r="H8" i="10"/>
  <c r="H7" i="10"/>
  <c r="H6" i="10"/>
  <c r="H5" i="10"/>
  <c r="F10" i="10"/>
  <c r="F8" i="10"/>
  <c r="F7" i="10"/>
  <c r="F6" i="10"/>
  <c r="F5" i="10"/>
  <c r="E4" i="10"/>
  <c r="E11" i="10" s="1"/>
  <c r="F11" i="10" s="1"/>
  <c r="G4" i="10"/>
  <c r="G11" i="10" s="1"/>
  <c r="I4" i="10"/>
  <c r="C7" i="25"/>
  <c r="F4" i="10" l="1"/>
  <c r="D11" i="10"/>
  <c r="H4" i="10"/>
  <c r="D4" i="10"/>
  <c r="I11" i="10"/>
  <c r="H11" i="10" s="1"/>
  <c r="C10" i="5"/>
  <c r="D10" i="5"/>
  <c r="D12" i="5" l="1"/>
  <c r="D17" i="5" l="1"/>
  <c r="D16" i="5"/>
  <c r="D18" i="5" s="1"/>
  <c r="E38" i="17" l="1"/>
  <c r="E11" i="31" l="1"/>
  <c r="C11" i="31"/>
  <c r="D38" i="17" l="1"/>
  <c r="C38" i="17"/>
  <c r="B38" i="17"/>
  <c r="F17" i="6" l="1"/>
  <c r="E17" i="6"/>
  <c r="D17" i="6"/>
  <c r="C17" i="6"/>
  <c r="F9" i="6" l="1"/>
  <c r="E9" i="6"/>
  <c r="D9" i="6"/>
  <c r="C9" i="6"/>
  <c r="F14" i="14" l="1"/>
  <c r="F21" i="14" l="1"/>
  <c r="C15" i="7" l="1"/>
  <c r="C30" i="4"/>
  <c r="C23" i="4" l="1"/>
  <c r="C25" i="4" l="1"/>
  <c r="C32" i="4" s="1"/>
  <c r="C16" i="5"/>
  <c r="D11" i="16" l="1"/>
  <c r="C11" i="16"/>
  <c r="B11" i="16"/>
  <c r="B29" i="11" l="1"/>
  <c r="B21" i="11"/>
  <c r="D13" i="15" l="1"/>
  <c r="C13" i="15"/>
  <c r="B13" i="15"/>
  <c r="D19" i="16"/>
  <c r="C19" i="16"/>
  <c r="B19" i="16"/>
  <c r="D16" i="9"/>
  <c r="C16" i="9"/>
  <c r="F11" i="18"/>
  <c r="F10" i="18"/>
  <c r="G18" i="19"/>
  <c r="C18" i="19"/>
  <c r="H17" i="19"/>
  <c r="E17" i="19"/>
  <c r="F18" i="19"/>
  <c r="D18" i="19"/>
  <c r="H15" i="19"/>
  <c r="H14" i="19"/>
  <c r="H13" i="19"/>
  <c r="H12" i="19"/>
  <c r="H11" i="19"/>
  <c r="H10" i="19"/>
  <c r="H9" i="19"/>
  <c r="H8" i="19"/>
  <c r="H7" i="19"/>
  <c r="H6" i="19"/>
  <c r="H5" i="19"/>
  <c r="E13" i="15" l="1"/>
  <c r="E18" i="19"/>
  <c r="H16" i="19"/>
  <c r="H18" i="19" s="1"/>
  <c r="D8" i="10" l="1"/>
  <c r="D7" i="10"/>
  <c r="D5" i="10"/>
  <c r="E21" i="14" l="1"/>
  <c r="C21" i="14" l="1"/>
  <c r="E14" i="14" l="1"/>
  <c r="D14" i="14"/>
  <c r="C14" i="14"/>
  <c r="B15" i="7" l="1"/>
  <c r="B30" i="4" l="1"/>
  <c r="C32" i="32" l="1"/>
  <c r="B25" i="4" l="1"/>
  <c r="B32" i="4" s="1"/>
  <c r="F9"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<sst xmlns="http://schemas.openxmlformats.org/spreadsheetml/2006/main" count="1764" uniqueCount="1271">
  <si>
    <t>Capital adequacy percentage 31/12/2014</t>
  </si>
  <si>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</si>
  <si>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</si>
  <si>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</si>
  <si>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</si>
  <si>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</si>
  <si>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</si>
  <si>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</si>
  <si>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</si>
  <si>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 xml:space="preserve"> 31/12/2014</t>
  </si>
  <si>
    <t>SpareBank 1 Gruppen</t>
  </si>
  <si>
    <t xml:space="preserve">SR-Pensjonskasse </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</si>
  <si>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</si>
  <si>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</si>
  <si>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</si>
  <si>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</si>
  <si>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</si>
  <si>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</si>
  <si>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</si>
  <si>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</si>
  <si>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</si>
  <si>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</si>
  <si>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</si>
  <si>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</si>
  <si>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</si>
  <si>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</si>
  <si>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</si>
  <si>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</si>
  <si>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</si>
  <si>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</si>
  <si>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</si>
  <si>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</si>
  <si>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</si>
  <si>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</si>
  <si>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</si>
  <si>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</si>
  <si>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</si>
  <si>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</si>
  <si>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</si>
  <si>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</si>
  <si>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</si>
  <si>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r>
      <rPr>
        <sz val="9"/>
        <rFont val="Calibri"/>
        <family val="2"/>
      </rPr>
      <t xml:space="preserve">Credit risk  </t>
    </r>
  </si>
  <si>
    <t>Credit value adjustment risk (CVA)</t>
  </si>
  <si>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</si>
  <si>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</si>
  <si>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</si>
  <si>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</si>
  <si>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</si>
  <si>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</si>
  <si>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</si>
  <si>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</si>
  <si>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</si>
  <si>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</si>
  <si>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</si>
  <si>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</si>
  <si>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</si>
  <si>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</si>
  <si>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</si>
  <si>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</si>
  <si>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</si>
  <si>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</si>
  <si>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</si>
  <si>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</si>
  <si>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</si>
  <si>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</si>
  <si>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</si>
  <si>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</si>
  <si>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</si>
  <si>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</si>
  <si>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</si>
  <si>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</si>
  <si>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</si>
  <si>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</si>
  <si>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</si>
  <si>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</si>
  <si>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</si>
  <si>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</si>
  <si>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</si>
  <si>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</si>
  <si>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</si>
  <si>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</si>
  <si>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</si>
  <si>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</si>
  <si>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</si>
  <si>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</si>
  <si>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</si>
  <si>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</si>
  <si>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t>Value
31/12/2014</t>
  </si>
  <si>
    <t>Change in value 
in 2013 (%)</t>
  </si>
  <si>
    <t>Value
31/12/2012</t>
  </si>
  <si>
    <t>Change in value 
in 2012 (%)</t>
  </si>
  <si>
    <t>Value
31/12/2011</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</si>
  <si>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</si>
  <si>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</si>
  <si>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</si>
  <si>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</si>
  <si>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</si>
  <si>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</si>
  <si>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</si>
  <si>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</si>
  <si>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</si>
  <si>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</si>
  <si>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r>
      <t xml:space="preserve">Risk weighted assets  2014 </t>
    </r>
    <r>
      <rPr>
        <b/>
        <vertAlign val="superscript"/>
        <sz val="9"/>
        <rFont val="Calibri"/>
        <family val="2"/>
      </rPr>
      <t>1)</t>
    </r>
  </si>
  <si>
    <r>
      <t xml:space="preserve">Risk weighted assets  2013 </t>
    </r>
    <r>
      <rPr>
        <vertAlign val="superscript"/>
        <sz val="9"/>
        <rFont val="Calibri"/>
        <family val="2"/>
      </rPr>
      <t>1)</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</si>
  <si>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</si>
  <si>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</si>
  <si>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</si>
  <si>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</si>
  <si>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</si>
  <si>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</si>
  <si>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</si>
  <si>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</si>
  <si>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</si>
  <si>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</si>
  <si>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</si>
  <si>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</si>
  <si>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</si>
  <si>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</si>
  <si>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</si>
  <si>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</si>
  <si>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</si>
  <si>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</si>
  <si>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</si>
  <si>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</si>
  <si>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</si>
  <si>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</si>
  <si>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</si>
  <si>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</si>
  <si>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</si>
  <si>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</si>
  <si>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</si>
  <si>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</si>
  <si>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</si>
  <si>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</si>
  <si>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</si>
  <si>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</si>
  <si>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</si>
  <si>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</si>
  <si>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</si>
  <si>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</si>
  <si>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</si>
  <si>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</si>
  <si>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</si>
  <si>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</si>
  <si>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</si>
  <si>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</si>
  <si>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</si>
  <si>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</si>
  <si>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</si>
  <si>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</si>
  <si>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</si>
  <si>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</si>
  <si>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</si>
  <si>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</si>
  <si>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</si>
  <si>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</si>
  <si>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</si>
  <si>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</si>
  <si>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</si>
  <si>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</si>
  <si>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</si>
  <si>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</si>
  <si>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</si>
  <si>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</si>
  <si>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</si>
  <si>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</si>
  <si>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</si>
  <si>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</si>
  <si>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</si>
  <si>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</si>
  <si>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</si>
  <si>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</si>
  <si>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</si>
  <si>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</si>
  <si>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</si>
  <si>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</si>
  <si>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</si>
  <si>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</si>
  <si>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</si>
  <si>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</si>
  <si>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</si>
  <si>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</si>
  <si>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</si>
  <si>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</si>
  <si>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</si>
  <si>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</si>
  <si>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</si>
  <si>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</si>
  <si>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</si>
  <si>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</si>
  <si>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</si>
  <si>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9"/>
        <rFont val="Calibri"/>
        <family val="2"/>
      </rPr>
      <t xml:space="preserve"> Loss given default for defaulted loans – LGD </t>
    </r>
  </si>
  <si>
    <t>Predicted LGD</t>
  </si>
  <si>
    <t>Observed LGD</t>
  </si>
  <si>
    <t>Predicted LGD</t>
  </si>
  <si>
    <t>Observed LGD</t>
  </si>
  <si>
    <t>Portfolio</t>
  </si>
  <si>
    <t>2006-2013</t>
  </si>
  <si>
    <t>2006-2013</t>
  </si>
  <si>
    <r>
      <rPr>
        <sz val="9"/>
        <rFont val="Calibri"/>
        <family val="2"/>
      </rPr>
      <t>Mass market with mortgage on real estate</t>
    </r>
  </si>
  <si>
    <t>Other mass market</t>
  </si>
  <si>
    <r>
      <rPr>
        <sz val="9"/>
        <rFont val="Calibri"/>
        <family val="2"/>
      </rPr>
      <t>Enterprises</t>
    </r>
  </si>
  <si>
    <t>Predicted</t>
  </si>
  <si>
    <t>Observed</t>
  </si>
  <si>
    <t>Predicted</t>
  </si>
  <si>
    <t>Observed</t>
  </si>
  <si>
    <t>Portfolio</t>
  </si>
  <si>
    <t>2009-2014</t>
  </si>
  <si>
    <t>2009-2014</t>
  </si>
  <si>
    <t>Mass market in total</t>
  </si>
  <si>
    <t>Enterprises</t>
  </si>
  <si>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</si>
  <si>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</si>
  <si>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</si>
  <si>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</si>
  <si>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</si>
  <si>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</si>
  <si>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</si>
  <si>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</si>
  <si>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</si>
  <si>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</si>
  <si>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</si>
  <si>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</si>
  <si>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</si>
  <si>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</si>
  <si>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</si>
  <si>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</si>
  <si>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</si>
  <si>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</si>
  <si>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</si>
  <si>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</si>
  <si>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</si>
  <si>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</si>
  <si>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t>2014                                                                        Commitment category</t>
  </si>
  <si>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</si>
  <si>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</si>
  <si>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</si>
  <si>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</si>
  <si>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</si>
  <si>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</si>
  <si>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</si>
  <si>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</si>
  <si>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</si>
  <si>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</si>
  <si>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</si>
  <si>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</si>
  <si>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</si>
  <si>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</si>
  <si>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</si>
  <si>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</si>
  <si>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</si>
  <si>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</si>
  <si>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</si>
  <si>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</si>
  <si>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</si>
  <si>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</si>
  <si>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</si>
  <si>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</si>
  <si>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</si>
  <si>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</si>
  <si>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</si>
  <si>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</si>
  <si>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</si>
  <si>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</si>
  <si>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</si>
  <si>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</si>
  <si>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</si>
  <si>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</si>
  <si>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</si>
  <si>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</si>
  <si>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</si>
  <si>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</si>
  <si>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</si>
  <si>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</si>
  <si>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</si>
  <si>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</si>
  <si>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</si>
  <si>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</si>
  <si>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</si>
  <si>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</si>
  <si>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</si>
  <si>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</si>
  <si>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</si>
  <si>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</si>
  <si>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</si>
  <si>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</si>
  <si>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</si>
  <si>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</si>
  <si>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</si>
  <si>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</si>
  <si>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</si>
  <si>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</si>
  <si>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</si>
  <si>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</si>
  <si>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</si>
  <si>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</si>
  <si>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</si>
  <si>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</si>
  <si>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</si>
  <si>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</si>
  <si>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</si>
  <si>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</si>
  <si>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</si>
  <si>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</si>
  <si>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</si>
  <si>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</si>
  <si>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</si>
  <si>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</si>
  <si>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</si>
  <si>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</si>
  <si>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</si>
  <si>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</si>
  <si>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</si>
  <si>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</si>
  <si>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</si>
  <si>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</si>
  <si>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</si>
  <si>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</si>
  <si>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</si>
  <si>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</si>
  <si>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Enterprises</t>
  </si>
  <si>
    <t>A</t>
  </si>
  <si>
    <t>B</t>
  </si>
  <si>
    <t>C</t>
  </si>
  <si>
    <t>D</t>
  </si>
  <si>
    <t>E</t>
  </si>
  <si>
    <t>F</t>
  </si>
  <si>
    <t>G</t>
  </si>
  <si>
    <t>H</t>
  </si>
  <si>
    <t>I</t>
  </si>
  <si>
    <t>J</t>
  </si>
  <si>
    <t>K</t>
  </si>
  <si>
    <t>Total enterprises</t>
  </si>
  <si>
    <t>Commitments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</si>
  <si>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</si>
  <si>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</si>
  <si>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</si>
  <si>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</si>
  <si>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</si>
  <si>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</si>
  <si>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</si>
  <si>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</si>
  <si>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</si>
  <si>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</si>
  <si>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</si>
  <si>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</si>
  <si>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</si>
  <si>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</si>
  <si>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</si>
  <si>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</si>
  <si>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</si>
  <si>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</si>
  <si>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</si>
  <si>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</si>
  <si>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</si>
  <si>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</si>
  <si>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</si>
  <si>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</si>
  <si>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</si>
  <si>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</si>
  <si>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</si>
  <si>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</si>
  <si>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</si>
  <si>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t>Mass market - mortgage on real estate</t>
  </si>
  <si>
    <t>Mass market - SME</t>
  </si>
  <si>
    <t xml:space="preserve">Mass market -other </t>
  </si>
  <si>
    <t>2)</t>
  </si>
  <si>
    <t>2)</t>
  </si>
  <si>
    <t>Total</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</si>
  <si>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</si>
  <si>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</si>
  <si>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</si>
  <si>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</si>
  <si>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</si>
  <si>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</si>
  <si>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</si>
  <si>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</si>
  <si>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</si>
  <si>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</si>
  <si>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</si>
  <si>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</si>
  <si>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</si>
  <si>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</si>
  <si>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</si>
  <si>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</si>
  <si>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</si>
  <si>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t xml:space="preserve">  -  </t>
  </si>
  <si>
    <t xml:space="preserve">  -  </t>
  </si>
  <si>
    <r>
      <rPr>
        <sz val="9"/>
        <rFont val="Calibri"/>
        <family val="2"/>
      </rPr>
      <t>Institutions</t>
    </r>
  </si>
  <si>
    <t xml:space="preserve">  -  </t>
  </si>
  <si>
    <t xml:space="preserve">  -  </t>
  </si>
  <si>
    <t xml:space="preserve">  -  </t>
  </si>
  <si>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</si>
  <si>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</si>
  <si>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</si>
  <si>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</si>
  <si>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</si>
  <si>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</si>
  <si>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</si>
  <si>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</si>
  <si>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</si>
  <si>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</si>
  <si>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</si>
  <si>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t xml:space="preserve">  -  </t>
  </si>
  <si>
    <t xml:space="preserve">  -  </t>
  </si>
  <si>
    <r>
      <rPr>
        <sz val="9"/>
        <rFont val="Calibri"/>
        <family val="2"/>
      </rPr>
      <t>Institutions</t>
    </r>
  </si>
  <si>
    <t xml:space="preserve">  -  </t>
  </si>
  <si>
    <t xml:space="preserve">  -  </t>
  </si>
  <si>
    <t xml:space="preserve">  -  </t>
  </si>
  <si>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</si>
  <si>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</si>
  <si>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</si>
  <si>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</si>
  <si>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</si>
  <si>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</si>
  <si>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</si>
  <si>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</si>
  <si>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</si>
  <si>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</si>
  <si>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</si>
  <si>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</si>
  <si>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</si>
  <si>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</si>
  <si>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</si>
  <si>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</si>
  <si>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</si>
  <si>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</si>
  <si>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</si>
  <si>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</si>
  <si>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</si>
  <si>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</si>
  <si>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</si>
  <si>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</si>
  <si>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</si>
  <si>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</si>
  <si>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</si>
  <si>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Mass market with mortgage on real estate</t>
  </si>
  <si>
    <t>Predicted</t>
  </si>
  <si>
    <t>Observed</t>
  </si>
  <si>
    <t>Predicted</t>
  </si>
  <si>
    <t>Observed</t>
  </si>
  <si>
    <t>2006-2014</t>
  </si>
  <si>
    <t>2006-2014</t>
  </si>
  <si>
    <t>A</t>
  </si>
  <si>
    <t>B</t>
  </si>
  <si>
    <t>C</t>
  </si>
  <si>
    <t>D</t>
  </si>
  <si>
    <t>E</t>
  </si>
  <si>
    <t>F</t>
  </si>
  <si>
    <t>G</t>
  </si>
  <si>
    <t>H</t>
  </si>
  <si>
    <t>I</t>
  </si>
  <si>
    <t>Predicted</t>
  </si>
  <si>
    <t>Observed</t>
  </si>
  <si>
    <t>Predicted</t>
  </si>
  <si>
    <t>Observed</t>
  </si>
  <si>
    <t>Other mass market</t>
  </si>
  <si>
    <t>2006-2014</t>
  </si>
  <si>
    <t>2006-2014</t>
  </si>
  <si>
    <t>A</t>
  </si>
  <si>
    <t>B</t>
  </si>
  <si>
    <t>C</t>
  </si>
  <si>
    <t>D</t>
  </si>
  <si>
    <t>E</t>
  </si>
  <si>
    <t>F</t>
  </si>
  <si>
    <t>G</t>
  </si>
  <si>
    <t>H</t>
  </si>
  <si>
    <t>I</t>
  </si>
  <si>
    <t>Predicted</t>
  </si>
  <si>
    <t>Observed</t>
  </si>
  <si>
    <t>Predicted</t>
  </si>
  <si>
    <t>Observed</t>
  </si>
  <si>
    <t>Enterprises</t>
  </si>
  <si>
    <t>2006-2014</t>
  </si>
  <si>
    <t>2006-2014</t>
  </si>
  <si>
    <t>A</t>
  </si>
  <si>
    <t>B</t>
  </si>
  <si>
    <t>B</t>
  </si>
  <si>
    <t>C</t>
  </si>
  <si>
    <t>D</t>
  </si>
  <si>
    <t>E</t>
  </si>
  <si>
    <t>F</t>
  </si>
  <si>
    <t>G</t>
  </si>
  <si>
    <t>H</t>
  </si>
  <si>
    <t>I</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</si>
  <si>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</si>
  <si>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</si>
  <si>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</si>
  <si>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</si>
  <si>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</si>
  <si>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</si>
  <si>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</si>
  <si>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</si>
  <si>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</si>
  <si>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</si>
  <si>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</si>
  <si>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</si>
  <si>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</si>
  <si>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</si>
  <si>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</si>
  <si>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</si>
  <si>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</si>
  <si>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Progressus</t>
  </si>
  <si>
    <t>Hitec Vision Private Equity IV LP</t>
  </si>
  <si>
    <t>HitecVision Asset Solution LP</t>
  </si>
  <si>
    <t>Energy Ventures III AS</t>
  </si>
  <si>
    <t>SR-PE-Feeder III KS</t>
  </si>
  <si>
    <r>
      <rPr>
        <b/>
        <sz val="9"/>
        <rFont val="Calibri"/>
        <family val="2"/>
      </rPr>
      <t>Total financial investments at fair value through profit and loss</t>
    </r>
  </si>
  <si>
    <r>
      <rPr>
        <b/>
        <sz val="9"/>
        <rFont val="Calibri"/>
        <family val="2"/>
      </rPr>
      <t>Strategic investments at fair value through profit and loss</t>
    </r>
  </si>
  <si>
    <t>Nordito Property</t>
  </si>
  <si>
    <t>Nets Holding</t>
  </si>
  <si>
    <t>Bank 1 Oslo Akershus</t>
  </si>
  <si>
    <r>
      <rPr>
        <b/>
        <sz val="9"/>
        <rFont val="Calibri"/>
        <family val="2"/>
      </rPr>
      <t>Total strategic investments at fair value through profit and loss</t>
    </r>
  </si>
  <si>
    <r>
      <rPr>
        <b/>
        <sz val="9"/>
        <rFont val="Calibri"/>
        <family val="2"/>
      </rPr>
      <t>Strategic investments available for sale</t>
    </r>
  </si>
  <si>
    <t>Other strategic investments</t>
  </si>
  <si>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</si>
  <si>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</si>
  <si>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</si>
  <si>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</si>
  <si>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</si>
  <si>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</si>
  <si>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</si>
  <si>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</si>
  <si>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</si>
  <si>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</si>
  <si>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</si>
  <si>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</si>
  <si>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</si>
  <si>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</si>
  <si>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</si>
  <si>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</si>
  <si>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</si>
  <si>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</si>
  <si>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</si>
  <si>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</si>
  <si>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</si>
  <si>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</si>
  <si>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</si>
  <si>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</si>
  <si>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</si>
  <si>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</si>
  <si>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</si>
  <si>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</si>
  <si>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</si>
  <si>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</si>
  <si>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</si>
  <si>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</si>
  <si>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</si>
  <si>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</si>
  <si>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</si>
  <si>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</si>
  <si>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 xml:space="preserve">IRB default level - PD </t>
  </si>
  <si>
    <t>Portfolio</t>
  </si>
  <si>
    <t>Predicted</t>
  </si>
  <si>
    <t>Observed</t>
  </si>
  <si>
    <t>Predicted</t>
  </si>
  <si>
    <t>Observed</t>
  </si>
  <si>
    <t>2006-2014</t>
  </si>
  <si>
    <t>2006-2014</t>
  </si>
  <si>
    <r>
      <rPr>
        <sz val="9"/>
        <rFont val="Calibri"/>
        <family val="2"/>
      </rPr>
      <t>Mass market with mortgage on real estate</t>
    </r>
  </si>
  <si>
    <t>Other mass market</t>
  </si>
  <si>
    <r>
      <rPr>
        <sz val="9"/>
        <rFont val="Calibri"/>
        <family val="2"/>
      </rPr>
      <t>Enterprises</t>
    </r>
  </si>
  <si>
    <t>IRB default level - PD (EAD-weighted)</t>
  </si>
  <si>
    <t>Portfolio</t>
  </si>
  <si>
    <t>Predicted</t>
  </si>
  <si>
    <t>Observed</t>
  </si>
  <si>
    <t>Predicted</t>
  </si>
  <si>
    <t>Observed</t>
  </si>
  <si>
    <t>2006-2014</t>
  </si>
  <si>
    <t>2006-2014</t>
  </si>
  <si>
    <r>
      <rPr>
        <sz val="9"/>
        <rFont val="Calibri"/>
        <family val="2"/>
      </rPr>
      <t>Mass market with mortgage on real estate</t>
    </r>
  </si>
  <si>
    <t>Other mass market</t>
  </si>
  <si>
    <r>
      <rPr>
        <sz val="9"/>
        <rFont val="Calibri"/>
        <family val="2"/>
      </rPr>
      <t>Enterprises</t>
    </r>
  </si>
  <si>
    <t>Principal</t>
  </si>
  <si>
    <r>
      <rPr>
        <b/>
        <sz val="9"/>
        <rFont val="Calibri"/>
        <family val="2"/>
      </rPr>
      <t>Terms</t>
    </r>
  </si>
  <si>
    <r>
      <rPr>
        <b/>
        <sz val="9"/>
        <rFont val="Calibri"/>
        <family val="2"/>
      </rPr>
      <t>Maturity</t>
    </r>
  </si>
  <si>
    <t>Non-perpetual</t>
  </si>
  <si>
    <t>NOK 750</t>
  </si>
  <si>
    <t>3 month Nibor + margin</t>
  </si>
  <si>
    <t>NOK 500</t>
  </si>
  <si>
    <t>3 month Nibor + margin</t>
  </si>
  <si>
    <t>NOK 75</t>
  </si>
  <si>
    <t>3 month Nibor + margin</t>
  </si>
  <si>
    <t>NOK 825</t>
  </si>
  <si>
    <t>3 month Nibor + margin</t>
  </si>
  <si>
    <r>
      <rPr>
        <b/>
        <sz val="9"/>
        <rFont val="Calibri"/>
        <family val="2"/>
      </rPr>
      <t>Total non-perpetual</t>
    </r>
  </si>
  <si>
    <t>Hybrid tier 1 bonds</t>
  </si>
  <si>
    <t>NOK 1000</t>
  </si>
  <si>
    <t>3 month Nibor + margin</t>
  </si>
  <si>
    <t>NOK 684</t>
  </si>
  <si>
    <t>3 month Nibor + margin</t>
  </si>
  <si>
    <t>NOK 116</t>
  </si>
  <si>
    <t>3 month Nibor + margin</t>
  </si>
  <si>
    <t>NOK 40</t>
  </si>
  <si>
    <t>3 month Nibor + margin</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</si>
  <si>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</si>
  <si>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</si>
  <si>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</si>
  <si>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</si>
  <si>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t>Of a total of NOK 2 964 million in subordinated loan capital, NOK 794 million counts as core (Tier 1) capital and NOK 2 069 million as non-perpetual subordinated capital.</t>
  </si>
  <si>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</si>
  <si>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</si>
  <si>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</si>
  <si>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Consolidation basis</t>
    </r>
  </si>
  <si>
    <r>
      <rPr>
        <b/>
        <sz val="9"/>
        <rFont val="Calibri"/>
        <family val="2"/>
      </rPr>
      <t>Subsidiaries</t>
    </r>
  </si>
  <si>
    <t>As at 31/12/2014</t>
  </si>
  <si>
    <t>Number of shares</t>
  </si>
  <si>
    <t>Book value</t>
  </si>
  <si>
    <t>Voting rights</t>
  </si>
  <si>
    <t>Consolidation method</t>
  </si>
  <si>
    <t>Wholly consolidated companies</t>
  </si>
  <si>
    <t>SpareBank 1 SR-Finans AS</t>
  </si>
  <si>
    <r>
      <rPr>
        <sz val="9"/>
        <rFont val="Calibri"/>
        <family val="2"/>
      </rPr>
      <t>Acquisition method</t>
    </r>
  </si>
  <si>
    <t>EiendomsMegler 1 SR-Eiendom AS</t>
  </si>
  <si>
    <r>
      <rPr>
        <sz val="9"/>
        <rFont val="Calibri"/>
        <family val="2"/>
      </rPr>
      <t>Acquisition method</t>
    </r>
  </si>
  <si>
    <t>Westbroker Finans AS</t>
  </si>
  <si>
    <r>
      <rPr>
        <sz val="9"/>
        <rFont val="Calibri"/>
        <family val="2"/>
      </rPr>
      <t>Acquisition method</t>
    </r>
  </si>
  <si>
    <t>SR-Investering AS</t>
  </si>
  <si>
    <r>
      <rPr>
        <sz val="9"/>
        <rFont val="Calibri"/>
        <family val="2"/>
      </rPr>
      <t>Acquisition method</t>
    </r>
  </si>
  <si>
    <t>SR-Forvaltning AS</t>
  </si>
  <si>
    <r>
      <rPr>
        <sz val="9"/>
        <rFont val="Calibri"/>
        <family val="2"/>
      </rPr>
      <t>Acquisition method</t>
    </r>
  </si>
  <si>
    <t>SR-Forretningsservice AS</t>
  </si>
  <si>
    <r>
      <rPr>
        <sz val="9"/>
        <rFont val="Calibri"/>
        <family val="2"/>
      </rPr>
      <t>Acquisition method</t>
    </r>
  </si>
  <si>
    <t>Rygir Industrier AS konsern</t>
  </si>
  <si>
    <r>
      <rPr>
        <sz val="9"/>
        <rFont val="Calibri"/>
        <family val="2"/>
      </rPr>
      <t>Acquisition method</t>
    </r>
  </si>
  <si>
    <t>Etis Eiendom AS</t>
  </si>
  <si>
    <r>
      <rPr>
        <sz val="9"/>
        <rFont val="Calibri"/>
        <family val="2"/>
      </rPr>
      <t>Acquisition method</t>
    </r>
  </si>
  <si>
    <t>Finansparken Bjergsted AS</t>
  </si>
  <si>
    <r>
      <rPr>
        <sz val="9"/>
        <rFont val="Calibri"/>
        <family val="2"/>
      </rPr>
      <t>Acquisition method</t>
    </r>
  </si>
  <si>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</si>
  <si>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</si>
  <si>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</si>
  <si>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</si>
  <si>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</si>
  <si>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</si>
  <si>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</si>
  <si>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</si>
  <si>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</si>
  <si>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</si>
  <si>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</si>
  <si>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</si>
  <si>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</si>
  <si>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</si>
  <si>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</si>
  <si>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</si>
  <si>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b/>
        <sz val="9"/>
        <rFont val="Calibri"/>
        <family val="2"/>
      </rPr>
      <t>Subsidiaries that report based on the standard method</t>
    </r>
  </si>
  <si>
    <t>31/12/2014</t>
  </si>
  <si>
    <r>
      <rPr>
        <sz val="9"/>
        <rFont val="Calibri"/>
        <family val="2"/>
      </rPr>
      <t>Amounts in NOK million</t>
    </r>
  </si>
  <si>
    <t>SR-Finans</t>
  </si>
  <si>
    <t>SR-Forvaltning</t>
  </si>
  <si>
    <t>SR-Finans</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</si>
  <si>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</si>
  <si>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</si>
  <si>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</si>
  <si>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</si>
  <si>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</si>
  <si>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</si>
  <si>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</si>
  <si>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</si>
  <si>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</si>
  <si>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</si>
  <si>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</si>
  <si>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</si>
  <si>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</si>
  <si>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</si>
  <si>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</si>
  <si>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</si>
  <si>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</si>
  <si>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Minimum regulatory capital requirements for market risk, including position risk,</t>
  </si>
  <si>
    <r>
      <rPr>
        <i/>
        <sz val="9"/>
        <rFont val="Calibri"/>
        <family val="2"/>
      </rPr>
      <t>counterparty risk, settlement risk, currency risk and commodities risk</t>
    </r>
  </si>
  <si>
    <t>Consolidated
31/12/2014</t>
  </si>
  <si>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</si>
  <si>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</si>
  <si>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</si>
  <si>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</si>
  <si>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</si>
  <si>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</si>
  <si>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b/>
        <sz val="9"/>
        <rFont val="Calibri"/>
        <family val="2"/>
      </rPr>
      <t>Currency risk</t>
    </r>
  </si>
  <si>
    <t>Total</t>
  </si>
  <si>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</si>
  <si>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</si>
  <si>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</si>
  <si>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</si>
  <si>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</si>
  <si>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</si>
  <si>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</si>
  <si>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</si>
  <si>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</si>
  <si>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</si>
  <si>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</si>
  <si>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</si>
  <si>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</si>
  <si>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</si>
  <si>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</si>
  <si>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r>
      <rPr>
        <sz val="10"/>
        <color theme="1"/>
        <rFont val="Calibri"/>
        <family val="2"/>
      </rPr>
      <t xml:space="preserve">Minimum regulatory capital requirements for market risk </t>
    </r>
  </si>
  <si>
    <t>Quarterly</t>
  </si>
  <si>
    <r>
      <rPr>
        <sz val="10"/>
        <color theme="1"/>
        <rFont val="Calibri"/>
        <family val="2"/>
      </rPr>
      <t xml:space="preserve">Minimum regulatory capital requirements for operational risk </t>
    </r>
  </si>
  <si>
    <t>Quarterly</t>
  </si>
  <si>
    <r>
      <rPr>
        <sz val="10"/>
        <color theme="1"/>
        <rFont val="Calibri"/>
        <family val="2"/>
      </rPr>
      <t>Subordinated loan capital and hybrid Tier 1 bonds</t>
    </r>
  </si>
  <si>
    <t>Annually</t>
  </si>
  <si>
    <r>
      <rPr>
        <sz val="10"/>
        <color theme="1"/>
        <rFont val="Calibri"/>
        <family val="2"/>
      </rPr>
      <t>Commitment amount for each type of commitment, divided into geographic areas before deductions for write-downs</t>
    </r>
  </si>
  <si>
    <t>Annually</t>
  </si>
  <si>
    <r>
      <rPr>
        <sz val="10"/>
        <color theme="1"/>
        <rFont val="Calibri"/>
        <family val="2"/>
      </rPr>
      <t>The total commitment amount after any write-down and without taking account of any securities and the average size of the commitments during the period, broken down by type of commitment</t>
    </r>
  </si>
  <si>
    <t>Annually</t>
  </si>
  <si>
    <r>
      <rPr>
        <sz val="10"/>
        <color theme="1"/>
        <rFont val="Calibri"/>
        <family val="2"/>
      </rPr>
      <t>Commitment amount for each type of commitment, broken down by sectors before deductions for write-downs.</t>
    </r>
  </si>
  <si>
    <t>Annually</t>
  </si>
  <si>
    <r>
      <rPr>
        <sz val="10"/>
        <color theme="1"/>
        <rFont val="Calibri"/>
        <family val="2"/>
      </rPr>
      <t>Commitment amount for each type of commitment broken down by remaining maturity</t>
    </r>
  </si>
  <si>
    <t>Annually</t>
  </si>
  <si>
    <r>
      <rPr>
        <sz val="10"/>
        <color theme="1"/>
        <rFont val="Calibri"/>
        <family val="2"/>
      </rPr>
      <t>Defaulted and doubtful commitments broken down by customer group</t>
    </r>
  </si>
  <si>
    <t>Quarterly</t>
  </si>
  <si>
    <r>
      <rPr>
        <sz val="10"/>
        <color theme="1"/>
        <rFont val="Calibri"/>
        <family val="2"/>
      </rPr>
      <t xml:space="preserve">Actual losses for each default class during the period </t>
    </r>
  </si>
  <si>
    <t>Annually</t>
  </si>
  <si>
    <r>
      <rPr>
        <sz val="10"/>
        <color theme="1"/>
        <rFont val="Calibri"/>
        <family val="2"/>
      </rPr>
      <t>Separate specification of the total commitment amount with impairment and defaulted commitments broken down into geographic areas, including total changes in value and write-downs</t>
    </r>
  </si>
  <si>
    <t>Annually</t>
  </si>
  <si>
    <r>
      <rPr>
        <sz val="10"/>
        <color theme="1"/>
        <rFont val="Calibri"/>
        <family val="2"/>
      </rPr>
      <t>Reconciliation of changes in changes in value and write-downs respectively for commitments with impairment</t>
    </r>
  </si>
  <si>
    <t>Annually</t>
  </si>
  <si>
    <r>
      <rPr>
        <sz val="10"/>
        <color theme="1"/>
        <rFont val="Calibri"/>
        <family val="2"/>
      </rPr>
      <t>Distribution by risk classes in which the IRB approach is used</t>
    </r>
  </si>
  <si>
    <t>Annually</t>
  </si>
  <si>
    <t xml:space="preserve">IRB default level – PD </t>
  </si>
  <si>
    <t>Annually</t>
  </si>
  <si>
    <t>IRB default level - PD per default class</t>
  </si>
  <si>
    <t>Annually</t>
  </si>
  <si>
    <t>IRB loss given default for defaulted loans – LGD</t>
  </si>
  <si>
    <t>Annually</t>
  </si>
  <si>
    <t xml:space="preserve">IRB expected losses (EL) compared to actual net recognized losses  </t>
  </si>
  <si>
    <t>Annually</t>
  </si>
  <si>
    <r>
      <rPr>
        <sz val="10"/>
        <color theme="1"/>
        <rFont val="Calibri"/>
        <family val="2"/>
      </rPr>
      <t>Total commitment amount and percentage secured by mortgage, broken down by commitment categories (IRB)</t>
    </r>
  </si>
  <si>
    <t>Annually</t>
  </si>
  <si>
    <r>
      <rPr>
        <sz val="10"/>
        <color theme="1"/>
        <rFont val="Calibri"/>
        <family val="2"/>
      </rPr>
      <t>The actual changes in value for the individual commitment category and development from previous periods (IRB):</t>
    </r>
  </si>
  <si>
    <t>Annually</t>
  </si>
  <si>
    <r>
      <rPr>
        <sz val="10"/>
        <color theme="1"/>
        <rFont val="Calibri"/>
        <family val="2"/>
      </rPr>
      <t>Investments (equity positions outside the trading portfolio) broken down by purpose</t>
    </r>
  </si>
  <si>
    <t>Annually</t>
  </si>
  <si>
    <r>
      <rPr>
        <sz val="10"/>
        <color theme="1"/>
        <rFont val="Calibri"/>
        <family val="2"/>
      </rPr>
      <t>Overview of book value and fair value, gains and losses</t>
    </r>
  </si>
  <si>
    <t>Annually</t>
  </si>
  <si>
    <r>
      <rPr>
        <sz val="10"/>
        <color theme="1"/>
        <rFont val="Calibri"/>
        <family val="2"/>
      </rPr>
      <t>Summary of type and value of listed shares, unlisted shares in diversified portfolios and other commitments</t>
    </r>
  </si>
  <si>
    <t>Annually</t>
  </si>
  <si>
    <r>
      <rPr>
        <sz val="10"/>
        <color theme="1"/>
        <rFont val="Calibri"/>
        <family val="2"/>
      </rPr>
      <t>Summary of counterparty risk for derivatives etc. outside the trading portfolio.</t>
    </r>
  </si>
  <si>
    <t>Annually</t>
  </si>
  <si>
    <r>
      <rPr>
        <sz val="10"/>
        <color theme="1"/>
        <rFont val="Calibri"/>
        <family val="2"/>
      </rPr>
      <t>Sensitivity of net interest expenses before tax (interest rate change of one percentage point)</t>
    </r>
  </si>
  <si>
    <t>Annually</t>
  </si>
  <si>
    <t>Quarterly</t>
  </si>
  <si>
    <t>Quarterly</t>
  </si>
  <si>
    <t>Quarterly</t>
  </si>
  <si>
    <t>Quarterly</t>
  </si>
  <si>
    <r>
      <rPr>
        <sz val="9"/>
        <rFont val="Calibri"/>
        <family val="2"/>
      </rPr>
      <t>Amounts in NOK million</t>
    </r>
  </si>
  <si>
    <t>Value
 2014</t>
  </si>
  <si>
    <t>Value
 2013</t>
  </si>
  <si>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</si>
  <si>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</si>
  <si>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</si>
  <si>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</si>
  <si>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</si>
  <si>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t>Unweighted tier 1 capital ratio (leverage ratio)</t>
  </si>
  <si>
    <r>
      <rPr>
        <sz val="9"/>
        <rFont val="Calibri"/>
        <family val="2"/>
      </rPr>
      <t>Repurchase agreements, etc. (CRR 220)</t>
    </r>
  </si>
  <si>
    <r>
      <rPr>
        <sz val="9"/>
        <rFont val="Calibri"/>
        <family val="2"/>
      </rPr>
      <t>Repurchase agreements, etc. (CRR 222)</t>
    </r>
  </si>
  <si>
    <r>
      <rPr>
        <sz val="9"/>
        <rFont val="Calibri"/>
        <family val="2"/>
      </rPr>
      <t>Derivatives: Reinvestment costs</t>
    </r>
  </si>
  <si>
    <r>
      <rPr>
        <sz val="9"/>
        <rFont val="Calibri"/>
        <family val="2"/>
      </rPr>
      <t xml:space="preserve">Derivatives: Future exposure using market value method </t>
    </r>
  </si>
  <si>
    <r>
      <rPr>
        <sz val="9"/>
        <rFont val="Calibri"/>
        <family val="2"/>
      </rPr>
      <t>Derivatives: Original commitment method</t>
    </r>
  </si>
  <si>
    <r>
      <rPr>
        <sz val="9"/>
        <rFont val="Calibri"/>
        <family val="2"/>
      </rPr>
      <t xml:space="preserve">Unused credit facilities that can be terminated without notice and conditions at any given time </t>
    </r>
  </si>
  <si>
    <r>
      <rPr>
        <sz val="9"/>
        <rFont val="Calibri"/>
        <family val="2"/>
      </rPr>
      <t>Trade related off-balance sheet items with low/medium risk</t>
    </r>
  </si>
  <si>
    <r>
      <rPr>
        <sz val="9"/>
        <rFont val="Calibri"/>
        <family val="2"/>
      </rPr>
      <t xml:space="preserve">Trade related off-balance sheet items with medium risk and off-balance sheet items related to publicly supported export financing </t>
    </r>
  </si>
  <si>
    <r>
      <rPr>
        <sz val="9"/>
        <rFont val="Calibri"/>
        <family val="2"/>
      </rPr>
      <t xml:space="preserve">Other off-balance sheet items </t>
    </r>
  </si>
  <si>
    <r>
      <rPr>
        <sz val="9"/>
        <rFont val="Calibri"/>
        <family val="2"/>
      </rPr>
      <t xml:space="preserve">Other assets </t>
    </r>
  </si>
  <si>
    <r>
      <rPr>
        <b/>
        <sz val="9"/>
        <rFont val="Calibri"/>
        <family val="2"/>
      </rPr>
      <t xml:space="preserve">Capital and regulatory adjustments </t>
    </r>
  </si>
  <si>
    <r>
      <rPr>
        <sz val="9"/>
        <rFont val="Calibri"/>
        <family val="2"/>
      </rPr>
      <t xml:space="preserve">Tier 1 capital </t>
    </r>
  </si>
  <si>
    <r>
      <rPr>
        <sz val="9"/>
        <rFont val="Calibri"/>
        <family val="2"/>
      </rPr>
      <t xml:space="preserve">Tier 1 capital, including tier 1 capital covered by transitional rules </t>
    </r>
  </si>
  <si>
    <r>
      <rPr>
        <sz val="9"/>
        <rFont val="Calibri"/>
        <family val="2"/>
      </rPr>
      <t>Additions ref. CRR 429 (4), subparagraph 2</t>
    </r>
  </si>
  <si>
    <r>
      <rPr>
        <sz val="9"/>
        <rFont val="Calibri"/>
        <family val="2"/>
      </rPr>
      <t xml:space="preserve">Additional definition with transitional rules, ref. CRR 429 (4), subparagraph 2 </t>
    </r>
  </si>
  <si>
    <r>
      <rPr>
        <i/>
        <sz val="9"/>
        <rFont val="Calibri"/>
        <family val="2"/>
      </rPr>
      <t>Regulatory adjustments in tier 1 capital; of which</t>
    </r>
  </si>
  <si>
    <r>
      <rPr>
        <sz val="9"/>
        <rFont val="Calibri"/>
        <family val="2"/>
      </rPr>
      <t xml:space="preserve">Regulatory adjustments for changes in own creditworthiness </t>
    </r>
  </si>
  <si>
    <r>
      <rPr>
        <sz val="9"/>
        <rFont val="Calibri"/>
        <family val="2"/>
      </rPr>
      <t xml:space="preserve">Regulatory adjustments in tier 1 capital according to transitional rules </t>
    </r>
  </si>
  <si>
    <r>
      <rPr>
        <b/>
        <sz val="9"/>
        <rFont val="Calibri"/>
        <family val="2"/>
      </rPr>
      <t xml:space="preserve">Unweighted tier 1 capital ratio </t>
    </r>
  </si>
  <si>
    <r>
      <rPr>
        <sz val="9"/>
        <rFont val="Calibri"/>
        <family val="2"/>
      </rPr>
      <t>Unweighted tier 1 capital ratio (capital that qualifies as tier 1 capital)</t>
    </r>
  </si>
  <si>
    <r>
      <rPr>
        <sz val="9"/>
        <rFont val="Calibri"/>
        <family val="2"/>
      </rPr>
      <t xml:space="preserve">Unweighted tier 1 capital ratio (including tier 1 capital covered by transitional rules) </t>
    </r>
  </si>
  <si>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</si>
  <si>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</si>
  <si>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</si>
  <si>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</si>
  <si>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</si>
  <si>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</si>
  <si>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</si>
  <si>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</si>
  <si>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</si>
  <si>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</si>
  <si>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</si>
  <si>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</si>
  <si>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</si>
  <si>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1)</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</si>
  <si>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</si>
  <si>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</si>
  <si>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</si>
  <si>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</si>
  <si>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</si>
  <si>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</si>
  <si>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</si>
  <si>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</si>
  <si>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</si>
  <si>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</si>
  <si>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</si>
  <si>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</si>
  <si>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</si>
  <si>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</si>
  <si>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</si>
  <si>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</si>
  <si>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</si>
  <si>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</si>
  <si>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</si>
  <si>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Allocated dividend</t>
    </r>
  </si>
  <si>
    <r>
      <rPr>
        <sz val="9"/>
        <rFont val="Calibri"/>
        <family val="2"/>
      </rPr>
      <t>Other equity</t>
    </r>
  </si>
  <si>
    <r>
      <rPr>
        <b/>
        <sz val="9"/>
        <rFont val="Calibri"/>
        <family val="2"/>
      </rPr>
      <t>Total equity</t>
    </r>
  </si>
  <si>
    <r>
      <rPr>
        <b/>
        <sz val="9"/>
        <rFont val="Calibri"/>
        <family val="2"/>
      </rPr>
      <t>Total liabilities and equity</t>
    </r>
  </si>
  <si>
    <r>
      <rPr>
        <sz val="9"/>
        <rFont val="Calibri"/>
        <family val="2"/>
      </rPr>
      <t>1) Book value of the shares in the respective companies is replaced by SpareBank 1 SR-Bank's share of the companies' items on the balance sheet.</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</si>
  <si>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</si>
  <si>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</si>
  <si>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</si>
  <si>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</si>
  <si>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</si>
  <si>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</si>
  <si>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</si>
  <si>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</si>
  <si>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</si>
  <si>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</si>
  <si>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</si>
  <si>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</si>
  <si>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</si>
  <si>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</si>
  <si>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</si>
  <si>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</si>
  <si>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</si>
  <si>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</si>
  <si>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</si>
  <si>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</si>
  <si>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</si>
  <si>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</si>
  <si>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</si>
  <si>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</si>
  <si>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</si>
  <si>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</si>
  <si>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</si>
  <si>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</si>
  <si>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</si>
  <si>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</si>
  <si>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</si>
  <si>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</si>
  <si>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</si>
  <si>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</si>
  <si>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</si>
  <si>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</si>
  <si>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</si>
  <si>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</si>
  <si>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</si>
  <si>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</si>
  <si>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</si>
  <si>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</si>
  <si>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</si>
  <si>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</si>
  <si>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</si>
  <si>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</si>
  <si>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</si>
  <si>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</si>
  <si>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</si>
  <si>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</si>
  <si>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</si>
  <si>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</si>
  <si>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</si>
  <si>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</si>
  <si>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</si>
  <si>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</si>
  <si>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</si>
  <si>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</si>
  <si>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</si>
  <si>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</si>
  <si>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</si>
  <si>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</si>
  <si>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</si>
  <si>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</si>
  <si>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</si>
  <si>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</si>
  <si>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</si>
  <si>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</si>
  <si>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</si>
  <si>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</si>
  <si>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</si>
  <si>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</si>
  <si>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</si>
  <si>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</si>
  <si>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</si>
  <si>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</si>
  <si>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</si>
  <si>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</si>
  <si>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</si>
  <si>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</si>
  <si>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</si>
  <si>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</si>
  <si>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</si>
  <si>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</si>
  <si>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</si>
  <si>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</si>
  <si>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</si>
  <si>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</si>
  <si>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</si>
  <si>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</si>
  <si>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</si>
  <si>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</si>
  <si>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</si>
  <si>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</si>
  <si>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</si>
  <si>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</si>
  <si>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</si>
  <si>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</si>
  <si>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</si>
  <si>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</si>
  <si>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</si>
  <si>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</si>
  <si>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</si>
  <si>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</si>
  <si>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</si>
  <si>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</si>
  <si>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</si>
  <si>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</si>
  <si>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</si>
  <si>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</si>
  <si>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</si>
  <si>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</si>
  <si>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</si>
  <si>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</si>
  <si>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</si>
  <si>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</si>
  <si>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</si>
  <si>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</si>
  <si>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</si>
  <si>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</si>
  <si>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</si>
  <si>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</si>
  <si>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</si>
  <si>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</si>
  <si>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</si>
  <si>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</si>
  <si>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</si>
  <si>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</si>
  <si>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</si>
  <si>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</si>
  <si>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</si>
  <si>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</si>
  <si>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</si>
  <si>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</si>
  <si>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</si>
  <si>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</si>
  <si>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</si>
  <si>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</si>
  <si>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</si>
  <si>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</si>
  <si>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</si>
  <si>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</si>
  <si>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</si>
  <si>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</si>
  <si>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</si>
  <si>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</si>
  <si>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</si>
  <si>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</si>
  <si>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</si>
  <si>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</si>
  <si>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</si>
  <si>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</si>
  <si>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</si>
  <si>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</si>
  <si>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</si>
  <si>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</si>
  <si>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</si>
  <si>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</si>
  <si>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</si>
  <si>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</si>
  <si>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</si>
  <si>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</si>
  <si>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</si>
  <si>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</si>
  <si>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</si>
  <si>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</si>
  <si>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</si>
  <si>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</si>
  <si>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</si>
  <si>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</si>
  <si>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</si>
  <si>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</si>
  <si>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</si>
  <si>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</si>
  <si>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</si>
  <si>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</si>
  <si>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</si>
  <si>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</si>
  <si>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</si>
  <si>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</si>
  <si>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</si>
  <si>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</si>
  <si>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</si>
  <si>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</si>
  <si>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</si>
  <si>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</si>
  <si>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</si>
  <si>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</si>
  <si>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</si>
  <si>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</si>
  <si>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</si>
  <si>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</si>
  <si>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</si>
  <si>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</si>
  <si>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</si>
  <si>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</si>
  <si>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</si>
  <si>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</si>
  <si>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</si>
  <si>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</si>
  <si>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</si>
  <si>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</si>
  <si>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</si>
  <si>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</si>
  <si>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</si>
  <si>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</si>
  <si>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</si>
  <si>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</si>
  <si>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</si>
  <si>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</si>
  <si>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</si>
  <si>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</si>
  <si>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</si>
  <si>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</si>
  <si>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</si>
  <si>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</si>
  <si>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</si>
  <si>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</si>
  <si>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</si>
  <si>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 xml:space="preserve"> Composition of primary capital for the period 2014-2017</t>
  </si>
  <si>
    <t>Composition of primary capital for the period 2014-2017</t>
  </si>
  <si>
    <t xml:space="preserve"> </t>
  </si>
  <si>
    <r>
      <rPr>
        <b/>
        <sz val="9"/>
        <rFont val="Calibri"/>
        <family val="2"/>
      </rPr>
      <t>SpareBank 1 SR-Bank ASA owns 24.2% of BN Bank ASA</t>
    </r>
  </si>
  <si>
    <r>
      <rPr>
        <b/>
        <sz val="9"/>
        <rFont val="Calibri"/>
        <family val="2"/>
      </rPr>
      <t>SpareBank 1 SR-Bank ASA owns 21.4% of SpareBank 1 Boligkreditt</t>
    </r>
  </si>
  <si>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</si>
  <si>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</si>
  <si>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</si>
  <si>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</si>
  <si>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</si>
  <si>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</si>
  <si>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</si>
  <si>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NO0010566631</t>
    </r>
  </si>
  <si>
    <r>
      <rPr>
        <sz val="9"/>
        <rFont val="Calibri"/>
        <family val="2"/>
      </rPr>
      <t>NO0010713746</t>
    </r>
  </si>
  <si>
    <r>
      <rPr>
        <sz val="9"/>
        <rFont val="Calibri"/>
        <family val="2"/>
      </rPr>
      <t>NO0010665334</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</si>
  <si>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</si>
  <si>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</si>
  <si>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</si>
  <si>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</si>
  <si>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</si>
  <si>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</si>
  <si>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</si>
  <si>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</si>
  <si>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</si>
  <si>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</si>
  <si>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</si>
  <si>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</si>
  <si>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</si>
  <si>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</si>
  <si>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</si>
  <si>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</si>
  <si>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</si>
  <si>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</si>
  <si>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678 million</t>
    </r>
  </si>
  <si>
    <r>
      <rPr>
        <sz val="9"/>
        <rFont val="Calibri"/>
        <family val="2"/>
      </rPr>
      <t>NOK 116 million</t>
    </r>
  </si>
  <si>
    <r>
      <rPr>
        <sz val="9"/>
        <rFont val="Calibri"/>
        <family val="2"/>
      </rPr>
      <t>NOK 499 million</t>
    </r>
  </si>
  <si>
    <r>
      <rPr>
        <sz val="9"/>
        <rFont val="Calibri"/>
        <family val="2"/>
      </rPr>
      <t>NOK 825 million</t>
    </r>
  </si>
  <si>
    <r>
      <rPr>
        <sz val="9"/>
        <rFont val="Calibri"/>
        <family val="2"/>
      </rPr>
      <t>NOK 745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</si>
  <si>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</si>
  <si>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</si>
  <si>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</si>
  <si>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</si>
  <si>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</si>
  <si>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</si>
  <si>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</si>
  <si>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</si>
  <si>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</si>
  <si>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</si>
  <si>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</si>
  <si>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</si>
  <si>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</si>
  <si>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</si>
  <si>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</si>
  <si>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</si>
  <si>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</si>
  <si>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</si>
  <si>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</si>
  <si>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</si>
  <si>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</si>
  <si>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</si>
  <si>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</si>
  <si>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</si>
  <si>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</si>
  <si>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</si>
  <si>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</si>
  <si>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</si>
  <si>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</si>
  <si>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</si>
  <si>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</si>
  <si>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</si>
  <si>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</si>
  <si>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</si>
  <si>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</si>
  <si>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</si>
  <si>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</si>
  <si>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3-month NIBOR</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</si>
  <si>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</si>
  <si>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</si>
  <si>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</si>
  <si>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</si>
  <si>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</si>
  <si>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</si>
  <si>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</si>
  <si>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</si>
  <si>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</si>
  <si>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</si>
  <si>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</si>
  <si>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</si>
  <si>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</si>
  <si>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</si>
  <si>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</si>
  <si>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</si>
  <si>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</si>
  <si>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Ref. point 23</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</si>
  <si>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</si>
  <si>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</si>
  <si>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</si>
  <si>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</si>
  <si>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</si>
  <si>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</si>
  <si>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</si>
  <si>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</si>
  <si>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</si>
  <si>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</si>
  <si>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</si>
  <si>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</si>
  <si>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</si>
  <si>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</si>
  <si>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</si>
  <si>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</si>
  <si>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</si>
  <si>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</si>
  <si>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</si>
  <si>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</si>
  <si>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</si>
  <si>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</si>
  <si>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</si>
  <si>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 xml:space="preserve">Is subordinate to all other debt, provided that bonds with interest will be covered before or equally with other subordinated loans </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</si>
  <si>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</si>
  <si>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</si>
  <si>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</si>
  <si>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</si>
  <si>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</si>
  <si>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</si>
  <si>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</si>
  <si>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</si>
  <si>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</si>
  <si>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</si>
  <si>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</si>
  <si>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</si>
  <si>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</si>
  <si>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</si>
  <si>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</si>
  <si>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</si>
  <si>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</si>
  <si>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</si>
  <si>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</si>
  <si>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Capital ratio figures from and including 30 September 2014 comply with the new requirements stipulated by the Ministry of Finance.</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</si>
  <si>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</si>
  <si>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</si>
  <si>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</si>
  <si>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</si>
  <si>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</si>
  <si>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</si>
  <si>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</si>
  <si>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</si>
  <si>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</si>
  <si>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</si>
  <si>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</si>
  <si>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</si>
  <si>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</si>
  <si>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t>for the group's capital adequacy.</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</si>
  <si>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</si>
  <si>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</si>
  <si>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</si>
  <si>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</si>
  <si>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</si>
  <si>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</si>
  <si>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</si>
  <si>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</si>
  <si>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</si>
  <si>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</si>
  <si>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</si>
  <si>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</si>
  <si>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</si>
  <si>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</si>
  <si>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</si>
  <si>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</si>
  <si>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</si>
  <si>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</si>
  <si>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</si>
  <si>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</si>
  <si>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</si>
  <si>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t>this type of commitment in the table above.</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</si>
  <si>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</si>
  <si>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</si>
  <si>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</si>
  <si>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</si>
  <si>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</si>
  <si>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</si>
  <si>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</si>
  <si>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</si>
  <si>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</si>
  <si>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</si>
  <si>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</si>
  <si>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</si>
  <si>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</si>
  <si>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</si>
  <si>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</si>
  <si>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2013                                                                        Commitment category</t>
  </si>
  <si>
    <t xml:space="preserve">IRB expected losses (EL) compared to actual net recognised losses  </t>
  </si>
  <si>
    <t xml:space="preserve">Total </t>
  </si>
  <si>
    <t>Other financial investments</t>
  </si>
  <si>
    <t>Updated for 1th quarter 2015</t>
  </si>
  <si>
    <t>As at 31/03/2015</t>
  </si>
  <si>
    <t>Regnskapshuset SR AS</t>
  </si>
  <si>
    <t>SR-Boligkreditt AS</t>
  </si>
  <si>
    <t>31/03/2015</t>
  </si>
  <si>
    <r>
      <t xml:space="preserve">Ownership percentage </t>
    </r>
    <r>
      <rPr>
        <b/>
        <vertAlign val="superscript"/>
        <sz val="9"/>
        <rFont val="Calibri"/>
        <family val="2"/>
      </rPr>
      <t>1)</t>
    </r>
    <r>
      <rPr>
        <b/>
        <sz val="9"/>
        <rFont val="Calibri"/>
        <family val="2"/>
      </rPr>
      <t xml:space="preserve">  31/03/2015 </t>
    </r>
  </si>
  <si>
    <r>
      <t xml:space="preserve">Capital requirements </t>
    </r>
    <r>
      <rPr>
        <b/>
        <vertAlign val="superscript"/>
        <sz val="9"/>
        <rFont val="Calibri"/>
        <family val="2"/>
      </rPr>
      <t>2)</t>
    </r>
    <r>
      <rPr>
        <b/>
        <sz val="9"/>
        <rFont val="Calibri"/>
        <family val="2"/>
      </rPr>
      <t xml:space="preserve"> 31/03/2015</t>
    </r>
  </si>
  <si>
    <t>Capital adequacy percentage 31/03/2015</t>
  </si>
  <si>
    <r>
      <t>Capital requirements</t>
    </r>
    <r>
      <rPr>
        <vertAlign val="superscript"/>
        <sz val="9"/>
        <rFont val="Calibri"/>
        <family val="2"/>
      </rPr>
      <t>2)</t>
    </r>
    <r>
      <rPr>
        <sz val="9"/>
        <rFont val="Calibri"/>
        <family val="2"/>
      </rPr>
      <t xml:space="preserve"> 31/12/2014</t>
    </r>
  </si>
  <si>
    <r>
      <t xml:space="preserve">Ownership percentage </t>
    </r>
    <r>
      <rPr>
        <vertAlign val="superscript"/>
        <sz val="9"/>
        <rFont val="Calibri"/>
        <family val="2"/>
      </rPr>
      <t>1)</t>
    </r>
    <r>
      <rPr>
        <sz val="9"/>
        <rFont val="Calibri"/>
        <family val="2"/>
      </rPr>
      <t xml:space="preserve">  31/12/2014 </t>
    </r>
  </si>
  <si>
    <t xml:space="preserve"> 31/03/2015</t>
  </si>
  <si>
    <t>Interim result</t>
  </si>
  <si>
    <t>Deduction in expected losses IRB less loss provisions</t>
  </si>
  <si>
    <t>Interim result not to be included in core (Tier 1) capital</t>
  </si>
  <si>
    <t>Consolidated
31/03/2015</t>
  </si>
  <si>
    <t>NO0010731904</t>
  </si>
  <si>
    <t>Perpetual</t>
  </si>
  <si>
    <t>11.03.2020 
Regulatory call 
Call price 100</t>
  </si>
  <si>
    <t>3.46 (3-month NIBOR + 2.10% )</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</si>
  <si>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</si>
  <si>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</si>
  <si>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</si>
  <si>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</si>
  <si>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</si>
  <si>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4.33 (3-month NIBOR + 3.00%)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</si>
  <si>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</si>
  <si>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</si>
  <si>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</si>
  <si>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</si>
  <si>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</si>
  <si>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</si>
  <si>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</si>
  <si>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5.10 (3-month NIBOR + 3.75%)</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</si>
  <si>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</si>
  <si>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</si>
  <si>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</si>
  <si>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</si>
  <si>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</si>
  <si>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</si>
  <si>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</si>
  <si>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Interrim result</t>
  </si>
  <si>
    <t>1)</t>
  </si>
  <si>
    <t>2) Dividend provisions are based on SpareBank 1 SR-Bank's stake in the companies as of 31.12.2014, but actual dividends will be distributed in the first half of 2015 according to the stake in 2014.</t>
  </si>
  <si>
    <t xml:space="preserve">SpareBank 1 Boligkreditt AS, SpareBank 1 Næringskreditt AS and BN Bank AS. Proportionate consolidation is carried out </t>
  </si>
  <si>
    <t>4.17 (3-month NIBOR + 2.75% until call, 3-month NIBOR + 3.5% if the loan continues)</t>
  </si>
  <si>
    <t xml:space="preserve"> SpareBank 1 SR-Bank ASA Balance sheet after financial statements 31/03/2015</t>
  </si>
  <si>
    <t>SpareBank 1 SR-Bank ASA Balance sheet after capital ratio 31/03/2015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</si>
</sst>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4"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b/>
      <sz val="10"/>
      <name val="Verdana"/>
      <family val="2"/>
    </font>
    <font>
      <sz val="10"/>
      <color rgb="FFFF0000"/>
      <name val="Calibri"/>
      <family val="2"/>
      <scheme val="minor"/>
    </font>
    <font>
      <sz val="9"/>
      <color rgb="FFFF0000"/>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i/>
      <sz val="9"/>
      <color rgb="FFFF0000"/>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7">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3" fillId="0" borderId="0" xfId="0" applyFont="1" applyAlignment="1">
      <alignment horizontal="center"/>
    </xf>
    <xf numFmtId="0" fontId="10" fillId="2" borderId="6" xfId="0" applyFont="1" applyFill="1" applyBorder="1" applyAlignment="1">
      <alignment horizontal="center" vertical="top" wrapText="1"/>
    </xf>
    <xf numFmtId="0" fontId="20"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13" xfId="0" applyFont="1" applyFill="1" applyBorder="1" applyAlignment="1">
      <alignment horizontal="left"/>
    </xf>
    <xf numFmtId="0" fontId="22" fillId="4" borderId="13"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4" fillId="0" borderId="21" xfId="5" applyFont="1" applyFill="1" applyBorder="1">
      <alignment horizontal="left" vertical="top"/>
    </xf>
    <xf numFmtId="0" fontId="30" fillId="5" borderId="0" xfId="0" applyFont="1" applyFill="1" applyAlignment="1">
      <alignment horizontal="left" vertical="center"/>
    </xf>
    <xf numFmtId="0" fontId="28" fillId="5" borderId="0" xfId="0" applyFont="1" applyFill="1" applyAlignment="1">
      <alignment horizontal="right"/>
    </xf>
    <xf numFmtId="0" fontId="31"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32" fillId="0" borderId="0" xfId="0" applyFont="1" applyAlignment="1">
      <alignment horizontal="justify"/>
    </xf>
    <xf numFmtId="0" fontId="33" fillId="0" borderId="0" xfId="0" applyFont="1" applyAlignment="1">
      <alignment horizontal="right" vertical="top"/>
    </xf>
    <xf numFmtId="0" fontId="33" fillId="0" borderId="23" xfId="0" applyFont="1" applyBorder="1" applyAlignment="1">
      <alignment horizontal="right" vertical="top"/>
    </xf>
    <xf numFmtId="0" fontId="33" fillId="0" borderId="23" xfId="0" applyFont="1" applyBorder="1" applyAlignment="1">
      <alignment vertical="top"/>
    </xf>
    <xf numFmtId="0" fontId="34" fillId="0" borderId="0" xfId="0" applyFont="1" applyAlignment="1">
      <alignment vertical="top" wrapText="1"/>
    </xf>
    <xf numFmtId="10" fontId="34" fillId="0" borderId="0" xfId="0" applyNumberFormat="1" applyFont="1" applyAlignment="1">
      <alignment horizontal="right" wrapText="1"/>
    </xf>
    <xf numFmtId="10" fontId="34" fillId="0" borderId="0" xfId="0" applyNumberFormat="1" applyFont="1" applyAlignment="1">
      <alignment horizontal="right" vertical="top" wrapText="1"/>
    </xf>
    <xf numFmtId="0" fontId="33" fillId="0" borderId="0" xfId="0" applyFont="1" applyBorder="1" applyAlignment="1">
      <alignment horizontal="right" vertical="top" wrapText="1"/>
    </xf>
    <xf numFmtId="169" fontId="34" fillId="0" borderId="0" xfId="0" applyNumberFormat="1" applyFont="1" applyBorder="1" applyAlignment="1">
      <alignment vertical="center" wrapText="1"/>
    </xf>
    <xf numFmtId="169" fontId="34" fillId="0" borderId="0" xfId="0" applyNumberFormat="1" applyFont="1" applyAlignment="1">
      <alignment horizontal="right" vertical="center" wrapText="1"/>
    </xf>
    <xf numFmtId="0" fontId="34" fillId="0" borderId="0" xfId="0" applyFont="1" applyAlignment="1">
      <alignment vertical="center" wrapText="1"/>
    </xf>
    <xf numFmtId="169" fontId="34"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3" fillId="0" borderId="0" xfId="12" applyFont="1" applyBorder="1" applyAlignment="1">
      <alignment horizontal="right" vertical="top" wrapText="1"/>
    </xf>
    <xf numFmtId="0" fontId="33" fillId="0" borderId="23" xfId="12" applyFont="1" applyBorder="1" applyAlignment="1">
      <alignment vertical="top"/>
    </xf>
    <xf numFmtId="0" fontId="33" fillId="0" borderId="23" xfId="12" applyFont="1" applyBorder="1" applyAlignment="1">
      <alignment horizontal="right" vertical="top"/>
    </xf>
    <xf numFmtId="0" fontId="34" fillId="0" borderId="0" xfId="12" applyFont="1" applyBorder="1" applyAlignment="1">
      <alignment vertical="center" wrapText="1"/>
    </xf>
    <xf numFmtId="0" fontId="34" fillId="0" borderId="0" xfId="12" applyFont="1" applyAlignment="1">
      <alignment vertical="center" wrapText="1"/>
    </xf>
    <xf numFmtId="10" fontId="34" fillId="0" borderId="0" xfId="16" applyNumberFormat="1" applyFont="1" applyBorder="1" applyAlignment="1">
      <alignment vertical="center" wrapText="1"/>
    </xf>
    <xf numFmtId="10" fontId="34" fillId="0" borderId="0" xfId="16" applyNumberFormat="1" applyFont="1" applyAlignment="1">
      <alignment horizontal="right" vertical="center" wrapText="1"/>
    </xf>
    <xf numFmtId="10" fontId="34"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6" fillId="4" borderId="13" xfId="0" applyFont="1" applyFill="1" applyBorder="1" applyAlignment="1">
      <alignment horizontal="right"/>
    </xf>
    <xf numFmtId="0" fontId="35" fillId="5" borderId="0" xfId="0" applyFont="1" applyFill="1"/>
    <xf numFmtId="0" fontId="23" fillId="5" borderId="0" xfId="0" applyFont="1" applyFill="1"/>
    <xf numFmtId="0" fontId="33"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4" fillId="0" borderId="0" xfId="5" applyFont="1" applyFill="1">
      <alignment horizontal="left" vertical="top"/>
    </xf>
    <xf numFmtId="0" fontId="34"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3" fillId="2" borderId="6" xfId="0" applyFont="1" applyFill="1" applyBorder="1" applyAlignment="1">
      <alignment horizontal="right" wrapText="1"/>
    </xf>
    <xf numFmtId="0" fontId="34" fillId="2" borderId="6" xfId="0" applyFont="1" applyFill="1" applyBorder="1" applyAlignment="1">
      <alignment horizontal="right" wrapText="1"/>
    </xf>
    <xf numFmtId="0" fontId="32" fillId="2" borderId="0" xfId="0" applyFont="1" applyFill="1"/>
    <xf numFmtId="41" fontId="11" fillId="0" borderId="16" xfId="5" applyNumberFormat="1" applyFont="1" applyFill="1" applyBorder="1">
      <alignment horizontal="left" vertical="top"/>
    </xf>
    <xf numFmtId="41" fontId="33" fillId="0" borderId="16" xfId="5" applyNumberFormat="1" applyFont="1" applyFill="1" applyBorder="1">
      <alignment horizontal="left" vertical="top"/>
    </xf>
    <xf numFmtId="0" fontId="34" fillId="0" borderId="0" xfId="0" applyFont="1" applyFill="1"/>
    <xf numFmtId="0" fontId="10" fillId="2" borderId="9" xfId="0" applyFont="1" applyFill="1" applyBorder="1" applyAlignment="1">
      <alignment horizontal="right"/>
    </xf>
    <xf numFmtId="0" fontId="13" fillId="2" borderId="0" xfId="0" applyFont="1" applyFill="1" applyAlignment="1">
      <alignment vertical="top"/>
    </xf>
    <xf numFmtId="173" fontId="11" fillId="2" borderId="1" xfId="0" applyNumberFormat="1" applyFont="1" applyFill="1" applyBorder="1" applyAlignment="1">
      <alignment horizontal="left"/>
    </xf>
    <xf numFmtId="0" fontId="33" fillId="2" borderId="1" xfId="0" applyFont="1" applyFill="1" applyBorder="1" applyAlignment="1">
      <alignment horizontal="right" wrapText="1"/>
    </xf>
    <xf numFmtId="0" fontId="34" fillId="0" borderId="0" xfId="0" applyFont="1" applyFill="1" applyBorder="1" applyAlignment="1">
      <alignment vertical="top"/>
    </xf>
    <xf numFmtId="0" fontId="10" fillId="0" borderId="0" xfId="0" applyFont="1" applyFill="1" applyBorder="1" applyAlignment="1">
      <alignment vertical="top"/>
    </xf>
    <xf numFmtId="0" fontId="34" fillId="2" borderId="0" xfId="12" applyFont="1" applyFill="1"/>
    <xf numFmtId="0" fontId="10" fillId="2" borderId="15" xfId="0" applyFont="1" applyFill="1" applyBorder="1" applyAlignment="1">
      <alignment horizontal="center" wrapText="1"/>
    </xf>
    <xf numFmtId="0" fontId="34" fillId="2" borderId="0" xfId="0" applyFont="1" applyFill="1" applyBorder="1" applyAlignment="1">
      <alignment horizontal="left"/>
    </xf>
    <xf numFmtId="0" fontId="33"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7" fillId="0" borderId="0" xfId="0" applyFont="1" applyAlignment="1">
      <alignment horizontal="left" readingOrder="1"/>
    </xf>
    <xf numFmtId="0" fontId="34"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4" fillId="0" borderId="0" xfId="0" applyFont="1" applyAlignment="1">
      <alignment vertical="center"/>
    </xf>
    <xf numFmtId="0" fontId="11" fillId="3" borderId="21" xfId="0" applyFont="1" applyFill="1" applyBorder="1" applyAlignment="1">
      <alignment wrapText="1"/>
    </xf>
    <xf numFmtId="3" fontId="10" fillId="3" borderId="0" xfId="0" applyNumberFormat="1" applyFont="1" applyFill="1" applyBorder="1" applyAlignment="1" applyProtection="1">
      <alignment horizontal="right"/>
      <protection locked="0"/>
    </xf>
    <xf numFmtId="3" fontId="11" fillId="3" borderId="0" xfId="0" applyNumberFormat="1" applyFont="1" applyFill="1" applyBorder="1" applyAlignment="1" applyProtection="1">
      <alignment horizontal="right"/>
      <protection locked="0"/>
    </xf>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0" fontId="11" fillId="3" borderId="21" xfId="0" applyFont="1" applyFill="1" applyBorder="1"/>
    <xf numFmtId="0" fontId="11" fillId="3" borderId="21" xfId="0" applyFont="1" applyFill="1" applyBorder="1" applyAlignment="1">
      <alignment horizontal="right" wrapText="1"/>
    </xf>
    <xf numFmtId="0" fontId="13" fillId="3" borderId="0" xfId="0" applyFont="1" applyFill="1" applyBorder="1" applyAlignment="1">
      <alignment horizontal="left" wrapText="1" indent="2"/>
    </xf>
    <xf numFmtId="10" fontId="11" fillId="3" borderId="0" xfId="10" applyNumberFormat="1" applyFont="1" applyFill="1" applyBorder="1" applyAlignment="1">
      <alignment horizontal="right"/>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22" xfId="1" applyNumberFormat="1" applyFont="1" applyFill="1" applyBorder="1">
      <alignment horizontal="right" vertical="top"/>
    </xf>
    <xf numFmtId="170" fontId="11" fillId="2" borderId="7" xfId="11" applyNumberFormat="1" applyFont="1" applyFill="1" applyBorder="1"/>
    <xf numFmtId="170" fontId="10" fillId="3" borderId="0" xfId="0" applyNumberFormat="1" applyFont="1" applyFill="1" applyBorder="1"/>
    <xf numFmtId="3" fontId="13" fillId="3" borderId="0" xfId="5" applyNumberFormat="1" applyFont="1" applyFill="1" applyBorder="1">
      <alignment horizontal="left" vertical="top"/>
    </xf>
    <xf numFmtId="0" fontId="13" fillId="3" borderId="0" xfId="0" applyFont="1" applyFill="1" applyBorder="1" applyAlignment="1"/>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170" fontId="11" fillId="3" borderId="21" xfId="11" applyNumberFormat="1" applyFont="1" applyFill="1" applyBorder="1" applyAlignment="1">
      <alignment wrapText="1"/>
    </xf>
    <xf numFmtId="0" fontId="10" fillId="3" borderId="0" xfId="0" applyFont="1" applyFill="1" applyAlignment="1">
      <alignment horizontal="right"/>
    </xf>
    <xf numFmtId="0" fontId="10" fillId="3" borderId="21" xfId="0" applyFont="1" applyFill="1" applyBorder="1" applyAlignment="1">
      <alignment horizontal="left" vertical="top"/>
    </xf>
    <xf numFmtId="0" fontId="11" fillId="3" borderId="21" xfId="0" applyFont="1" applyFill="1" applyBorder="1" applyAlignment="1">
      <alignment horizontal="left"/>
    </xf>
    <xf numFmtId="0" fontId="48" fillId="3" borderId="21" xfId="0" applyFont="1" applyFill="1" applyBorder="1" applyAlignment="1">
      <alignment horizontal="right" vertical="center"/>
    </xf>
    <xf numFmtId="0" fontId="11" fillId="3" borderId="21"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32"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50" fillId="3" borderId="0" xfId="0" applyFont="1" applyFill="1" applyBorder="1" applyAlignment="1"/>
    <xf numFmtId="0" fontId="48" fillId="3" borderId="21"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8" fillId="3" borderId="21" xfId="0" applyFont="1" applyFill="1" applyBorder="1" applyAlignment="1"/>
    <xf numFmtId="0" fontId="13" fillId="3" borderId="21" xfId="0" applyFont="1" applyFill="1" applyBorder="1" applyAlignment="1">
      <alignment horizontal="right"/>
    </xf>
    <xf numFmtId="0" fontId="10" fillId="3" borderId="21" xfId="0" applyFont="1" applyFill="1" applyBorder="1"/>
    <xf numFmtId="0" fontId="10" fillId="3" borderId="21" xfId="0" applyFont="1" applyFill="1" applyBorder="1" applyAlignment="1">
      <alignment horizontal="left" wrapText="1"/>
    </xf>
    <xf numFmtId="0" fontId="10" fillId="3" borderId="21"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21"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32" fillId="3" borderId="0" xfId="0" applyFont="1" applyFill="1" applyBorder="1"/>
    <xf numFmtId="0" fontId="30" fillId="5" borderId="0" xfId="0" applyFont="1" applyFill="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4" fillId="3" borderId="0" xfId="0" applyFont="1" applyFill="1" applyBorder="1"/>
    <xf numFmtId="0" fontId="34" fillId="2" borderId="0" xfId="0" applyFont="1" applyFill="1"/>
    <xf numFmtId="0" fontId="39" fillId="3" borderId="0" xfId="0" applyFont="1" applyFill="1"/>
    <xf numFmtId="166" fontId="42" fillId="2" borderId="0" xfId="4" applyFont="1" applyFill="1" applyBorder="1"/>
    <xf numFmtId="167" fontId="38" fillId="0" borderId="1" xfId="6" applyFont="1" applyFill="1" applyBorder="1" applyAlignment="1">
      <alignment horizontal="right" wrapText="1"/>
    </xf>
    <xf numFmtId="0" fontId="34" fillId="3" borderId="0" xfId="0" applyFont="1" applyFill="1"/>
    <xf numFmtId="0" fontId="42" fillId="2" borderId="0" xfId="0" applyFont="1" applyFill="1" applyBorder="1" applyAlignment="1"/>
    <xf numFmtId="0" fontId="10" fillId="2" borderId="6" xfId="0" applyFont="1" applyFill="1" applyBorder="1" applyAlignment="1">
      <alignment horizontal="right"/>
    </xf>
    <xf numFmtId="0" fontId="32" fillId="2" borderId="0" xfId="0" applyFont="1" applyFill="1" applyBorder="1" applyAlignment="1">
      <alignment horizontal="left"/>
    </xf>
    <xf numFmtId="0" fontId="47" fillId="2" borderId="0" xfId="0" applyFont="1" applyFill="1"/>
    <xf numFmtId="0" fontId="34" fillId="2" borderId="0" xfId="0" applyFont="1" applyFill="1" applyBorder="1" applyAlignment="1">
      <alignment wrapText="1"/>
    </xf>
    <xf numFmtId="0" fontId="10" fillId="3" borderId="0" xfId="0" applyFont="1" applyFill="1"/>
    <xf numFmtId="0" fontId="34" fillId="3" borderId="0" xfId="0" applyFont="1" applyFill="1"/>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4" fillId="3" borderId="0" xfId="0" applyFont="1" applyFill="1" applyAlignment="1">
      <alignment horizontal="right"/>
    </xf>
    <xf numFmtId="0" fontId="34" fillId="3" borderId="0" xfId="0" applyFont="1" applyFill="1" applyAlignment="1">
      <alignment horizontal="right" vertical="top" wrapText="1"/>
    </xf>
    <xf numFmtId="0" fontId="34" fillId="3" borderId="0" xfId="0" applyFont="1" applyFill="1" applyAlignment="1">
      <alignment horizontal="left" wrapText="1"/>
    </xf>
    <xf numFmtId="0" fontId="34" fillId="3" borderId="0" xfId="0" applyFont="1" applyFill="1" applyBorder="1" applyAlignment="1">
      <alignment horizontal="right"/>
    </xf>
    <xf numFmtId="0" fontId="34" fillId="3" borderId="0" xfId="0" applyFont="1" applyFill="1" applyAlignment="1">
      <alignment horizontal="left" vertical="top" wrapText="1"/>
    </xf>
    <xf numFmtId="0" fontId="34" fillId="3" borderId="0" xfId="0" applyFont="1" applyFill="1" applyAlignment="1">
      <alignment wrapText="1"/>
    </xf>
    <xf numFmtId="0" fontId="10" fillId="0" borderId="0" xfId="0" applyFont="1" applyFill="1" applyAlignment="1">
      <alignment horizontal="right"/>
    </xf>
    <xf numFmtId="0" fontId="51" fillId="3" borderId="21" xfId="0" applyFont="1" applyFill="1" applyBorder="1"/>
    <xf numFmtId="0" fontId="33" fillId="3" borderId="0" xfId="0" applyFont="1" applyFill="1" applyBorder="1" applyAlignment="1">
      <alignment horizontal="right" wrapText="1"/>
    </xf>
    <xf numFmtId="0" fontId="52" fillId="3" borderId="0" xfId="0" applyFont="1" applyFill="1" applyBorder="1"/>
    <xf numFmtId="3" fontId="53" fillId="3" borderId="0" xfId="0" applyNumberFormat="1" applyFont="1" applyFill="1" applyBorder="1" applyAlignment="1" applyProtection="1">
      <alignment horizontal="right"/>
      <protection locked="0"/>
    </xf>
    <xf numFmtId="0" fontId="51" fillId="3" borderId="21" xfId="0" applyFont="1" applyFill="1" applyBorder="1" applyAlignment="1">
      <alignment horizontal="right" wrapText="1"/>
    </xf>
    <xf numFmtId="170" fontId="53" fillId="3" borderId="0" xfId="11" applyNumberFormat="1" applyFont="1" applyFill="1" applyBorder="1" applyAlignment="1" applyProtection="1">
      <alignment horizontal="right"/>
      <protection locked="0"/>
    </xf>
    <xf numFmtId="49" fontId="11" fillId="2" borderId="0" xfId="0" applyNumberFormat="1" applyFont="1" applyFill="1" applyBorder="1" applyAlignment="1">
      <alignment horizontal="center"/>
    </xf>
    <xf numFmtId="49" fontId="27" fillId="0" borderId="0" xfId="0" applyNumberFormat="1" applyFont="1" applyAlignment="1">
      <alignment horizontal="center"/>
    </xf>
    <xf numFmtId="49" fontId="10" fillId="2" borderId="0" xfId="0" applyNumberFormat="1" applyFont="1" applyFill="1" applyBorder="1" applyAlignment="1">
      <alignment horizontal="center"/>
    </xf>
    <xf numFmtId="49" fontId="0" fillId="0" borderId="0" xfId="0" applyNumberFormat="1" applyAlignment="1">
      <alignment horizontal="center"/>
    </xf>
    <xf numFmtId="0" fontId="34"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4"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32" fillId="2" borderId="0" xfId="0" applyFont="1" applyFill="1" applyAlignment="1">
      <alignment horizontal="left" vertical="top" wrapText="1"/>
    </xf>
    <xf numFmtId="0" fontId="13" fillId="2" borderId="0" xfId="0" applyFont="1" applyFill="1" applyAlignment="1">
      <alignment horizontal="left" vertical="top" wrapText="1"/>
    </xf>
    <xf numFmtId="0" fontId="32"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3" fillId="0" borderId="0" xfId="0" applyFont="1" applyAlignment="1">
      <alignment wrapText="1"/>
    </xf>
    <xf numFmtId="0" fontId="33"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9" fillId="2" borderId="0" xfId="0" applyFont="1" applyFill="1" applyBorder="1" applyAlignment="1">
      <alignment horizontal="left" vertical="top" wrapText="1"/>
    </xf>
    <xf numFmtId="0" fontId="29"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24"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4"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4"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11"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tabSelected="1" workbookViewId="0">
      <selection activeCell="B3" sqref="B3"/>
    </sheetView>
  </sheetViews>
  <sheetFormatPr baseColWidth="10" defaultColWidth="11" defaultRowHeight="12.75" x14ac:dyDescent="0.2"/>
  <cols>
    <col min="1" max="1" width="9.625" style="306" customWidth="1"/>
    <col min="2" max="2" width="137" style="306" customWidth="1"/>
    <col min="3" max="3" width="17.25" style="306" customWidth="1"/>
    <col min="4" max="4" width="18.875" style="306" customWidth="1"/>
    <col min="5" max="5" width="20.625" style="306" customWidth="1"/>
    <col min="6" max="16384" width="11" style="306"/>
  </cols>
  <sheetData>
    <row r="1" spans="1:5" ht="23.25" x14ac:dyDescent="0.35">
      <c r="A1" s="298" t="s">
        <v>679</v>
      </c>
      <c r="B1" s="299"/>
      <c r="C1" s="299"/>
      <c r="D1" s="299"/>
      <c r="E1" s="481" t="s">
        <v>1224</v>
      </c>
    </row>
    <row r="2" spans="1:5" x14ac:dyDescent="0.2">
      <c r="A2" s="300" t="s">
        <v>680</v>
      </c>
      <c r="B2" s="301" t="s">
        <v>681</v>
      </c>
      <c r="C2" s="302" t="s">
        <v>682</v>
      </c>
      <c r="D2" s="302" t="s">
        <v>683</v>
      </c>
      <c r="E2" s="302"/>
    </row>
    <row r="3" spans="1:5" ht="15" x14ac:dyDescent="0.25">
      <c r="A3" s="307"/>
      <c r="B3" s="304"/>
      <c r="C3" s="308"/>
      <c r="D3" s="308"/>
      <c r="E3" s="308"/>
    </row>
    <row r="4" spans="1:5" x14ac:dyDescent="0.2">
      <c r="A4" s="309">
        <v>1</v>
      </c>
      <c r="B4" s="310" t="s">
        <v>684</v>
      </c>
      <c r="C4" s="309">
        <v>33</v>
      </c>
      <c r="D4" s="309" t="s">
        <v>685</v>
      </c>
      <c r="E4" s="309"/>
    </row>
    <row r="5" spans="1:5" x14ac:dyDescent="0.2">
      <c r="A5" s="305">
        <v>2</v>
      </c>
      <c r="B5" s="304" t="s">
        <v>686</v>
      </c>
      <c r="C5" s="305">
        <v>34</v>
      </c>
      <c r="D5" s="305" t="s">
        <v>687</v>
      </c>
      <c r="E5" s="305"/>
    </row>
    <row r="6" spans="1:5" x14ac:dyDescent="0.2">
      <c r="A6" s="309">
        <v>3</v>
      </c>
      <c r="B6" s="310" t="s">
        <v>688</v>
      </c>
      <c r="C6" s="309">
        <v>35</v>
      </c>
      <c r="D6" s="309" t="s">
        <v>689</v>
      </c>
      <c r="E6" s="309"/>
    </row>
    <row r="7" spans="1:5" x14ac:dyDescent="0.2">
      <c r="A7" s="305">
        <v>4</v>
      </c>
      <c r="B7" s="304" t="s">
        <v>690</v>
      </c>
      <c r="C7" s="305">
        <v>36</v>
      </c>
      <c r="D7" s="305" t="s">
        <v>691</v>
      </c>
      <c r="E7" s="305"/>
    </row>
    <row r="8" spans="1:5" x14ac:dyDescent="0.2">
      <c r="A8" s="309">
        <v>5</v>
      </c>
      <c r="B8" s="310" t="s">
        <v>692</v>
      </c>
      <c r="C8" s="309">
        <v>38</v>
      </c>
      <c r="D8" s="309" t="s">
        <v>693</v>
      </c>
      <c r="E8" s="309"/>
    </row>
    <row r="9" spans="1:5" x14ac:dyDescent="0.2">
      <c r="A9" s="305">
        <v>6</v>
      </c>
      <c r="B9" s="304" t="s">
        <v>694</v>
      </c>
      <c r="C9" s="305">
        <v>51</v>
      </c>
      <c r="D9" s="305" t="s">
        <v>695</v>
      </c>
      <c r="E9" s="305"/>
    </row>
    <row r="10" spans="1:5" x14ac:dyDescent="0.2">
      <c r="A10" s="309">
        <v>7</v>
      </c>
      <c r="B10" s="310" t="s">
        <v>696</v>
      </c>
      <c r="C10" s="309">
        <v>54</v>
      </c>
      <c r="D10" s="309" t="s">
        <v>697</v>
      </c>
      <c r="E10" s="309"/>
    </row>
    <row r="11" spans="1:5" x14ac:dyDescent="0.2">
      <c r="A11" s="305">
        <v>8</v>
      </c>
      <c r="B11" s="304" t="s">
        <v>698</v>
      </c>
      <c r="C11" s="305">
        <v>37</v>
      </c>
      <c r="D11" s="305" t="s">
        <v>699</v>
      </c>
      <c r="E11" s="305"/>
    </row>
    <row r="12" spans="1:5" x14ac:dyDescent="0.2">
      <c r="A12" s="309">
        <v>9</v>
      </c>
      <c r="B12" s="310" t="s">
        <v>700</v>
      </c>
      <c r="C12" s="309">
        <v>39</v>
      </c>
      <c r="D12" s="309" t="s">
        <v>701</v>
      </c>
      <c r="E12" s="309"/>
    </row>
    <row r="13" spans="1:5" x14ac:dyDescent="0.2">
      <c r="A13" s="305">
        <v>10</v>
      </c>
      <c r="B13" s="311" t="s">
        <v>702</v>
      </c>
      <c r="C13" s="305">
        <v>39</v>
      </c>
      <c r="D13" s="305" t="s">
        <v>703</v>
      </c>
      <c r="E13" s="305"/>
    </row>
    <row r="14" spans="1:5" x14ac:dyDescent="0.2">
      <c r="A14" s="309">
        <v>11</v>
      </c>
      <c r="B14" s="310" t="s">
        <v>704</v>
      </c>
      <c r="C14" s="309">
        <v>40</v>
      </c>
      <c r="D14" s="309" t="s">
        <v>705</v>
      </c>
      <c r="E14" s="309"/>
    </row>
    <row r="15" spans="1:5" x14ac:dyDescent="0.2">
      <c r="A15" s="305">
        <v>12</v>
      </c>
      <c r="B15" s="304" t="s">
        <v>706</v>
      </c>
      <c r="C15" s="305">
        <v>40</v>
      </c>
      <c r="D15" s="305" t="s">
        <v>707</v>
      </c>
      <c r="E15" s="305"/>
    </row>
    <row r="16" spans="1:5" x14ac:dyDescent="0.2">
      <c r="A16" s="309">
        <v>13</v>
      </c>
      <c r="B16" s="310" t="s">
        <v>708</v>
      </c>
      <c r="C16" s="309">
        <v>41</v>
      </c>
      <c r="D16" s="309" t="s">
        <v>709</v>
      </c>
      <c r="E16" s="309"/>
    </row>
    <row r="17" spans="1:5" x14ac:dyDescent="0.2">
      <c r="A17" s="305">
        <v>14</v>
      </c>
      <c r="B17" s="304" t="s">
        <v>710</v>
      </c>
      <c r="C17" s="305">
        <v>42</v>
      </c>
      <c r="D17" s="305" t="s">
        <v>711</v>
      </c>
      <c r="E17" s="305"/>
    </row>
    <row r="18" spans="1:5" x14ac:dyDescent="0.2">
      <c r="A18" s="309">
        <v>15</v>
      </c>
      <c r="B18" s="310" t="s">
        <v>712</v>
      </c>
      <c r="C18" s="309">
        <v>42</v>
      </c>
      <c r="D18" s="309" t="s">
        <v>713</v>
      </c>
      <c r="E18" s="309"/>
    </row>
    <row r="19" spans="1:5" x14ac:dyDescent="0.2">
      <c r="A19" s="305">
        <v>16</v>
      </c>
      <c r="B19" s="304" t="s">
        <v>714</v>
      </c>
      <c r="C19" s="305">
        <v>43</v>
      </c>
      <c r="D19" s="305" t="s">
        <v>715</v>
      </c>
      <c r="E19" s="305"/>
    </row>
    <row r="20" spans="1:5" x14ac:dyDescent="0.2">
      <c r="A20" s="309">
        <v>17</v>
      </c>
      <c r="B20" s="310" t="s">
        <v>716</v>
      </c>
      <c r="C20" s="309">
        <v>44</v>
      </c>
      <c r="D20" s="309" t="s">
        <v>717</v>
      </c>
      <c r="E20" s="309"/>
    </row>
    <row r="21" spans="1:5" x14ac:dyDescent="0.2">
      <c r="A21" s="305">
        <v>18</v>
      </c>
      <c r="B21" s="505" t="s">
        <v>718</v>
      </c>
      <c r="C21" s="305">
        <v>47</v>
      </c>
      <c r="D21" s="305" t="s">
        <v>719</v>
      </c>
      <c r="E21" s="305"/>
    </row>
    <row r="22" spans="1:5" x14ac:dyDescent="0.2">
      <c r="A22" s="309">
        <v>19</v>
      </c>
      <c r="B22" s="479" t="s">
        <v>720</v>
      </c>
      <c r="C22" s="309">
        <v>47</v>
      </c>
      <c r="D22" s="309" t="s">
        <v>721</v>
      </c>
      <c r="E22" s="309"/>
    </row>
    <row r="23" spans="1:5" x14ac:dyDescent="0.2">
      <c r="A23" s="480">
        <v>20</v>
      </c>
      <c r="B23" s="482" t="s">
        <v>722</v>
      </c>
      <c r="C23" s="480">
        <v>48</v>
      </c>
      <c r="D23" s="305" t="s">
        <v>723</v>
      </c>
      <c r="E23" s="480"/>
    </row>
    <row r="24" spans="1:5" x14ac:dyDescent="0.2">
      <c r="A24" s="309">
        <v>21</v>
      </c>
      <c r="B24" s="483" t="s">
        <v>724</v>
      </c>
      <c r="C24" s="309">
        <v>49</v>
      </c>
      <c r="D24" s="309" t="s">
        <v>725</v>
      </c>
      <c r="E24" s="309"/>
    </row>
    <row r="25" spans="1:5" x14ac:dyDescent="0.2">
      <c r="A25" s="305">
        <v>22</v>
      </c>
      <c r="B25" s="304" t="s">
        <v>726</v>
      </c>
      <c r="C25" s="305">
        <v>49</v>
      </c>
      <c r="D25" s="305" t="s">
        <v>727</v>
      </c>
      <c r="E25" s="305"/>
    </row>
    <row r="26" spans="1:5" x14ac:dyDescent="0.2">
      <c r="A26" s="309">
        <v>23</v>
      </c>
      <c r="B26" s="310" t="s">
        <v>728</v>
      </c>
      <c r="C26" s="309">
        <v>50</v>
      </c>
      <c r="D26" s="309" t="s">
        <v>729</v>
      </c>
      <c r="E26" s="309"/>
    </row>
    <row r="27" spans="1:5" x14ac:dyDescent="0.2">
      <c r="A27" s="305">
        <v>24</v>
      </c>
      <c r="B27" s="304" t="s">
        <v>730</v>
      </c>
      <c r="C27" s="305">
        <v>51</v>
      </c>
      <c r="D27" s="305" t="s">
        <v>731</v>
      </c>
      <c r="E27" s="305"/>
    </row>
    <row r="28" spans="1:5" x14ac:dyDescent="0.2">
      <c r="A28" s="309">
        <v>25</v>
      </c>
      <c r="B28" s="310" t="s">
        <v>732</v>
      </c>
      <c r="C28" s="309">
        <v>52</v>
      </c>
      <c r="D28" s="309" t="s">
        <v>733</v>
      </c>
      <c r="E28" s="309"/>
    </row>
    <row r="29" spans="1:5" x14ac:dyDescent="0.2">
      <c r="A29" s="305">
        <v>26</v>
      </c>
      <c r="B29" s="304" t="s">
        <v>734</v>
      </c>
      <c r="C29" s="305">
        <v>52</v>
      </c>
      <c r="D29" s="305" t="s">
        <v>735</v>
      </c>
      <c r="E29" s="308"/>
    </row>
    <row r="30" spans="1:5" x14ac:dyDescent="0.2">
      <c r="A30" s="309">
        <v>27</v>
      </c>
      <c r="B30" s="310" t="s">
        <v>736</v>
      </c>
      <c r="C30" s="309">
        <v>52</v>
      </c>
      <c r="D30" s="309" t="s">
        <v>737</v>
      </c>
      <c r="E30" s="309"/>
    </row>
    <row r="31" spans="1:5" x14ac:dyDescent="0.2">
      <c r="A31" s="305">
        <v>28</v>
      </c>
      <c r="B31" s="304" t="s">
        <v>738</v>
      </c>
      <c r="C31" s="305">
        <v>53</v>
      </c>
      <c r="D31" s="305" t="s">
        <v>739</v>
      </c>
      <c r="E31" s="308"/>
    </row>
    <row r="32" spans="1:5" ht="12.75" customHeight="1" x14ac:dyDescent="0.2">
      <c r="A32" s="444"/>
      <c r="B32" s="591" t="s">
        <v>1180</v>
      </c>
      <c r="C32" s="309"/>
      <c r="D32" s="312"/>
      <c r="E32" s="309"/>
    </row>
    <row r="33" spans="1:5" x14ac:dyDescent="0.2">
      <c r="A33" s="306">
        <v>29</v>
      </c>
      <c r="B33" s="304" t="s">
        <v>1152</v>
      </c>
      <c r="D33" s="305" t="s">
        <v>740</v>
      </c>
    </row>
    <row r="34" spans="1:5" x14ac:dyDescent="0.2">
      <c r="A34" s="309">
        <v>30</v>
      </c>
      <c r="B34" s="310" t="s">
        <v>1032</v>
      </c>
      <c r="C34" s="309"/>
      <c r="D34" s="309" t="s">
        <v>741</v>
      </c>
      <c r="E34" s="309"/>
    </row>
    <row r="35" spans="1:5" x14ac:dyDescent="0.2">
      <c r="A35" s="306">
        <v>31</v>
      </c>
      <c r="B35" s="304" t="s">
        <v>812</v>
      </c>
      <c r="D35" s="305" t="s">
        <v>742</v>
      </c>
    </row>
    <row r="36" spans="1:5" ht="12.75" customHeight="1" x14ac:dyDescent="0.2">
      <c r="A36" s="444"/>
      <c r="B36" s="446" t="s">
        <v>752</v>
      </c>
      <c r="C36" s="309"/>
      <c r="D36" s="445"/>
      <c r="E36" s="309"/>
    </row>
    <row r="37" spans="1:5" x14ac:dyDescent="0.2">
      <c r="A37" s="306">
        <v>32</v>
      </c>
      <c r="B37" s="306" t="s">
        <v>751</v>
      </c>
      <c r="D37" s="305" t="s">
        <v>743</v>
      </c>
    </row>
    <row r="38" spans="1:5" x14ac:dyDescent="0.2">
      <c r="B38" s="518"/>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16" sqref="A16"/>
    </sheetView>
  </sheetViews>
  <sheetFormatPr baseColWidth="10" defaultColWidth="11" defaultRowHeight="12" x14ac:dyDescent="0.2"/>
  <cols>
    <col min="1" max="1" width="24.5" style="342" customWidth="1"/>
    <col min="2" max="2" width="14.25" style="342" customWidth="1"/>
    <col min="3" max="3" width="12.875" style="342" customWidth="1"/>
    <col min="4" max="4" width="11.5" style="342" customWidth="1"/>
    <col min="5" max="5" width="10.375" style="342" customWidth="1"/>
    <col min="6" max="6" width="10.375" style="17" customWidth="1"/>
    <col min="7" max="16384" width="11" style="17"/>
  </cols>
  <sheetData>
    <row r="1" spans="1:11" x14ac:dyDescent="0.2">
      <c r="A1" s="601" t="s">
        <v>1192</v>
      </c>
      <c r="B1" s="86"/>
    </row>
    <row r="2" spans="1:11" x14ac:dyDescent="0.2">
      <c r="A2" s="82" t="s">
        <v>485</v>
      </c>
      <c r="B2" s="86"/>
      <c r="H2" s="303"/>
      <c r="I2" s="303"/>
      <c r="J2" s="303"/>
      <c r="K2" s="303"/>
    </row>
    <row r="3" spans="1:11" x14ac:dyDescent="0.2">
      <c r="A3" s="91"/>
      <c r="B3" s="86"/>
      <c r="H3" s="303"/>
      <c r="I3" s="303"/>
      <c r="J3" s="303"/>
      <c r="K3" s="303"/>
    </row>
    <row r="4" spans="1:11" ht="12.75" thickBot="1" x14ac:dyDescent="0.25">
      <c r="A4" s="420">
        <v>2014</v>
      </c>
      <c r="B4" s="381" t="s">
        <v>486</v>
      </c>
      <c r="C4" s="167" t="s">
        <v>487</v>
      </c>
      <c r="D4" s="167" t="s">
        <v>488</v>
      </c>
      <c r="E4" s="167" t="s">
        <v>489</v>
      </c>
      <c r="F4" s="75"/>
      <c r="H4" s="303"/>
      <c r="I4" s="303"/>
      <c r="J4" s="303"/>
      <c r="K4" s="303"/>
    </row>
    <row r="5" spans="1:11" x14ac:dyDescent="0.2">
      <c r="A5" s="86" t="s">
        <v>490</v>
      </c>
      <c r="B5" s="168">
        <v>103117</v>
      </c>
      <c r="C5" s="168">
        <v>12980.276507555431</v>
      </c>
      <c r="D5" s="168">
        <v>9377.516191215931</v>
      </c>
      <c r="E5" s="168">
        <f>SUM(B5:D5)</f>
        <v>125474.79269877137</v>
      </c>
      <c r="F5" s="168"/>
    </row>
    <row r="6" spans="1:11" x14ac:dyDescent="0.2">
      <c r="A6" s="86" t="s">
        <v>491</v>
      </c>
      <c r="B6" s="168">
        <v>13102</v>
      </c>
      <c r="C6" s="168">
        <v>1649.2681400932072</v>
      </c>
      <c r="D6" s="168">
        <v>1191.5030221720097</v>
      </c>
      <c r="E6" s="168">
        <f t="shared" ref="E6:E8" si="0">SUM(B6:D6)</f>
        <v>15942.771162265217</v>
      </c>
      <c r="F6" s="168"/>
    </row>
    <row r="7" spans="1:11" x14ac:dyDescent="0.2">
      <c r="A7" s="15" t="s">
        <v>492</v>
      </c>
      <c r="B7" s="168">
        <v>19683</v>
      </c>
      <c r="C7" s="168">
        <v>2477.6785835333994</v>
      </c>
      <c r="D7" s="168">
        <v>1789.9827496116368</v>
      </c>
      <c r="E7" s="168">
        <f t="shared" si="0"/>
        <v>23950.661333145039</v>
      </c>
      <c r="F7" s="168"/>
    </row>
    <row r="8" spans="1:11" x14ac:dyDescent="0.2">
      <c r="A8" s="15" t="s">
        <v>493</v>
      </c>
      <c r="B8" s="168">
        <v>5718</v>
      </c>
      <c r="C8" s="168">
        <f>252+468</f>
        <v>720</v>
      </c>
      <c r="D8" s="168">
        <f>182+338</f>
        <v>520</v>
      </c>
      <c r="E8" s="168">
        <f t="shared" si="0"/>
        <v>6958</v>
      </c>
      <c r="F8" s="168"/>
    </row>
    <row r="9" spans="1:11" x14ac:dyDescent="0.2">
      <c r="A9" s="100" t="s">
        <v>494</v>
      </c>
      <c r="B9" s="169">
        <f>SUM(B5:B8)</f>
        <v>141620</v>
      </c>
      <c r="C9" s="169">
        <f>SUM(C5:C8)</f>
        <v>17827.223231182037</v>
      </c>
      <c r="D9" s="169">
        <f>SUM(D5:D8)</f>
        <v>12879.001962999577</v>
      </c>
      <c r="E9" s="169">
        <f>SUM(E5:E8)</f>
        <v>172326.22519418164</v>
      </c>
      <c r="F9" s="168"/>
      <c r="I9" s="23"/>
    </row>
    <row r="10" spans="1:11" x14ac:dyDescent="0.2">
      <c r="A10" s="393"/>
      <c r="B10" s="393"/>
      <c r="C10" s="393"/>
      <c r="D10" s="393"/>
      <c r="E10" s="393"/>
      <c r="F10" s="15"/>
      <c r="I10" s="23"/>
    </row>
    <row r="11" spans="1:11" x14ac:dyDescent="0.2">
      <c r="A11" s="393"/>
      <c r="B11" s="393"/>
      <c r="C11" s="393"/>
      <c r="D11" s="393"/>
      <c r="E11" s="393"/>
      <c r="F11" s="75"/>
    </row>
    <row r="12" spans="1:11" ht="12.75" thickBot="1" x14ac:dyDescent="0.25">
      <c r="A12" s="420">
        <v>2013</v>
      </c>
      <c r="B12" s="121" t="s">
        <v>1193</v>
      </c>
      <c r="C12" s="602" t="s">
        <v>1194</v>
      </c>
      <c r="D12" s="602" t="s">
        <v>1195</v>
      </c>
      <c r="E12" s="602" t="s">
        <v>1196</v>
      </c>
      <c r="F12" s="99"/>
    </row>
    <row r="13" spans="1:11" x14ac:dyDescent="0.2">
      <c r="A13" s="86" t="s">
        <v>495</v>
      </c>
      <c r="B13" s="99">
        <f>82981.572+1</f>
        <v>82982.572</v>
      </c>
      <c r="C13" s="99">
        <v>9903</v>
      </c>
      <c r="D13" s="99">
        <v>8336</v>
      </c>
      <c r="E13" s="99">
        <f>SUM(B13:D13)</f>
        <v>101221.572</v>
      </c>
      <c r="F13" s="99"/>
      <c r="I13" s="23"/>
    </row>
    <row r="14" spans="1:11" x14ac:dyDescent="0.2">
      <c r="A14" s="86" t="s">
        <v>496</v>
      </c>
      <c r="B14" s="99">
        <v>10757.335999999999</v>
      </c>
      <c r="C14" s="99">
        <v>1222</v>
      </c>
      <c r="D14" s="99">
        <v>1029</v>
      </c>
      <c r="E14" s="99">
        <f t="shared" ref="E14:E16" si="1">SUM(B14:D14)</f>
        <v>13008.335999999999</v>
      </c>
      <c r="F14" s="99"/>
    </row>
    <row r="15" spans="1:11" x14ac:dyDescent="0.2">
      <c r="A15" s="15" t="s">
        <v>497</v>
      </c>
      <c r="B15" s="99">
        <v>16301.68</v>
      </c>
      <c r="C15" s="99">
        <v>1887</v>
      </c>
      <c r="D15" s="99">
        <v>1588</v>
      </c>
      <c r="E15" s="99">
        <f t="shared" si="1"/>
        <v>19776.68</v>
      </c>
      <c r="F15" s="99"/>
    </row>
    <row r="16" spans="1:11" x14ac:dyDescent="0.2">
      <c r="A16" s="15" t="s">
        <v>111</v>
      </c>
      <c r="B16" s="99">
        <f>10232.18-1</f>
        <v>10231.18</v>
      </c>
      <c r="C16" s="99">
        <f>159+502</f>
        <v>661</v>
      </c>
      <c r="D16" s="99">
        <v>556</v>
      </c>
      <c r="E16" s="99">
        <f t="shared" si="1"/>
        <v>11448.18</v>
      </c>
      <c r="F16" s="99"/>
    </row>
    <row r="17" spans="1:14" x14ac:dyDescent="0.2">
      <c r="A17" s="100" t="s">
        <v>498</v>
      </c>
      <c r="B17" s="169">
        <f>SUM(B13:B16)</f>
        <v>120272.76799999998</v>
      </c>
      <c r="C17" s="169">
        <f>SUM(C13:C16)</f>
        <v>13673</v>
      </c>
      <c r="D17" s="169">
        <f>SUM(D13:D16)</f>
        <v>11509</v>
      </c>
      <c r="E17" s="169">
        <f>SUM(E13:E16)</f>
        <v>145454.76799999998</v>
      </c>
      <c r="F17" s="15"/>
    </row>
    <row r="19" spans="1:14" x14ac:dyDescent="0.2">
      <c r="J19" s="171"/>
      <c r="K19" s="172"/>
      <c r="L19" s="303"/>
      <c r="M19" s="303"/>
      <c r="N19" s="303"/>
    </row>
    <row r="20" spans="1:14" x14ac:dyDescent="0.2">
      <c r="K20" s="172"/>
      <c r="L20" s="303"/>
      <c r="M20" s="303"/>
      <c r="N20" s="303"/>
    </row>
    <row r="21" spans="1:14" x14ac:dyDescent="0.2">
      <c r="L21" s="303"/>
      <c r="M21" s="303"/>
      <c r="N21" s="303"/>
    </row>
    <row r="22" spans="1:14" x14ac:dyDescent="0.2">
      <c r="L22" s="172"/>
      <c r="M22" s="303"/>
      <c r="N22" s="172"/>
    </row>
    <row r="23" spans="1:14" x14ac:dyDescent="0.2">
      <c r="L23" s="303"/>
      <c r="M23" s="303"/>
      <c r="N23" s="303"/>
    </row>
    <row r="24" spans="1:14" x14ac:dyDescent="0.2">
      <c r="L24" s="303"/>
      <c r="M24" s="303"/>
      <c r="N24" s="303"/>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12" sqref="A12"/>
    </sheetView>
  </sheetViews>
  <sheetFormatPr baseColWidth="10" defaultColWidth="11" defaultRowHeight="12" x14ac:dyDescent="0.2"/>
  <cols>
    <col min="1" max="1" width="24" style="342" customWidth="1"/>
    <col min="2" max="2" width="22.375" style="342" customWidth="1"/>
    <col min="3" max="3" width="27.875" style="342" customWidth="1"/>
    <col min="4" max="4" width="11" style="17"/>
    <col min="5" max="5" width="15.625" style="17" customWidth="1"/>
    <col min="6" max="16384" width="11" style="17"/>
  </cols>
  <sheetData>
    <row r="1" spans="1:6" ht="42.75" customHeight="1" x14ac:dyDescent="0.2">
      <c r="A1" s="642" t="s">
        <v>409</v>
      </c>
      <c r="B1" s="642"/>
      <c r="C1" s="642"/>
    </row>
    <row r="2" spans="1:6" x14ac:dyDescent="0.2">
      <c r="A2" s="173" t="s">
        <v>410</v>
      </c>
      <c r="B2" s="451"/>
      <c r="C2" s="451"/>
    </row>
    <row r="3" spans="1:6" ht="24.75" thickBot="1" x14ac:dyDescent="0.25">
      <c r="A3" s="420">
        <v>2014</v>
      </c>
      <c r="B3" s="381" t="s">
        <v>411</v>
      </c>
      <c r="C3" s="174" t="s">
        <v>412</v>
      </c>
    </row>
    <row r="4" spans="1:6" ht="13.5" customHeight="1" x14ac:dyDescent="0.2">
      <c r="A4" s="15" t="s">
        <v>413</v>
      </c>
      <c r="B4" s="421">
        <v>87495</v>
      </c>
      <c r="C4" s="421">
        <f>+(B4+B18)/2</f>
        <v>84428</v>
      </c>
    </row>
    <row r="5" spans="1:6" x14ac:dyDescent="0.2">
      <c r="A5" s="15" t="s">
        <v>414</v>
      </c>
      <c r="B5" s="421">
        <v>84831</v>
      </c>
      <c r="C5" s="421">
        <f>+(B5+B19)/2</f>
        <v>74462.5</v>
      </c>
    </row>
    <row r="6" spans="1:6" x14ac:dyDescent="0.2">
      <c r="A6" s="100" t="s">
        <v>415</v>
      </c>
      <c r="B6" s="422">
        <f>SUM(B4:B5)</f>
        <v>172326</v>
      </c>
      <c r="C6" s="422">
        <f>SUM(C4:C5)</f>
        <v>158890.5</v>
      </c>
    </row>
    <row r="7" spans="1:6" x14ac:dyDescent="0.2">
      <c r="A7" s="393" t="s">
        <v>416</v>
      </c>
      <c r="B7" s="176">
        <v>-322</v>
      </c>
      <c r="C7" s="421">
        <f>+(B7+B21)/2</f>
        <v>-384</v>
      </c>
    </row>
    <row r="8" spans="1:6" x14ac:dyDescent="0.2">
      <c r="A8" s="15" t="s">
        <v>417</v>
      </c>
      <c r="B8" s="421">
        <v>-378</v>
      </c>
      <c r="C8" s="421">
        <f>+(B8+B22)/2</f>
        <v>-340</v>
      </c>
    </row>
    <row r="9" spans="1:6" x14ac:dyDescent="0.2">
      <c r="A9" s="15" t="s">
        <v>418</v>
      </c>
      <c r="B9" s="423">
        <v>0</v>
      </c>
      <c r="C9" s="421">
        <f>+(B9+B23)/2</f>
        <v>0</v>
      </c>
    </row>
    <row r="10" spans="1:6" x14ac:dyDescent="0.2">
      <c r="A10" s="100" t="s">
        <v>419</v>
      </c>
      <c r="B10" s="422">
        <f>SUM(B6:B9)</f>
        <v>171626</v>
      </c>
      <c r="C10" s="422">
        <f>SUM(C6:C9)</f>
        <v>158166.5</v>
      </c>
    </row>
    <row r="11" spans="1:6" x14ac:dyDescent="0.2">
      <c r="A11" s="15"/>
      <c r="B11" s="421"/>
      <c r="C11" s="421"/>
      <c r="F11" s="23"/>
    </row>
    <row r="12" spans="1:6" x14ac:dyDescent="0.2">
      <c r="A12" s="15" t="s">
        <v>420</v>
      </c>
      <c r="B12" s="421">
        <v>1610</v>
      </c>
      <c r="C12" s="421">
        <f>+(B12+B26)/2</f>
        <v>1304</v>
      </c>
    </row>
    <row r="13" spans="1:6" x14ac:dyDescent="0.2">
      <c r="A13" s="15" t="s">
        <v>421</v>
      </c>
      <c r="B13" s="421">
        <v>2222</v>
      </c>
      <c r="C13" s="421">
        <f>+(B13+B27)/2</f>
        <v>1737.5</v>
      </c>
    </row>
    <row r="14" spans="1:6" x14ac:dyDescent="0.2">
      <c r="A14" s="100" t="s">
        <v>422</v>
      </c>
      <c r="B14" s="422">
        <f>SUM(B10:B13)</f>
        <v>175458</v>
      </c>
      <c r="C14" s="422">
        <f>SUM(C10:C13)</f>
        <v>161208</v>
      </c>
    </row>
    <row r="15" spans="1:6" x14ac:dyDescent="0.2">
      <c r="A15" s="393"/>
      <c r="B15" s="393"/>
      <c r="C15" s="393"/>
    </row>
    <row r="16" spans="1:6" x14ac:dyDescent="0.2">
      <c r="A16" s="393"/>
      <c r="B16" s="393"/>
      <c r="C16" s="393"/>
    </row>
    <row r="17" spans="1:3" ht="24.75" thickBot="1" x14ac:dyDescent="0.25">
      <c r="A17" s="420">
        <v>2013</v>
      </c>
      <c r="B17" s="381" t="s">
        <v>423</v>
      </c>
      <c r="C17" s="174" t="s">
        <v>424</v>
      </c>
    </row>
    <row r="18" spans="1:3" x14ac:dyDescent="0.2">
      <c r="A18" s="15" t="s">
        <v>425</v>
      </c>
      <c r="B18" s="421">
        <v>81361</v>
      </c>
      <c r="C18" s="421">
        <v>79998</v>
      </c>
    </row>
    <row r="19" spans="1:3" x14ac:dyDescent="0.2">
      <c r="A19" s="15" t="s">
        <v>426</v>
      </c>
      <c r="B19" s="421">
        <v>64094</v>
      </c>
      <c r="C19" s="421">
        <v>60260</v>
      </c>
    </row>
    <row r="20" spans="1:3" x14ac:dyDescent="0.2">
      <c r="A20" s="100" t="s">
        <v>427</v>
      </c>
      <c r="B20" s="422">
        <f>SUM(B18:B19)</f>
        <v>145455</v>
      </c>
      <c r="C20" s="422">
        <f>SUM(C18:C19)</f>
        <v>140258</v>
      </c>
    </row>
    <row r="21" spans="1:3" x14ac:dyDescent="0.2">
      <c r="A21" s="393" t="s">
        <v>428</v>
      </c>
      <c r="B21" s="176">
        <v>-446</v>
      </c>
      <c r="C21" s="421">
        <v>-434.5</v>
      </c>
    </row>
    <row r="22" spans="1:3" x14ac:dyDescent="0.2">
      <c r="A22" s="15" t="s">
        <v>429</v>
      </c>
      <c r="B22" s="421">
        <v>-302</v>
      </c>
      <c r="C22" s="421">
        <v>-317</v>
      </c>
    </row>
    <row r="23" spans="1:3" x14ac:dyDescent="0.2">
      <c r="A23" s="15" t="s">
        <v>430</v>
      </c>
      <c r="B23" s="423">
        <v>0</v>
      </c>
      <c r="C23" s="421">
        <v>-0.5</v>
      </c>
    </row>
    <row r="24" spans="1:3" x14ac:dyDescent="0.2">
      <c r="A24" s="100" t="s">
        <v>431</v>
      </c>
      <c r="B24" s="422">
        <f>SUM(B20:B23)</f>
        <v>144707</v>
      </c>
      <c r="C24" s="422">
        <f>SUM(C20:C23)</f>
        <v>139506</v>
      </c>
    </row>
    <row r="25" spans="1:3" x14ac:dyDescent="0.2">
      <c r="A25" s="15"/>
      <c r="B25" s="421"/>
      <c r="C25" s="421"/>
    </row>
    <row r="26" spans="1:3" x14ac:dyDescent="0.2">
      <c r="A26" s="15" t="s">
        <v>432</v>
      </c>
      <c r="B26" s="421">
        <v>998</v>
      </c>
      <c r="C26" s="421">
        <v>1002.5</v>
      </c>
    </row>
    <row r="27" spans="1:3" x14ac:dyDescent="0.2">
      <c r="A27" s="15" t="s">
        <v>433</v>
      </c>
      <c r="B27" s="421">
        <v>1253</v>
      </c>
      <c r="C27" s="421">
        <v>1170</v>
      </c>
    </row>
    <row r="28" spans="1:3" x14ac:dyDescent="0.2">
      <c r="A28" s="100" t="s">
        <v>434</v>
      </c>
      <c r="B28" s="422">
        <f>SUM(B24:B27)</f>
        <v>146958</v>
      </c>
      <c r="C28" s="422">
        <f>SUM(C24:C27)</f>
        <v>141678.5</v>
      </c>
    </row>
    <row r="38" spans="1:1" x14ac:dyDescent="0.2">
      <c r="A38" s="178"/>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9"/>
  <sheetViews>
    <sheetView zoomScaleNormal="100" workbookViewId="0">
      <selection activeCell="A30" sqref="A30"/>
    </sheetView>
  </sheetViews>
  <sheetFormatPr baseColWidth="10" defaultColWidth="11" defaultRowHeight="12" x14ac:dyDescent="0.2"/>
  <cols>
    <col min="1" max="1" width="33"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1" x14ac:dyDescent="0.2">
      <c r="A1" s="603" t="s">
        <v>1197</v>
      </c>
      <c r="B1" s="346"/>
      <c r="C1" s="351"/>
      <c r="D1" s="346"/>
      <c r="E1" s="346"/>
      <c r="F1" s="97"/>
      <c r="G1" s="97"/>
      <c r="H1" s="342"/>
    </row>
    <row r="2" spans="1:11" s="393" customFormat="1" x14ac:dyDescent="0.2">
      <c r="A2" s="453" t="s">
        <v>211</v>
      </c>
      <c r="B2" s="517"/>
      <c r="C2" s="115"/>
      <c r="D2" s="517"/>
      <c r="E2" s="517"/>
      <c r="F2" s="97"/>
      <c r="G2" s="97"/>
    </row>
    <row r="3" spans="1:11" x14ac:dyDescent="0.2">
      <c r="B3" s="346"/>
      <c r="C3" s="75">
        <v>2014</v>
      </c>
      <c r="D3" s="95"/>
      <c r="E3" s="180"/>
      <c r="F3" s="75">
        <v>2013</v>
      </c>
      <c r="G3" s="95"/>
      <c r="H3" s="180"/>
    </row>
    <row r="4" spans="1:11" ht="36.75" thickBot="1" x14ac:dyDescent="0.25">
      <c r="A4" s="344"/>
      <c r="B4" s="167"/>
      <c r="C4" s="381" t="s">
        <v>212</v>
      </c>
      <c r="D4" s="381" t="s">
        <v>213</v>
      </c>
      <c r="E4" s="181" t="s">
        <v>214</v>
      </c>
      <c r="F4" s="121" t="s">
        <v>215</v>
      </c>
      <c r="G4" s="121" t="s">
        <v>216</v>
      </c>
      <c r="H4" s="499" t="s">
        <v>217</v>
      </c>
      <c r="I4" s="75"/>
      <c r="J4" s="75"/>
    </row>
    <row r="5" spans="1:11" x14ac:dyDescent="0.2">
      <c r="A5" s="393" t="s">
        <v>218</v>
      </c>
      <c r="B5" s="182"/>
      <c r="C5" s="352">
        <v>4458</v>
      </c>
      <c r="D5" s="425">
        <v>2766</v>
      </c>
      <c r="E5" s="389">
        <f>+C5+D5</f>
        <v>7224</v>
      </c>
      <c r="F5" s="354">
        <v>4325.7030000000004</v>
      </c>
      <c r="G5" s="184">
        <v>1888</v>
      </c>
      <c r="H5" s="353">
        <f>+F5+G5</f>
        <v>6213.7030000000004</v>
      </c>
      <c r="I5" s="126"/>
      <c r="J5" s="15"/>
    </row>
    <row r="6" spans="1:11" x14ac:dyDescent="0.2">
      <c r="A6" s="393" t="s">
        <v>219</v>
      </c>
      <c r="B6" s="182"/>
      <c r="C6" s="352">
        <v>596</v>
      </c>
      <c r="D6" s="425">
        <v>271</v>
      </c>
      <c r="E6" s="389">
        <f t="shared" ref="E6:E16" si="0">+C6+D6</f>
        <v>867</v>
      </c>
      <c r="F6" s="354">
        <v>541.37900000000002</v>
      </c>
      <c r="G6" s="184">
        <v>190</v>
      </c>
      <c r="H6" s="353">
        <f t="shared" ref="H6:H17" si="1">+F6+G6</f>
        <v>731.37900000000002</v>
      </c>
      <c r="I6" s="183"/>
    </row>
    <row r="7" spans="1:11" x14ac:dyDescent="0.2">
      <c r="A7" s="393" t="s">
        <v>220</v>
      </c>
      <c r="B7" s="182"/>
      <c r="C7" s="352">
        <v>4341</v>
      </c>
      <c r="D7" s="425">
        <v>700</v>
      </c>
      <c r="E7" s="389">
        <f t="shared" si="0"/>
        <v>5041</v>
      </c>
      <c r="F7" s="354">
        <v>2828.5639999999999</v>
      </c>
      <c r="G7" s="184">
        <v>828</v>
      </c>
      <c r="H7" s="353">
        <f t="shared" si="1"/>
        <v>3656.5639999999999</v>
      </c>
      <c r="I7" s="183"/>
    </row>
    <row r="8" spans="1:11" x14ac:dyDescent="0.2">
      <c r="A8" s="393" t="s">
        <v>221</v>
      </c>
      <c r="B8" s="182"/>
      <c r="C8" s="352">
        <v>2650</v>
      </c>
      <c r="D8" s="425">
        <v>1691</v>
      </c>
      <c r="E8" s="389">
        <f t="shared" si="0"/>
        <v>4341</v>
      </c>
      <c r="F8" s="354">
        <v>3402.5729999999999</v>
      </c>
      <c r="G8" s="184">
        <v>1646</v>
      </c>
      <c r="H8" s="353">
        <f t="shared" si="1"/>
        <v>5048.5730000000003</v>
      </c>
      <c r="I8" s="183"/>
      <c r="K8" s="23"/>
    </row>
    <row r="9" spans="1:11" x14ac:dyDescent="0.2">
      <c r="A9" s="393" t="s">
        <v>222</v>
      </c>
      <c r="B9" s="182"/>
      <c r="C9" s="352">
        <v>3520</v>
      </c>
      <c r="D9" s="425">
        <v>1812</v>
      </c>
      <c r="E9" s="389">
        <f t="shared" si="0"/>
        <v>5332</v>
      </c>
      <c r="F9" s="355">
        <v>3100.395</v>
      </c>
      <c r="G9" s="356">
        <v>972</v>
      </c>
      <c r="H9" s="353">
        <f t="shared" si="1"/>
        <v>4072.395</v>
      </c>
      <c r="I9" s="183"/>
    </row>
    <row r="10" spans="1:11" x14ac:dyDescent="0.2">
      <c r="A10" s="393" t="s">
        <v>223</v>
      </c>
      <c r="B10" s="182"/>
      <c r="C10" s="352">
        <v>2529</v>
      </c>
      <c r="D10" s="425">
        <v>1622</v>
      </c>
      <c r="E10" s="389">
        <f t="shared" si="0"/>
        <v>4151</v>
      </c>
      <c r="F10" s="354">
        <v>2877.1610000000001</v>
      </c>
      <c r="G10" s="184">
        <v>1107</v>
      </c>
      <c r="H10" s="353">
        <f t="shared" si="1"/>
        <v>3984.1610000000001</v>
      </c>
      <c r="I10" s="183"/>
    </row>
    <row r="11" spans="1:11" x14ac:dyDescent="0.2">
      <c r="A11" s="393" t="s">
        <v>224</v>
      </c>
      <c r="B11" s="182"/>
      <c r="C11" s="352">
        <v>8239</v>
      </c>
      <c r="D11" s="425">
        <v>424</v>
      </c>
      <c r="E11" s="389">
        <f t="shared" si="0"/>
        <v>8663</v>
      </c>
      <c r="F11" s="354">
        <v>7296.8710000000001</v>
      </c>
      <c r="G11" s="184">
        <v>1481</v>
      </c>
      <c r="H11" s="353">
        <f t="shared" si="1"/>
        <v>8777.8709999999992</v>
      </c>
      <c r="I11" s="183"/>
    </row>
    <row r="12" spans="1:11" x14ac:dyDescent="0.2">
      <c r="A12" s="393" t="s">
        <v>225</v>
      </c>
      <c r="B12" s="182"/>
      <c r="C12" s="352">
        <v>27164</v>
      </c>
      <c r="D12" s="425">
        <v>9359</v>
      </c>
      <c r="E12" s="389">
        <f t="shared" si="0"/>
        <v>36523</v>
      </c>
      <c r="F12" s="354">
        <v>25740.154999999999</v>
      </c>
      <c r="G12" s="184">
        <v>8367</v>
      </c>
      <c r="H12" s="353">
        <f t="shared" si="1"/>
        <v>34107.154999999999</v>
      </c>
      <c r="I12" s="183"/>
    </row>
    <row r="13" spans="1:11" x14ac:dyDescent="0.2">
      <c r="A13" s="393" t="s">
        <v>226</v>
      </c>
      <c r="B13" s="182"/>
      <c r="C13" s="352">
        <v>7859</v>
      </c>
      <c r="D13" s="425">
        <v>2731</v>
      </c>
      <c r="E13" s="389">
        <f t="shared" si="0"/>
        <v>10590</v>
      </c>
      <c r="F13" s="354">
        <v>7544.7809999999999</v>
      </c>
      <c r="G13" s="124">
        <v>2167</v>
      </c>
      <c r="H13" s="353">
        <f t="shared" si="1"/>
        <v>9711.780999999999</v>
      </c>
      <c r="I13" s="183"/>
    </row>
    <row r="14" spans="1:11" x14ac:dyDescent="0.2">
      <c r="A14" s="15" t="s">
        <v>227</v>
      </c>
      <c r="B14" s="182"/>
      <c r="C14" s="352">
        <v>1877</v>
      </c>
      <c r="D14" s="425">
        <v>2886</v>
      </c>
      <c r="E14" s="389">
        <f t="shared" si="0"/>
        <v>4763</v>
      </c>
      <c r="F14" s="354">
        <v>2277</v>
      </c>
      <c r="G14" s="357">
        <v>2780</v>
      </c>
      <c r="H14" s="353">
        <f t="shared" si="1"/>
        <v>5057</v>
      </c>
      <c r="I14" s="183"/>
    </row>
    <row r="15" spans="1:11" x14ac:dyDescent="0.2">
      <c r="A15" s="15" t="s">
        <v>228</v>
      </c>
      <c r="B15" s="182"/>
      <c r="C15" s="352">
        <v>736</v>
      </c>
      <c r="D15" s="425">
        <v>-736</v>
      </c>
      <c r="E15" s="389">
        <f t="shared" si="0"/>
        <v>0</v>
      </c>
      <c r="F15" s="124">
        <v>490</v>
      </c>
      <c r="G15" s="429">
        <v>-490</v>
      </c>
      <c r="H15" s="353">
        <f t="shared" si="1"/>
        <v>0</v>
      </c>
      <c r="I15" s="183"/>
      <c r="K15" s="303"/>
    </row>
    <row r="16" spans="1:11" x14ac:dyDescent="0.2">
      <c r="A16" s="14" t="s">
        <v>229</v>
      </c>
      <c r="B16" s="185"/>
      <c r="C16" s="364">
        <v>63969</v>
      </c>
      <c r="D16" s="426">
        <v>23526</v>
      </c>
      <c r="E16" s="389">
        <f t="shared" si="0"/>
        <v>87495</v>
      </c>
      <c r="F16" s="355">
        <v>60424.582000000002</v>
      </c>
      <c r="G16" s="187">
        <v>20936</v>
      </c>
      <c r="H16" s="358">
        <f t="shared" si="1"/>
        <v>81360.581999999995</v>
      </c>
      <c r="I16" s="186"/>
      <c r="K16" s="23"/>
    </row>
    <row r="17" spans="1:11" x14ac:dyDescent="0.2">
      <c r="A17" s="188" t="s">
        <v>230</v>
      </c>
      <c r="B17" s="189"/>
      <c r="C17" s="388">
        <v>77650.692999999999</v>
      </c>
      <c r="D17" s="427">
        <v>7180</v>
      </c>
      <c r="E17" s="390">
        <f t="shared" ref="E17" si="2">+C17+D17</f>
        <v>84830.692999999999</v>
      </c>
      <c r="F17" s="359">
        <v>59848.40179127</v>
      </c>
      <c r="G17" s="190">
        <v>4246</v>
      </c>
      <c r="H17" s="360">
        <f t="shared" si="1"/>
        <v>64094.40179127</v>
      </c>
      <c r="I17" s="126"/>
      <c r="K17" s="303"/>
    </row>
    <row r="18" spans="1:11" x14ac:dyDescent="0.2">
      <c r="A18" s="100" t="s">
        <v>231</v>
      </c>
      <c r="B18" s="191"/>
      <c r="C18" s="365">
        <f>SUM(C16:C17)</f>
        <v>141619.693</v>
      </c>
      <c r="D18" s="428">
        <f>SUM(D16:D17)</f>
        <v>30706</v>
      </c>
      <c r="E18" s="361">
        <f>SUM(E16:E17)</f>
        <v>172325.693</v>
      </c>
      <c r="F18" s="362">
        <f>SUM(F16:F17)</f>
        <v>120272.98379127</v>
      </c>
      <c r="G18" s="170">
        <f>+G16+G17</f>
        <v>25182</v>
      </c>
      <c r="H18" s="363">
        <f>+H16+H17</f>
        <v>145454.98379127</v>
      </c>
      <c r="I18" s="168"/>
      <c r="K18" s="303"/>
    </row>
    <row r="23" spans="1:11" x14ac:dyDescent="0.2">
      <c r="H23" s="75"/>
      <c r="I23" s="75"/>
      <c r="K23" s="85"/>
    </row>
    <row r="24" spans="1:11" x14ac:dyDescent="0.2">
      <c r="H24" s="184"/>
      <c r="I24" s="184"/>
    </row>
    <row r="25" spans="1:11" x14ac:dyDescent="0.2">
      <c r="H25" s="184"/>
      <c r="I25" s="184"/>
    </row>
    <row r="26" spans="1:11" x14ac:dyDescent="0.2">
      <c r="H26" s="184"/>
      <c r="I26" s="184"/>
    </row>
    <row r="27" spans="1:11" x14ac:dyDescent="0.2">
      <c r="H27" s="184"/>
      <c r="I27" s="184"/>
    </row>
    <row r="28" spans="1:11" x14ac:dyDescent="0.2">
      <c r="H28" s="184"/>
      <c r="I28" s="184"/>
    </row>
    <row r="29" spans="1:11" x14ac:dyDescent="0.2">
      <c r="H29" s="184"/>
      <c r="I29" s="184"/>
    </row>
    <row r="30" spans="1:11" x14ac:dyDescent="0.2">
      <c r="H30" s="184"/>
      <c r="I30" s="184"/>
    </row>
    <row r="31" spans="1:11" x14ac:dyDescent="0.2">
      <c r="H31" s="184"/>
      <c r="I31" s="184"/>
    </row>
    <row r="32" spans="1:11" x14ac:dyDescent="0.2">
      <c r="H32" s="184"/>
      <c r="I32" s="184"/>
    </row>
    <row r="33" spans="5:10" x14ac:dyDescent="0.2">
      <c r="H33" s="184"/>
      <c r="I33" s="184"/>
    </row>
    <row r="34" spans="5:10" x14ac:dyDescent="0.2">
      <c r="H34" s="184"/>
      <c r="I34" s="184"/>
    </row>
    <row r="35" spans="5:10" x14ac:dyDescent="0.2">
      <c r="H35" s="186"/>
      <c r="I35" s="186"/>
    </row>
    <row r="36" spans="5:10" x14ac:dyDescent="0.2">
      <c r="H36" s="124"/>
      <c r="I36" s="124"/>
    </row>
    <row r="37" spans="5:10" x14ac:dyDescent="0.2">
      <c r="H37" s="168"/>
      <c r="I37" s="168"/>
    </row>
    <row r="47" spans="5:10" x14ac:dyDescent="0.2">
      <c r="E47" s="192"/>
      <c r="F47" s="192"/>
      <c r="G47" s="192"/>
      <c r="H47" s="192"/>
      <c r="I47" s="192"/>
      <c r="J47" s="192"/>
    </row>
    <row r="48" spans="5:10" x14ac:dyDescent="0.2">
      <c r="E48" s="192"/>
      <c r="F48" s="192"/>
      <c r="G48" s="192"/>
      <c r="H48" s="192"/>
      <c r="I48" s="192"/>
      <c r="J48" s="192"/>
    </row>
    <row r="49" spans="1:10" x14ac:dyDescent="0.2">
      <c r="E49" s="192"/>
      <c r="F49" s="192"/>
      <c r="G49" s="192"/>
      <c r="H49" s="192"/>
      <c r="I49" s="192"/>
      <c r="J49" s="192"/>
    </row>
    <row r="50" spans="1:10" x14ac:dyDescent="0.2">
      <c r="E50" s="192"/>
      <c r="F50" s="192"/>
      <c r="G50" s="192"/>
      <c r="H50" s="192"/>
      <c r="I50" s="192"/>
      <c r="J50" s="192"/>
    </row>
    <row r="51" spans="1:10" x14ac:dyDescent="0.2">
      <c r="E51" s="192"/>
      <c r="F51" s="192"/>
      <c r="G51" s="192"/>
      <c r="H51" s="192"/>
      <c r="I51" s="192"/>
      <c r="J51" s="192"/>
    </row>
    <row r="52" spans="1:10" x14ac:dyDescent="0.2">
      <c r="E52" s="192"/>
      <c r="F52" s="192"/>
      <c r="G52" s="192"/>
      <c r="H52" s="192"/>
      <c r="I52" s="192"/>
      <c r="J52" s="192"/>
    </row>
    <row r="53" spans="1:10" x14ac:dyDescent="0.2">
      <c r="E53" s="192"/>
      <c r="F53" s="192"/>
      <c r="G53" s="192"/>
      <c r="H53" s="192"/>
      <c r="I53" s="192"/>
      <c r="J53" s="192"/>
    </row>
    <row r="54" spans="1:10" x14ac:dyDescent="0.2">
      <c r="E54" s="192"/>
      <c r="F54" s="192"/>
      <c r="G54" s="192"/>
      <c r="H54" s="192"/>
      <c r="I54" s="192"/>
      <c r="J54" s="192"/>
    </row>
    <row r="55" spans="1:10" x14ac:dyDescent="0.2">
      <c r="E55" s="192"/>
      <c r="F55" s="192"/>
      <c r="G55" s="192"/>
      <c r="H55" s="192"/>
      <c r="I55" s="192"/>
      <c r="J55" s="192"/>
    </row>
    <row r="56" spans="1:10" x14ac:dyDescent="0.2">
      <c r="A56" s="15"/>
      <c r="E56" s="192"/>
      <c r="F56" s="192"/>
      <c r="G56" s="192"/>
      <c r="H56" s="192"/>
      <c r="I56" s="192"/>
      <c r="J56" s="192"/>
    </row>
    <row r="57" spans="1:10" x14ac:dyDescent="0.2">
      <c r="A57" s="15"/>
      <c r="E57" s="192"/>
      <c r="F57" s="192"/>
      <c r="G57" s="192"/>
      <c r="H57" s="192"/>
      <c r="I57" s="192"/>
      <c r="J57" s="192"/>
    </row>
    <row r="58" spans="1:10" x14ac:dyDescent="0.2">
      <c r="A58" s="193"/>
      <c r="E58" s="192"/>
      <c r="F58" s="192"/>
      <c r="G58" s="192"/>
      <c r="H58" s="192"/>
      <c r="I58" s="192"/>
      <c r="J58" s="192"/>
    </row>
    <row r="59" spans="1:10" x14ac:dyDescent="0.2">
      <c r="A59" s="194"/>
      <c r="E59" s="192"/>
      <c r="F59" s="192"/>
      <c r="G59" s="192"/>
      <c r="H59" s="192"/>
      <c r="I59" s="192"/>
      <c r="J59" s="192"/>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C18:D18 F1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10" sqref="A10"/>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603" t="s">
        <v>1198</v>
      </c>
      <c r="B1" s="79"/>
      <c r="C1" s="97"/>
      <c r="D1" s="195"/>
    </row>
    <row r="2" spans="1:19" x14ac:dyDescent="0.2">
      <c r="A2" s="453" t="s">
        <v>374</v>
      </c>
      <c r="B2" s="79"/>
      <c r="C2" s="97"/>
    </row>
    <row r="3" spans="1:19" x14ac:dyDescent="0.2">
      <c r="A3" s="79"/>
      <c r="B3" s="79"/>
      <c r="C3" s="97"/>
    </row>
    <row r="4" spans="1:19" ht="12.75" thickBot="1" x14ac:dyDescent="0.25">
      <c r="A4" s="123">
        <v>2014</v>
      </c>
      <c r="B4" s="167" t="s">
        <v>375</v>
      </c>
      <c r="C4" s="167" t="s">
        <v>376</v>
      </c>
      <c r="D4" s="167" t="s">
        <v>377</v>
      </c>
      <c r="E4" s="167" t="s">
        <v>378</v>
      </c>
      <c r="F4" s="167" t="s">
        <v>379</v>
      </c>
      <c r="G4" s="75"/>
    </row>
    <row r="5" spans="1:19" x14ac:dyDescent="0.2">
      <c r="A5" s="71" t="s">
        <v>380</v>
      </c>
      <c r="B5" s="99">
        <v>46156</v>
      </c>
      <c r="C5" s="99">
        <v>5848</v>
      </c>
      <c r="D5" s="99">
        <v>20109</v>
      </c>
      <c r="E5" s="99">
        <v>69507</v>
      </c>
      <c r="F5" s="99">
        <f>SUM(B5:E5)</f>
        <v>141620</v>
      </c>
      <c r="G5" s="99"/>
      <c r="I5" s="23"/>
    </row>
    <row r="6" spans="1:19" x14ac:dyDescent="0.2">
      <c r="A6" s="15" t="s">
        <v>381</v>
      </c>
      <c r="B6" s="99">
        <v>17827</v>
      </c>
      <c r="C6" s="99"/>
      <c r="D6" s="99"/>
      <c r="E6" s="99"/>
      <c r="F6" s="99">
        <f>SUM(B6:E6)</f>
        <v>17827</v>
      </c>
      <c r="G6" s="99"/>
    </row>
    <row r="7" spans="1:19" x14ac:dyDescent="0.2">
      <c r="A7" s="196" t="s">
        <v>382</v>
      </c>
      <c r="B7" s="197"/>
      <c r="C7" s="197">
        <v>5135</v>
      </c>
      <c r="D7" s="197">
        <v>5946</v>
      </c>
      <c r="E7" s="197">
        <v>1798</v>
      </c>
      <c r="F7" s="99">
        <f>SUM(B7:E7)</f>
        <v>12879</v>
      </c>
      <c r="G7" s="99"/>
    </row>
    <row r="8" spans="1:19" x14ac:dyDescent="0.2">
      <c r="A8" s="430" t="s">
        <v>383</v>
      </c>
      <c r="B8" s="430">
        <f>SUM(B5:B7)</f>
        <v>63983</v>
      </c>
      <c r="C8" s="430">
        <f t="shared" ref="C8:F8" si="0">SUM(C5:C7)</f>
        <v>10983</v>
      </c>
      <c r="D8" s="430">
        <f t="shared" si="0"/>
        <v>26055</v>
      </c>
      <c r="E8" s="430">
        <f t="shared" si="0"/>
        <v>71305</v>
      </c>
      <c r="F8" s="430">
        <f t="shared" si="0"/>
        <v>172326</v>
      </c>
      <c r="G8" s="168"/>
    </row>
    <row r="9" spans="1:19" ht="8.25" customHeight="1" x14ac:dyDescent="0.2">
      <c r="A9" s="179"/>
      <c r="B9" s="99"/>
      <c r="C9" s="99"/>
      <c r="D9" s="99"/>
      <c r="E9" s="99"/>
      <c r="F9" s="99"/>
      <c r="G9" s="85"/>
    </row>
    <row r="10" spans="1:19" x14ac:dyDescent="0.2">
      <c r="A10" s="15" t="s">
        <v>384</v>
      </c>
      <c r="B10" s="99">
        <v>1610</v>
      </c>
      <c r="C10" s="203" t="s">
        <v>385</v>
      </c>
      <c r="D10" s="99" t="s">
        <v>386</v>
      </c>
      <c r="E10" s="99" t="s">
        <v>387</v>
      </c>
      <c r="F10" s="99">
        <f>SUM(B10:E10)</f>
        <v>1610</v>
      </c>
      <c r="G10" s="99"/>
    </row>
    <row r="11" spans="1:19" x14ac:dyDescent="0.2">
      <c r="A11" s="15" t="s">
        <v>388</v>
      </c>
      <c r="B11" s="197">
        <v>2222</v>
      </c>
      <c r="C11" s="203" t="s">
        <v>389</v>
      </c>
      <c r="D11" s="197" t="s">
        <v>390</v>
      </c>
      <c r="E11" s="197" t="s">
        <v>391</v>
      </c>
      <c r="F11" s="99">
        <f>SUM(B11:E11)</f>
        <v>2222</v>
      </c>
      <c r="G11" s="99"/>
    </row>
    <row r="12" spans="1:19" x14ac:dyDescent="0.2">
      <c r="B12" s="168"/>
      <c r="C12" s="168"/>
      <c r="D12" s="168"/>
      <c r="E12" s="168"/>
      <c r="F12" s="168"/>
    </row>
    <row r="13" spans="1:19" ht="12.75" thickBot="1" x14ac:dyDescent="0.25">
      <c r="A13" s="199">
        <v>2013</v>
      </c>
      <c r="B13" s="167" t="s">
        <v>392</v>
      </c>
      <c r="C13" s="167" t="s">
        <v>393</v>
      </c>
      <c r="D13" s="167" t="s">
        <v>394</v>
      </c>
      <c r="E13" s="167" t="s">
        <v>395</v>
      </c>
      <c r="F13" s="167" t="s">
        <v>396</v>
      </c>
    </row>
    <row r="14" spans="1:19" x14ac:dyDescent="0.2">
      <c r="A14" s="71" t="s">
        <v>397</v>
      </c>
      <c r="B14" s="99">
        <v>37629</v>
      </c>
      <c r="C14" s="99">
        <v>5023</v>
      </c>
      <c r="D14" s="99">
        <v>18486</v>
      </c>
      <c r="E14" s="99">
        <v>59135</v>
      </c>
      <c r="F14" s="99">
        <f>SUM(B14:E14)</f>
        <v>120273</v>
      </c>
    </row>
    <row r="15" spans="1:19" x14ac:dyDescent="0.2">
      <c r="A15" s="15" t="s">
        <v>398</v>
      </c>
      <c r="B15" s="99">
        <v>13673</v>
      </c>
      <c r="C15" s="99"/>
      <c r="D15" s="99"/>
      <c r="E15" s="99"/>
      <c r="F15" s="99">
        <f>SUM(B15:E15)</f>
        <v>13673</v>
      </c>
      <c r="J15" s="19"/>
      <c r="K15" s="19"/>
      <c r="L15" s="19"/>
      <c r="M15" s="19"/>
      <c r="N15" s="19"/>
      <c r="O15" s="19"/>
      <c r="P15" s="19"/>
      <c r="Q15" s="19"/>
      <c r="R15" s="19"/>
      <c r="S15" s="19"/>
    </row>
    <row r="16" spans="1:19" x14ac:dyDescent="0.2">
      <c r="A16" s="196" t="s">
        <v>399</v>
      </c>
      <c r="B16" s="99"/>
      <c r="C16" s="99">
        <v>8101</v>
      </c>
      <c r="D16" s="99">
        <v>1798</v>
      </c>
      <c r="E16" s="99">
        <v>1610</v>
      </c>
      <c r="F16" s="99">
        <f>SUM(B16:E16)</f>
        <v>11509</v>
      </c>
      <c r="I16" s="67"/>
      <c r="J16" s="105"/>
      <c r="K16" s="105"/>
      <c r="L16" s="105"/>
      <c r="M16" s="105"/>
      <c r="N16" s="105"/>
      <c r="O16" s="105"/>
      <c r="P16" s="105"/>
      <c r="Q16" s="105"/>
      <c r="R16" s="105"/>
      <c r="S16" s="105"/>
    </row>
    <row r="17" spans="1:19" x14ac:dyDescent="0.2">
      <c r="A17" s="430" t="s">
        <v>400</v>
      </c>
      <c r="B17" s="170">
        <f>SUM(B14:B16)</f>
        <v>51302</v>
      </c>
      <c r="C17" s="170">
        <f t="shared" ref="C17:E17" si="1">SUM(C14:C16)</f>
        <v>13124</v>
      </c>
      <c r="D17" s="170">
        <f t="shared" si="1"/>
        <v>20284</v>
      </c>
      <c r="E17" s="170">
        <f t="shared" si="1"/>
        <v>60745</v>
      </c>
      <c r="F17" s="200">
        <f>SUM(B17:E17)</f>
        <v>145455</v>
      </c>
      <c r="H17" s="164"/>
      <c r="J17" s="19"/>
      <c r="K17" s="19"/>
      <c r="L17" s="19"/>
      <c r="M17" s="19"/>
      <c r="N17" s="19"/>
      <c r="O17" s="19"/>
      <c r="P17" s="19"/>
      <c r="Q17" s="19"/>
      <c r="R17" s="19"/>
      <c r="S17" s="19"/>
    </row>
    <row r="18" spans="1:19" ht="8.25" customHeight="1" x14ac:dyDescent="0.2">
      <c r="A18" s="179"/>
      <c r="B18" s="201"/>
      <c r="C18" s="99"/>
      <c r="D18" s="202"/>
      <c r="E18" s="85"/>
      <c r="F18" s="85"/>
    </row>
    <row r="19" spans="1:19" x14ac:dyDescent="0.2">
      <c r="A19" s="15" t="s">
        <v>401</v>
      </c>
      <c r="B19" s="197">
        <v>998</v>
      </c>
      <c r="C19" s="203" t="s">
        <v>402</v>
      </c>
      <c r="D19" s="203" t="s">
        <v>403</v>
      </c>
      <c r="E19" s="203" t="s">
        <v>404</v>
      </c>
      <c r="F19" s="99">
        <f>SUM(B19:E19)</f>
        <v>998</v>
      </c>
      <c r="H19" s="85"/>
    </row>
    <row r="20" spans="1:19" x14ac:dyDescent="0.2">
      <c r="A20" s="15" t="s">
        <v>405</v>
      </c>
      <c r="B20" s="197">
        <v>1253</v>
      </c>
      <c r="C20" s="203" t="s">
        <v>406</v>
      </c>
      <c r="D20" s="203" t="s">
        <v>407</v>
      </c>
      <c r="E20" s="203" t="s">
        <v>408</v>
      </c>
      <c r="F20" s="99">
        <f>SUM(B20:E20)</f>
        <v>1253</v>
      </c>
    </row>
    <row r="21" spans="1:19" x14ac:dyDescent="0.2">
      <c r="G21" s="75"/>
    </row>
    <row r="22" spans="1:19" x14ac:dyDescent="0.2">
      <c r="G22" s="99"/>
    </row>
    <row r="23" spans="1:19" x14ac:dyDescent="0.2">
      <c r="G23" s="99"/>
    </row>
    <row r="24" spans="1:19" x14ac:dyDescent="0.2">
      <c r="G24" s="99"/>
    </row>
    <row r="25" spans="1:19" x14ac:dyDescent="0.2">
      <c r="G25" s="168"/>
    </row>
    <row r="26" spans="1:19" x14ac:dyDescent="0.2">
      <c r="G26" s="85"/>
    </row>
    <row r="27" spans="1:19" x14ac:dyDescent="0.2">
      <c r="D27" s="19"/>
      <c r="G27" s="99"/>
    </row>
    <row r="28" spans="1:19" x14ac:dyDescent="0.2">
      <c r="G28" s="99"/>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0"/>
  <sheetViews>
    <sheetView zoomScaleNormal="100" workbookViewId="0">
      <selection activeCell="C1" sqref="C1"/>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93" customFormat="1" x14ac:dyDescent="0.2">
      <c r="A1" s="500" t="s">
        <v>152</v>
      </c>
    </row>
    <row r="2" spans="1:7" s="393" customFormat="1" x14ac:dyDescent="0.2"/>
    <row r="3" spans="1:7" ht="12" customHeight="1" x14ac:dyDescent="0.2">
      <c r="A3" s="501">
        <v>42094</v>
      </c>
      <c r="B3" s="643" t="s">
        <v>153</v>
      </c>
      <c r="C3" s="643"/>
      <c r="D3" s="368"/>
      <c r="E3" s="368"/>
    </row>
    <row r="4" spans="1:7" s="342" customFormat="1" ht="24" x14ac:dyDescent="0.2">
      <c r="A4" s="204" t="s">
        <v>100</v>
      </c>
      <c r="B4" s="502" t="s">
        <v>154</v>
      </c>
      <c r="C4" s="205" t="s">
        <v>155</v>
      </c>
      <c r="D4" s="205" t="s">
        <v>156</v>
      </c>
      <c r="E4" s="206" t="s">
        <v>157</v>
      </c>
    </row>
    <row r="5" spans="1:7" ht="12" customHeight="1" x14ac:dyDescent="0.2">
      <c r="A5" s="393" t="s">
        <v>158</v>
      </c>
      <c r="B5" s="207">
        <v>3</v>
      </c>
      <c r="C5" s="208">
        <v>30</v>
      </c>
      <c r="D5" s="208">
        <v>19</v>
      </c>
      <c r="E5" s="209">
        <v>-1</v>
      </c>
    </row>
    <row r="6" spans="1:7" s="342" customFormat="1" x14ac:dyDescent="0.2">
      <c r="A6" s="393" t="s">
        <v>159</v>
      </c>
      <c r="B6" s="207">
        <v>0</v>
      </c>
      <c r="C6" s="208">
        <v>0</v>
      </c>
      <c r="D6" s="208">
        <v>0</v>
      </c>
      <c r="E6" s="203">
        <v>0</v>
      </c>
    </row>
    <row r="7" spans="1:7" s="342" customFormat="1" x14ac:dyDescent="0.2">
      <c r="A7" s="393" t="s">
        <v>160</v>
      </c>
      <c r="B7" s="207">
        <v>0</v>
      </c>
      <c r="C7" s="208">
        <v>0</v>
      </c>
      <c r="D7" s="208">
        <v>0</v>
      </c>
      <c r="E7" s="203">
        <v>0</v>
      </c>
      <c r="G7" s="369"/>
    </row>
    <row r="8" spans="1:7" s="342" customFormat="1" x14ac:dyDescent="0.2">
      <c r="A8" s="393" t="s">
        <v>161</v>
      </c>
      <c r="B8" s="207">
        <v>30</v>
      </c>
      <c r="C8" s="209">
        <v>15</v>
      </c>
      <c r="D8" s="209">
        <v>9</v>
      </c>
      <c r="E8" s="209">
        <v>0</v>
      </c>
    </row>
    <row r="9" spans="1:7" s="342" customFormat="1" x14ac:dyDescent="0.2">
      <c r="A9" s="393" t="s">
        <v>162</v>
      </c>
      <c r="B9" s="207">
        <v>18</v>
      </c>
      <c r="C9" s="208">
        <v>11</v>
      </c>
      <c r="D9" s="208">
        <v>12</v>
      </c>
      <c r="E9" s="209">
        <v>5</v>
      </c>
    </row>
    <row r="10" spans="1:7" s="342" customFormat="1" x14ac:dyDescent="0.2">
      <c r="A10" s="393" t="s">
        <v>163</v>
      </c>
      <c r="B10" s="207">
        <v>41</v>
      </c>
      <c r="C10" s="208">
        <v>7</v>
      </c>
      <c r="D10" s="208">
        <v>30</v>
      </c>
      <c r="E10" s="209">
        <v>8</v>
      </c>
    </row>
    <row r="11" spans="1:7" s="342" customFormat="1" x14ac:dyDescent="0.2">
      <c r="A11" s="393" t="s">
        <v>164</v>
      </c>
      <c r="B11" s="207">
        <v>60</v>
      </c>
      <c r="C11" s="208">
        <v>2</v>
      </c>
      <c r="D11" s="208">
        <v>37</v>
      </c>
      <c r="E11" s="209">
        <v>0</v>
      </c>
    </row>
    <row r="12" spans="1:7" s="342" customFormat="1" x14ac:dyDescent="0.2">
      <c r="A12" s="393" t="s">
        <v>165</v>
      </c>
      <c r="B12" s="207">
        <v>229</v>
      </c>
      <c r="C12" s="208">
        <v>86</v>
      </c>
      <c r="D12" s="208">
        <v>104</v>
      </c>
      <c r="E12" s="209">
        <v>-4</v>
      </c>
    </row>
    <row r="13" spans="1:7" s="342" customFormat="1" x14ac:dyDescent="0.2">
      <c r="A13" s="393" t="s">
        <v>166</v>
      </c>
      <c r="B13" s="207">
        <v>304</v>
      </c>
      <c r="C13" s="208">
        <v>6</v>
      </c>
      <c r="D13" s="208">
        <v>87</v>
      </c>
      <c r="E13" s="209">
        <v>50</v>
      </c>
    </row>
    <row r="14" spans="1:7" s="342" customFormat="1" x14ac:dyDescent="0.2">
      <c r="A14" s="15" t="s">
        <v>167</v>
      </c>
      <c r="B14" s="207">
        <v>1</v>
      </c>
      <c r="C14" s="208">
        <v>0</v>
      </c>
      <c r="D14" s="438">
        <v>1</v>
      </c>
      <c r="E14" s="209">
        <v>0</v>
      </c>
    </row>
    <row r="15" spans="1:7" s="342" customFormat="1" x14ac:dyDescent="0.2">
      <c r="A15" s="193" t="s">
        <v>168</v>
      </c>
      <c r="B15" s="210">
        <f>SUM(B5:B14)</f>
        <v>686</v>
      </c>
      <c r="C15" s="210">
        <f t="shared" ref="C15:E15" si="0">SUM(C5:C14)</f>
        <v>157</v>
      </c>
      <c r="D15" s="210">
        <f t="shared" si="0"/>
        <v>299</v>
      </c>
      <c r="E15" s="210">
        <f t="shared" si="0"/>
        <v>58</v>
      </c>
    </row>
    <row r="16" spans="1:7" s="342" customFormat="1" x14ac:dyDescent="0.2">
      <c r="A16" s="105" t="s">
        <v>169</v>
      </c>
      <c r="B16" s="211">
        <v>0</v>
      </c>
      <c r="C16" s="212">
        <v>0</v>
      </c>
      <c r="D16" s="213">
        <v>0</v>
      </c>
      <c r="E16" s="213">
        <v>20</v>
      </c>
    </row>
    <row r="17" spans="1:5" s="342" customFormat="1" x14ac:dyDescent="0.2">
      <c r="A17" s="214" t="s">
        <v>170</v>
      </c>
      <c r="B17" s="215">
        <v>43</v>
      </c>
      <c r="C17" s="215">
        <v>291</v>
      </c>
      <c r="D17" s="215">
        <v>53</v>
      </c>
      <c r="E17" s="215">
        <v>10</v>
      </c>
    </row>
    <row r="18" spans="1:5" s="342" customFormat="1" x14ac:dyDescent="0.2">
      <c r="A18" s="366" t="s">
        <v>171</v>
      </c>
      <c r="B18" s="361">
        <f>+B17+B15</f>
        <v>729</v>
      </c>
      <c r="C18" s="361">
        <f>+C17+C15</f>
        <v>448</v>
      </c>
      <c r="D18" s="361">
        <f>+D17+D15</f>
        <v>352</v>
      </c>
      <c r="E18" s="361">
        <f>+E15+E16+E17</f>
        <v>88</v>
      </c>
    </row>
    <row r="19" spans="1:5" s="342" customFormat="1" x14ac:dyDescent="0.2">
      <c r="A19" s="119"/>
      <c r="B19" s="119"/>
      <c r="C19" s="119"/>
      <c r="D19" s="119"/>
      <c r="E19" s="368"/>
    </row>
    <row r="20" spans="1:5" s="342" customFormat="1" x14ac:dyDescent="0.2">
      <c r="A20" s="119"/>
      <c r="B20" s="119"/>
      <c r="C20" s="119"/>
      <c r="D20" s="119"/>
      <c r="E20" s="368"/>
    </row>
    <row r="21" spans="1:5" s="342" customFormat="1" ht="12.75" x14ac:dyDescent="0.2">
      <c r="A21" s="119"/>
      <c r="B21" s="383"/>
      <c r="C21" s="81"/>
      <c r="D21" s="119"/>
      <c r="E21" s="368"/>
    </row>
    <row r="22" spans="1:5" s="342" customFormat="1" x14ac:dyDescent="0.2">
      <c r="A22" s="119"/>
      <c r="B22" s="81"/>
      <c r="C22" s="81"/>
      <c r="D22" s="119"/>
      <c r="E22" s="368"/>
    </row>
    <row r="23" spans="1:5" s="342" customFormat="1" ht="12" customHeight="1" x14ac:dyDescent="0.2">
      <c r="A23" s="501">
        <v>42004</v>
      </c>
      <c r="B23" s="643" t="s">
        <v>172</v>
      </c>
      <c r="C23" s="643"/>
      <c r="D23" s="368"/>
      <c r="E23" s="368"/>
    </row>
    <row r="24" spans="1:5" ht="36.75" customHeight="1" x14ac:dyDescent="0.2">
      <c r="A24" s="204" t="s">
        <v>100</v>
      </c>
      <c r="B24" s="502" t="s">
        <v>173</v>
      </c>
      <c r="C24" s="205" t="s">
        <v>174</v>
      </c>
      <c r="D24" s="205" t="s">
        <v>175</v>
      </c>
      <c r="E24" s="206" t="s">
        <v>176</v>
      </c>
    </row>
    <row r="25" spans="1:5" x14ac:dyDescent="0.2">
      <c r="A25" s="393" t="s">
        <v>177</v>
      </c>
      <c r="B25" s="211">
        <v>7</v>
      </c>
      <c r="C25" s="208">
        <v>34</v>
      </c>
      <c r="D25" s="209">
        <v>20</v>
      </c>
      <c r="E25" s="209">
        <v>2</v>
      </c>
    </row>
    <row r="26" spans="1:5" x14ac:dyDescent="0.2">
      <c r="A26" s="393" t="s">
        <v>178</v>
      </c>
      <c r="B26" s="211">
        <v>0</v>
      </c>
      <c r="C26" s="208">
        <v>0</v>
      </c>
      <c r="D26" s="209">
        <v>0</v>
      </c>
      <c r="E26" s="203">
        <v>0</v>
      </c>
    </row>
    <row r="27" spans="1:5" x14ac:dyDescent="0.2">
      <c r="A27" s="393" t="s">
        <v>179</v>
      </c>
      <c r="B27" s="211">
        <v>0</v>
      </c>
      <c r="C27" s="208">
        <v>0</v>
      </c>
      <c r="D27" s="203">
        <v>0</v>
      </c>
      <c r="E27" s="203">
        <v>-5</v>
      </c>
    </row>
    <row r="28" spans="1:5" x14ac:dyDescent="0.2">
      <c r="A28" s="393" t="s">
        <v>180</v>
      </c>
      <c r="B28" s="211">
        <v>40</v>
      </c>
      <c r="C28" s="209">
        <v>14</v>
      </c>
      <c r="D28" s="209">
        <v>15</v>
      </c>
      <c r="E28" s="209">
        <v>5</v>
      </c>
    </row>
    <row r="29" spans="1:5" x14ac:dyDescent="0.2">
      <c r="A29" s="393" t="s">
        <v>181</v>
      </c>
      <c r="B29" s="211">
        <v>24</v>
      </c>
      <c r="C29" s="208">
        <v>18</v>
      </c>
      <c r="D29" s="209">
        <v>22</v>
      </c>
      <c r="E29" s="209">
        <v>22</v>
      </c>
    </row>
    <row r="30" spans="1:5" x14ac:dyDescent="0.2">
      <c r="A30" s="393" t="s">
        <v>182</v>
      </c>
      <c r="B30" s="211">
        <v>26</v>
      </c>
      <c r="C30" s="208">
        <v>15</v>
      </c>
      <c r="D30" s="209">
        <v>24</v>
      </c>
      <c r="E30" s="209">
        <v>26</v>
      </c>
    </row>
    <row r="31" spans="1:5" x14ac:dyDescent="0.2">
      <c r="A31" s="393" t="s">
        <v>183</v>
      </c>
      <c r="B31" s="211">
        <v>54</v>
      </c>
      <c r="C31" s="208">
        <v>1</v>
      </c>
      <c r="D31" s="209">
        <v>36</v>
      </c>
      <c r="E31" s="209">
        <v>-6</v>
      </c>
    </row>
    <row r="32" spans="1:5" x14ac:dyDescent="0.2">
      <c r="A32" s="393" t="s">
        <v>184</v>
      </c>
      <c r="B32" s="211">
        <v>251</v>
      </c>
      <c r="C32" s="208">
        <v>126</v>
      </c>
      <c r="D32" s="209">
        <v>118</v>
      </c>
      <c r="E32" s="209">
        <v>112</v>
      </c>
    </row>
    <row r="33" spans="1:5" x14ac:dyDescent="0.2">
      <c r="A33" s="393" t="s">
        <v>185</v>
      </c>
      <c r="B33" s="211">
        <v>68</v>
      </c>
      <c r="C33" s="208">
        <v>7</v>
      </c>
      <c r="D33" s="209">
        <v>44</v>
      </c>
      <c r="E33" s="209">
        <v>8</v>
      </c>
    </row>
    <row r="34" spans="1:5" x14ac:dyDescent="0.2">
      <c r="A34" s="15" t="s">
        <v>186</v>
      </c>
      <c r="B34" s="211">
        <v>1</v>
      </c>
      <c r="C34" s="208">
        <v>0</v>
      </c>
      <c r="D34" s="209">
        <v>0</v>
      </c>
      <c r="E34" s="209">
        <v>0</v>
      </c>
    </row>
    <row r="35" spans="1:5" x14ac:dyDescent="0.2">
      <c r="A35" s="193" t="s">
        <v>187</v>
      </c>
      <c r="B35" s="441">
        <f>SUM(B25:B34)</f>
        <v>471</v>
      </c>
      <c r="C35" s="210">
        <f>SUM(C25:C34)</f>
        <v>215</v>
      </c>
      <c r="D35" s="210">
        <f>SUM(D25:D34)</f>
        <v>279</v>
      </c>
      <c r="E35" s="210">
        <f>SUM(E25:E34)</f>
        <v>164</v>
      </c>
    </row>
    <row r="36" spans="1:5" x14ac:dyDescent="0.2">
      <c r="A36" s="105" t="s">
        <v>188</v>
      </c>
      <c r="B36" s="211">
        <v>0</v>
      </c>
      <c r="C36" s="212">
        <v>0</v>
      </c>
      <c r="D36" s="213">
        <v>0</v>
      </c>
      <c r="E36" s="213">
        <v>-30</v>
      </c>
    </row>
    <row r="37" spans="1:5" x14ac:dyDescent="0.2">
      <c r="A37" s="214" t="s">
        <v>189</v>
      </c>
      <c r="B37" s="215">
        <v>42</v>
      </c>
      <c r="C37" s="215">
        <v>204</v>
      </c>
      <c r="D37" s="215">
        <v>54</v>
      </c>
      <c r="E37" s="215">
        <v>4</v>
      </c>
    </row>
    <row r="38" spans="1:5" ht="14.25" customHeight="1" x14ac:dyDescent="0.2">
      <c r="A38" s="366" t="s">
        <v>190</v>
      </c>
      <c r="B38" s="442">
        <f>+B35+B37</f>
        <v>513</v>
      </c>
      <c r="C38" s="361">
        <f t="shared" ref="C38:D38" si="1">+C35+C37</f>
        <v>419</v>
      </c>
      <c r="D38" s="361">
        <f t="shared" si="1"/>
        <v>333</v>
      </c>
      <c r="E38" s="361">
        <f>+E35+E37+E36</f>
        <v>138</v>
      </c>
    </row>
    <row r="40" spans="1:5" x14ac:dyDescent="0.2">
      <c r="B40" s="125"/>
      <c r="C40" s="125"/>
      <c r="D40" s="125"/>
      <c r="E40" s="125"/>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B10" sqref="B10"/>
    </sheetView>
  </sheetViews>
  <sheetFormatPr baseColWidth="10" defaultColWidth="11" defaultRowHeight="12" x14ac:dyDescent="0.2"/>
  <cols>
    <col min="1" max="1" width="17.375" style="342" customWidth="1"/>
    <col min="2" max="4" width="11.5" style="342" customWidth="1"/>
    <col min="5" max="16384" width="11" style="17"/>
  </cols>
  <sheetData>
    <row r="1" spans="1:6" ht="12.75" x14ac:dyDescent="0.2">
      <c r="A1" s="604" t="s">
        <v>1199</v>
      </c>
    </row>
    <row r="2" spans="1:6" ht="12.75" x14ac:dyDescent="0.2">
      <c r="A2" s="313" t="s">
        <v>655</v>
      </c>
      <c r="B2" s="90"/>
      <c r="C2" s="90"/>
      <c r="D2" s="90"/>
    </row>
    <row r="3" spans="1:6" x14ac:dyDescent="0.2">
      <c r="A3" s="95"/>
      <c r="B3" s="115"/>
      <c r="C3" s="115"/>
      <c r="D3" s="115"/>
    </row>
    <row r="4" spans="1:6" ht="12.75" thickBot="1" x14ac:dyDescent="0.25">
      <c r="A4" s="216"/>
      <c r="B4" s="123"/>
      <c r="C4" s="167">
        <v>2014</v>
      </c>
      <c r="D4" s="1">
        <v>2013</v>
      </c>
      <c r="F4" s="23"/>
    </row>
    <row r="5" spans="1:6" x14ac:dyDescent="0.2">
      <c r="A5" s="15" t="s">
        <v>656</v>
      </c>
      <c r="B5" s="15"/>
      <c r="C5" s="217">
        <v>0</v>
      </c>
      <c r="D5" s="218">
        <v>0</v>
      </c>
      <c r="F5" s="23"/>
    </row>
    <row r="6" spans="1:6" x14ac:dyDescent="0.2">
      <c r="A6" s="15" t="s">
        <v>657</v>
      </c>
      <c r="B6" s="15"/>
      <c r="C6" s="217">
        <v>0</v>
      </c>
      <c r="D6" s="218">
        <v>0</v>
      </c>
      <c r="F6" s="23"/>
    </row>
    <row r="7" spans="1:6" x14ac:dyDescent="0.2">
      <c r="A7" s="15" t="s">
        <v>658</v>
      </c>
      <c r="B7" s="15"/>
      <c r="C7" s="217">
        <v>0</v>
      </c>
      <c r="D7" s="218">
        <v>0</v>
      </c>
      <c r="F7" s="23"/>
    </row>
    <row r="8" spans="1:6" x14ac:dyDescent="0.2">
      <c r="A8" s="15" t="s">
        <v>659</v>
      </c>
      <c r="B8" s="15"/>
      <c r="C8" s="217">
        <v>0</v>
      </c>
      <c r="D8" s="218">
        <v>0</v>
      </c>
    </row>
    <row r="9" spans="1:6" x14ac:dyDescent="0.2">
      <c r="A9" s="15" t="s">
        <v>660</v>
      </c>
      <c r="B9" s="15"/>
      <c r="C9" s="217">
        <v>0</v>
      </c>
      <c r="D9" s="218">
        <v>0</v>
      </c>
    </row>
    <row r="10" spans="1:6" x14ac:dyDescent="0.2">
      <c r="A10" s="15" t="s">
        <v>661</v>
      </c>
      <c r="B10" s="15"/>
      <c r="C10" s="217">
        <v>0</v>
      </c>
      <c r="D10" s="218">
        <v>0</v>
      </c>
    </row>
    <row r="11" spans="1:6" x14ac:dyDescent="0.2">
      <c r="A11" s="15" t="s">
        <v>662</v>
      </c>
      <c r="B11" s="15"/>
      <c r="C11" s="217">
        <v>0</v>
      </c>
      <c r="D11" s="218">
        <v>0</v>
      </c>
    </row>
    <row r="12" spans="1:6" x14ac:dyDescent="0.2">
      <c r="A12" s="15" t="s">
        <v>663</v>
      </c>
      <c r="B12" s="15"/>
      <c r="C12" s="217">
        <v>0</v>
      </c>
      <c r="D12" s="218">
        <v>0</v>
      </c>
    </row>
    <row r="13" spans="1:6" x14ac:dyDescent="0.2">
      <c r="A13" s="15" t="s">
        <v>664</v>
      </c>
      <c r="B13" s="15"/>
      <c r="C13" s="217">
        <v>0</v>
      </c>
      <c r="D13" s="218">
        <v>0</v>
      </c>
    </row>
    <row r="14" spans="1:6" x14ac:dyDescent="0.2">
      <c r="A14" s="15" t="s">
        <v>665</v>
      </c>
      <c r="B14" s="15"/>
      <c r="C14" s="217">
        <v>0</v>
      </c>
      <c r="D14" s="218">
        <v>0</v>
      </c>
    </row>
    <row r="15" spans="1:6" x14ac:dyDescent="0.2">
      <c r="A15" s="15" t="s">
        <v>666</v>
      </c>
      <c r="B15" s="15"/>
      <c r="C15" s="14">
        <v>257</v>
      </c>
      <c r="D15" s="14">
        <v>132</v>
      </c>
    </row>
    <row r="16" spans="1:6" x14ac:dyDescent="0.2">
      <c r="A16" s="100" t="s">
        <v>667</v>
      </c>
      <c r="B16" s="100"/>
      <c r="C16" s="219">
        <f>SUM(C5:C15)</f>
        <v>257</v>
      </c>
      <c r="D16" s="220">
        <f>SUM(D5:D15)</f>
        <v>132</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activeCell="A3" sqref="A3"/>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47" t="s">
        <v>1200</v>
      </c>
      <c r="B1" s="648"/>
      <c r="C1" s="648"/>
      <c r="D1" s="648"/>
    </row>
    <row r="2" spans="1:6" ht="13.5" customHeight="1" x14ac:dyDescent="0.2">
      <c r="A2" s="648"/>
      <c r="B2" s="648"/>
      <c r="C2" s="648"/>
      <c r="D2" s="648"/>
    </row>
    <row r="3" spans="1:6" x14ac:dyDescent="0.2">
      <c r="A3" s="173" t="s">
        <v>532</v>
      </c>
      <c r="B3" s="451"/>
      <c r="C3" s="451"/>
      <c r="D3" s="451"/>
    </row>
    <row r="4" spans="1:6" ht="12" customHeight="1" x14ac:dyDescent="0.2">
      <c r="A4" s="173"/>
      <c r="B4" s="343"/>
      <c r="C4" s="343"/>
      <c r="D4" s="343"/>
      <c r="F4" s="23"/>
    </row>
    <row r="5" spans="1:6" ht="12" customHeight="1" x14ac:dyDescent="0.2">
      <c r="A5" s="95"/>
      <c r="B5" s="644" t="s">
        <v>533</v>
      </c>
      <c r="C5" s="644"/>
      <c r="D5" s="645" t="s">
        <v>534</v>
      </c>
      <c r="F5" s="369"/>
    </row>
    <row r="6" spans="1:6" ht="12.75" thickBot="1" x14ac:dyDescent="0.25">
      <c r="A6" s="123">
        <v>2014</v>
      </c>
      <c r="B6" s="450" t="s">
        <v>535</v>
      </c>
      <c r="C6" s="450" t="s">
        <v>536</v>
      </c>
      <c r="D6" s="646"/>
    </row>
    <row r="7" spans="1:6" x14ac:dyDescent="0.2">
      <c r="A7" s="15" t="s">
        <v>537</v>
      </c>
      <c r="B7" s="221">
        <v>255</v>
      </c>
      <c r="C7" s="221">
        <v>234</v>
      </c>
      <c r="D7" s="221">
        <v>163</v>
      </c>
      <c r="F7" s="23"/>
    </row>
    <row r="8" spans="1:6" x14ac:dyDescent="0.2">
      <c r="A8" s="15" t="s">
        <v>538</v>
      </c>
      <c r="B8" s="221">
        <v>176</v>
      </c>
      <c r="C8" s="221">
        <v>80</v>
      </c>
      <c r="D8" s="221">
        <v>99</v>
      </c>
    </row>
    <row r="9" spans="1:6" x14ac:dyDescent="0.2">
      <c r="A9" s="15" t="s">
        <v>539</v>
      </c>
      <c r="B9" s="221">
        <v>80</v>
      </c>
      <c r="C9" s="221">
        <v>94</v>
      </c>
      <c r="D9" s="221">
        <v>44</v>
      </c>
    </row>
    <row r="10" spans="1:6" x14ac:dyDescent="0.2">
      <c r="A10" s="81" t="s">
        <v>540</v>
      </c>
      <c r="B10" s="221">
        <v>2</v>
      </c>
      <c r="C10" s="221">
        <v>19</v>
      </c>
      <c r="D10" s="221">
        <v>16</v>
      </c>
    </row>
    <row r="11" spans="1:6" x14ac:dyDescent="0.2">
      <c r="A11" s="100" t="s">
        <v>541</v>
      </c>
      <c r="B11" s="222">
        <f>SUM(B7:B10)</f>
        <v>513</v>
      </c>
      <c r="C11" s="222">
        <f>SUM(C7:C10)</f>
        <v>427</v>
      </c>
      <c r="D11" s="222">
        <f>SUM(D7:D10)</f>
        <v>322</v>
      </c>
    </row>
    <row r="12" spans="1:6" x14ac:dyDescent="0.2">
      <c r="A12" s="173"/>
      <c r="B12" s="387"/>
      <c r="C12" s="384"/>
      <c r="D12" s="367"/>
    </row>
    <row r="13" spans="1:6" ht="12" customHeight="1" x14ac:dyDescent="0.2">
      <c r="A13" s="95"/>
      <c r="B13" s="644" t="s">
        <v>542</v>
      </c>
      <c r="C13" s="644"/>
      <c r="D13" s="645" t="s">
        <v>543</v>
      </c>
    </row>
    <row r="14" spans="1:6" ht="12.75" thickBot="1" x14ac:dyDescent="0.25">
      <c r="A14" s="123">
        <v>2013</v>
      </c>
      <c r="B14" s="450" t="s">
        <v>544</v>
      </c>
      <c r="C14" s="450" t="s">
        <v>545</v>
      </c>
      <c r="D14" s="646"/>
    </row>
    <row r="15" spans="1:6" x14ac:dyDescent="0.2">
      <c r="A15" s="15" t="s">
        <v>546</v>
      </c>
      <c r="B15" s="221">
        <v>261</v>
      </c>
      <c r="C15" s="221">
        <v>186</v>
      </c>
      <c r="D15" s="221">
        <v>165</v>
      </c>
    </row>
    <row r="16" spans="1:6" x14ac:dyDescent="0.2">
      <c r="A16" s="15" t="s">
        <v>547</v>
      </c>
      <c r="B16" s="221">
        <v>105</v>
      </c>
      <c r="C16" s="221">
        <v>92</v>
      </c>
      <c r="D16" s="221">
        <v>88</v>
      </c>
    </row>
    <row r="17" spans="1:4" x14ac:dyDescent="0.2">
      <c r="A17" s="15" t="s">
        <v>548</v>
      </c>
      <c r="B17" s="221">
        <v>70</v>
      </c>
      <c r="C17" s="221">
        <v>524</v>
      </c>
      <c r="D17" s="221">
        <v>170</v>
      </c>
    </row>
    <row r="18" spans="1:4" x14ac:dyDescent="0.2">
      <c r="A18" s="81" t="s">
        <v>549</v>
      </c>
      <c r="B18" s="221">
        <v>3</v>
      </c>
      <c r="C18" s="221">
        <v>28</v>
      </c>
      <c r="D18" s="221">
        <v>23</v>
      </c>
    </row>
    <row r="19" spans="1:4" x14ac:dyDescent="0.2">
      <c r="A19" s="100" t="s">
        <v>550</v>
      </c>
      <c r="B19" s="439">
        <f>SUM(B15:B18)</f>
        <v>439</v>
      </c>
      <c r="C19" s="222">
        <f>SUM(C15:C18)</f>
        <v>830</v>
      </c>
      <c r="D19" s="222">
        <f>SUM(D15:D18)</f>
        <v>446</v>
      </c>
    </row>
    <row r="25" spans="1:4" x14ac:dyDescent="0.2">
      <c r="B25" s="451"/>
      <c r="C25" s="451"/>
      <c r="D25" s="451"/>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D19" sqref="D19"/>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49" t="s">
        <v>1201</v>
      </c>
      <c r="B1" s="650"/>
      <c r="C1" s="650"/>
      <c r="D1" s="650"/>
      <c r="E1" s="650"/>
    </row>
    <row r="2" spans="1:5" x14ac:dyDescent="0.2">
      <c r="A2" s="452" t="s">
        <v>135</v>
      </c>
      <c r="B2" s="452"/>
      <c r="C2" s="452"/>
      <c r="D2" s="452"/>
      <c r="E2" s="452"/>
    </row>
    <row r="3" spans="1:5" ht="36.75" thickBot="1" x14ac:dyDescent="0.25">
      <c r="A3" s="424">
        <v>2014</v>
      </c>
      <c r="B3" s="381" t="s">
        <v>136</v>
      </c>
      <c r="C3" s="381" t="s">
        <v>137</v>
      </c>
      <c r="D3" s="381" t="s">
        <v>138</v>
      </c>
      <c r="E3" s="381" t="s">
        <v>139</v>
      </c>
    </row>
    <row r="4" spans="1:5" x14ac:dyDescent="0.2">
      <c r="A4" s="453" t="s">
        <v>140</v>
      </c>
      <c r="B4" s="224">
        <v>446</v>
      </c>
      <c r="C4" s="224">
        <v>282.5</v>
      </c>
      <c r="D4" s="99">
        <v>159</v>
      </c>
      <c r="E4" s="99">
        <f>+B4-C4+D4-0.5</f>
        <v>322</v>
      </c>
    </row>
    <row r="5" spans="1:5" x14ac:dyDescent="0.2">
      <c r="A5" s="453" t="s">
        <v>141</v>
      </c>
      <c r="B5" s="99">
        <v>302.459</v>
      </c>
      <c r="C5" s="99"/>
      <c r="D5" s="99">
        <v>75.45</v>
      </c>
      <c r="E5" s="99">
        <f>+B5-C5+D5</f>
        <v>377.90899999999999</v>
      </c>
    </row>
    <row r="6" spans="1:5" x14ac:dyDescent="0.2">
      <c r="A6" s="453" t="s">
        <v>142</v>
      </c>
      <c r="B6" s="87">
        <v>0</v>
      </c>
      <c r="C6" s="87"/>
      <c r="D6" s="87">
        <v>0</v>
      </c>
      <c r="E6" s="99">
        <f>+B6-C6+D6</f>
        <v>0</v>
      </c>
    </row>
    <row r="7" spans="1:5" x14ac:dyDescent="0.2">
      <c r="A7" s="88" t="s">
        <v>143</v>
      </c>
      <c r="B7" s="101">
        <f>SUM(B4:B6)</f>
        <v>748.45900000000006</v>
      </c>
      <c r="C7" s="101">
        <f>SUM(C4:C6)</f>
        <v>282.5</v>
      </c>
      <c r="D7" s="101">
        <f>SUM(D4:D6)</f>
        <v>234.45</v>
      </c>
      <c r="E7" s="101">
        <f>+B7-C7+D7</f>
        <v>700.40900000000011</v>
      </c>
    </row>
    <row r="8" spans="1:5" x14ac:dyDescent="0.2">
      <c r="A8" s="345"/>
      <c r="B8" s="345"/>
      <c r="C8" s="345"/>
      <c r="D8" s="345"/>
      <c r="E8" s="345"/>
    </row>
    <row r="9" spans="1:5" ht="36.75" thickBot="1" x14ac:dyDescent="0.25">
      <c r="A9" s="424">
        <v>2013</v>
      </c>
      <c r="B9" s="381" t="s">
        <v>144</v>
      </c>
      <c r="C9" s="381" t="s">
        <v>145</v>
      </c>
      <c r="D9" s="381" t="s">
        <v>146</v>
      </c>
      <c r="E9" s="381" t="s">
        <v>147</v>
      </c>
    </row>
    <row r="10" spans="1:5" x14ac:dyDescent="0.2">
      <c r="A10" s="453" t="s">
        <v>148</v>
      </c>
      <c r="B10" s="224">
        <v>423</v>
      </c>
      <c r="C10" s="224">
        <v>294</v>
      </c>
      <c r="D10" s="99">
        <v>317</v>
      </c>
      <c r="E10" s="99">
        <f>+B10-C10+D10</f>
        <v>446</v>
      </c>
    </row>
    <row r="11" spans="1:5" x14ac:dyDescent="0.2">
      <c r="A11" s="453" t="s">
        <v>149</v>
      </c>
      <c r="B11" s="99">
        <v>332</v>
      </c>
      <c r="C11" s="99"/>
      <c r="D11" s="99">
        <v>-30</v>
      </c>
      <c r="E11" s="99">
        <f>+B11-C11+D11</f>
        <v>302</v>
      </c>
    </row>
    <row r="12" spans="1:5" x14ac:dyDescent="0.2">
      <c r="A12" s="453" t="s">
        <v>150</v>
      </c>
      <c r="B12" s="87">
        <v>1</v>
      </c>
      <c r="C12" s="87"/>
      <c r="D12" s="87">
        <v>-1</v>
      </c>
      <c r="E12" s="99">
        <f>+B12-C12+D12</f>
        <v>0</v>
      </c>
    </row>
    <row r="13" spans="1:5" x14ac:dyDescent="0.2">
      <c r="A13" s="88" t="s">
        <v>151</v>
      </c>
      <c r="B13" s="101">
        <f>SUM(B10:B12)</f>
        <v>756</v>
      </c>
      <c r="C13" s="101">
        <f>SUM(C10:C12)</f>
        <v>294</v>
      </c>
      <c r="D13" s="101">
        <f>SUM(D10:D12)</f>
        <v>286</v>
      </c>
      <c r="E13" s="101">
        <f>+B13-C13+D13</f>
        <v>748</v>
      </c>
    </row>
    <row r="26" spans="1:5" x14ac:dyDescent="0.2">
      <c r="A26" s="23"/>
    </row>
    <row r="27" spans="1:5" x14ac:dyDescent="0.2">
      <c r="A27" s="650"/>
      <c r="B27" s="650"/>
      <c r="C27" s="650"/>
      <c r="D27" s="650"/>
      <c r="E27" s="650"/>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A86" sqref="A86"/>
    </sheetView>
  </sheetViews>
  <sheetFormatPr baseColWidth="10" defaultColWidth="11" defaultRowHeight="12" x14ac:dyDescent="0.2"/>
  <cols>
    <col min="1" max="1" width="31.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25" t="s">
        <v>232</v>
      </c>
      <c r="B1" s="86"/>
      <c r="C1" s="15"/>
      <c r="D1" s="15"/>
      <c r="E1" s="15"/>
      <c r="F1" s="15"/>
      <c r="G1" s="226"/>
    </row>
    <row r="2" spans="1:7" x14ac:dyDescent="0.2">
      <c r="A2" s="225"/>
      <c r="B2" s="86"/>
      <c r="C2" s="15"/>
      <c r="D2" s="15"/>
      <c r="E2" s="15"/>
      <c r="F2" s="15"/>
      <c r="G2" s="15"/>
    </row>
    <row r="3" spans="1:7" x14ac:dyDescent="0.2">
      <c r="A3" s="227"/>
      <c r="B3" s="86"/>
      <c r="C3" s="15"/>
      <c r="D3" s="15"/>
      <c r="E3" s="15"/>
      <c r="F3" s="15"/>
      <c r="G3" s="15"/>
    </row>
    <row r="4" spans="1:7" ht="51" customHeight="1" thickBot="1" x14ac:dyDescent="0.25">
      <c r="A4" s="77" t="s">
        <v>233</v>
      </c>
      <c r="B4" s="228" t="s">
        <v>234</v>
      </c>
      <c r="C4" s="381" t="s">
        <v>235</v>
      </c>
      <c r="D4" s="381" t="s">
        <v>236</v>
      </c>
      <c r="E4" s="381" t="s">
        <v>237</v>
      </c>
      <c r="F4" s="381" t="s">
        <v>238</v>
      </c>
      <c r="G4" s="381" t="s">
        <v>239</v>
      </c>
    </row>
    <row r="5" spans="1:7" s="393" customFormat="1" ht="12" customHeight="1" x14ac:dyDescent="0.2">
      <c r="A5" s="81" t="s">
        <v>1191</v>
      </c>
      <c r="B5" s="91"/>
      <c r="C5" s="72"/>
      <c r="D5" s="72"/>
      <c r="E5" s="72"/>
      <c r="F5" s="72"/>
      <c r="G5" s="72"/>
    </row>
    <row r="6" spans="1:7" ht="12" customHeight="1" x14ac:dyDescent="0.2">
      <c r="B6" s="229" t="s">
        <v>240</v>
      </c>
      <c r="C6" s="99">
        <v>0</v>
      </c>
      <c r="D6" s="99">
        <v>0</v>
      </c>
      <c r="E6" s="230">
        <v>0</v>
      </c>
      <c r="F6" s="230">
        <v>0</v>
      </c>
      <c r="G6" s="230">
        <v>0</v>
      </c>
    </row>
    <row r="7" spans="1:7" x14ac:dyDescent="0.2">
      <c r="A7" s="81"/>
      <c r="B7" s="229" t="s">
        <v>241</v>
      </c>
      <c r="C7" s="99">
        <v>564.9337309</v>
      </c>
      <c r="D7" s="99">
        <v>313.33586043000003</v>
      </c>
      <c r="E7" s="230">
        <v>0.41314536203437208</v>
      </c>
      <c r="F7" s="230">
        <v>0.45</v>
      </c>
      <c r="G7" s="230">
        <v>0.85112514097266478</v>
      </c>
    </row>
    <row r="8" spans="1:7" x14ac:dyDescent="0.2">
      <c r="A8" s="81"/>
      <c r="B8" s="229" t="s">
        <v>242</v>
      </c>
      <c r="C8" s="99">
        <v>3694.0057887400003</v>
      </c>
      <c r="D8" s="99">
        <v>1302.3895000799998</v>
      </c>
      <c r="E8" s="230">
        <v>0.5595863597990326</v>
      </c>
      <c r="F8" s="230">
        <v>0.45</v>
      </c>
      <c r="G8" s="230">
        <v>0.89557973634207955</v>
      </c>
    </row>
    <row r="9" spans="1:7" x14ac:dyDescent="0.2">
      <c r="A9" s="81"/>
      <c r="B9" s="229" t="s">
        <v>243</v>
      </c>
      <c r="C9" s="99">
        <v>5673.78477484</v>
      </c>
      <c r="D9" s="99">
        <v>1667.13478179</v>
      </c>
      <c r="E9" s="230">
        <v>0.70129565217563528</v>
      </c>
      <c r="F9" s="230">
        <v>0.45</v>
      </c>
      <c r="G9" s="230">
        <v>0.91115344018856781</v>
      </c>
    </row>
    <row r="10" spans="1:7" x14ac:dyDescent="0.2">
      <c r="A10" s="81"/>
      <c r="B10" s="229" t="s">
        <v>244</v>
      </c>
      <c r="C10" s="99">
        <v>1723.8868027700003</v>
      </c>
      <c r="D10" s="99">
        <v>190.421783</v>
      </c>
      <c r="E10" s="230">
        <v>0.78060543280469397</v>
      </c>
      <c r="F10" s="230">
        <v>0.45</v>
      </c>
      <c r="G10" s="230">
        <v>0.96483944255752641</v>
      </c>
    </row>
    <row r="11" spans="1:7" x14ac:dyDescent="0.2">
      <c r="A11" s="81"/>
      <c r="B11" s="229" t="s">
        <v>245</v>
      </c>
      <c r="C11" s="99">
        <v>5798.8927411092009</v>
      </c>
      <c r="D11" s="99">
        <v>1372.2857500700002</v>
      </c>
      <c r="E11" s="230">
        <v>1.0130679653388142</v>
      </c>
      <c r="F11" s="230">
        <v>0.45</v>
      </c>
      <c r="G11" s="230">
        <v>0.92689649066431157</v>
      </c>
    </row>
    <row r="12" spans="1:7" x14ac:dyDescent="0.2">
      <c r="A12" s="81"/>
      <c r="B12" s="229" t="s">
        <v>246</v>
      </c>
      <c r="C12" s="99">
        <v>5490.0125074899997</v>
      </c>
      <c r="D12" s="99">
        <v>1807.2005045100002</v>
      </c>
      <c r="E12" s="230">
        <v>1.1757615488148379</v>
      </c>
      <c r="F12" s="230">
        <v>0.45</v>
      </c>
      <c r="G12" s="230">
        <v>0.90112288842672961</v>
      </c>
    </row>
    <row r="13" spans="1:7" x14ac:dyDescent="0.2">
      <c r="A13" s="81"/>
      <c r="B13" s="229" t="s">
        <v>247</v>
      </c>
      <c r="C13" s="99">
        <v>397.55686234000001</v>
      </c>
      <c r="D13" s="99">
        <v>27.912341670000004</v>
      </c>
      <c r="E13" s="230">
        <v>1.7260502541771821</v>
      </c>
      <c r="F13" s="230">
        <v>0.45</v>
      </c>
      <c r="G13" s="230">
        <v>0.97713195815046061</v>
      </c>
    </row>
    <row r="14" spans="1:7" x14ac:dyDescent="0.2">
      <c r="A14" s="81"/>
      <c r="B14" s="229" t="s">
        <v>248</v>
      </c>
      <c r="C14" s="99">
        <v>631.65496628000005</v>
      </c>
      <c r="D14" s="99">
        <v>157.61430566000001</v>
      </c>
      <c r="E14" s="230">
        <v>1.8168262744137305</v>
      </c>
      <c r="F14" s="230">
        <v>0.45</v>
      </c>
      <c r="G14" s="230">
        <v>0.92321158432027872</v>
      </c>
    </row>
    <row r="15" spans="1:7" x14ac:dyDescent="0.2">
      <c r="A15" s="81"/>
      <c r="B15" s="229" t="s">
        <v>249</v>
      </c>
      <c r="C15" s="99">
        <v>6.2825498399999997</v>
      </c>
      <c r="D15" s="99">
        <v>2.0842302399999997</v>
      </c>
      <c r="E15" s="230">
        <v>0</v>
      </c>
      <c r="F15" s="230">
        <v>0.45</v>
      </c>
      <c r="G15" s="230">
        <v>0.90042794747089061</v>
      </c>
    </row>
    <row r="16" spans="1:7" x14ac:dyDescent="0.2">
      <c r="A16" s="81"/>
      <c r="B16" s="229" t="s">
        <v>250</v>
      </c>
      <c r="C16" s="99">
        <v>200.08377525999998</v>
      </c>
      <c r="D16" s="99">
        <v>30.974340420000001</v>
      </c>
      <c r="E16" s="230">
        <v>0</v>
      </c>
      <c r="F16" s="230">
        <v>0.45</v>
      </c>
      <c r="G16" s="230">
        <v>0.9509298464986653</v>
      </c>
    </row>
    <row r="17" spans="1:7" ht="12" customHeight="1" x14ac:dyDescent="0.2">
      <c r="A17" s="231" t="s">
        <v>1217</v>
      </c>
      <c r="B17" s="232"/>
      <c r="C17" s="233">
        <v>24181.094499569201</v>
      </c>
      <c r="D17" s="233">
        <v>6871.3533978700007</v>
      </c>
      <c r="E17" s="234">
        <v>0.90106010474373244</v>
      </c>
      <c r="F17" s="234"/>
      <c r="G17" s="234">
        <v>0.91389770318743091</v>
      </c>
    </row>
    <row r="18" spans="1:7" s="393" customFormat="1" ht="12" customHeight="1" x14ac:dyDescent="0.2">
      <c r="A18" s="81" t="s">
        <v>251</v>
      </c>
      <c r="B18" s="436"/>
      <c r="C18" s="217"/>
      <c r="D18" s="217"/>
      <c r="E18" s="437"/>
      <c r="F18" s="437"/>
      <c r="G18" s="437"/>
    </row>
    <row r="19" spans="1:7" s="393" customFormat="1" ht="12" customHeight="1" x14ac:dyDescent="0.2">
      <c r="B19" s="229" t="s">
        <v>252</v>
      </c>
      <c r="C19" s="99">
        <v>444.90001485963086</v>
      </c>
      <c r="D19" s="99">
        <v>11.180615851254998</v>
      </c>
      <c r="E19" s="230">
        <v>0.17268172306857055</v>
      </c>
      <c r="F19" s="230">
        <v>0.23606744859037854</v>
      </c>
      <c r="G19" s="230">
        <v>0.99928062445083665</v>
      </c>
    </row>
    <row r="20" spans="1:7" s="393" customFormat="1" ht="12" customHeight="1" x14ac:dyDescent="0.2">
      <c r="A20" s="81"/>
      <c r="B20" s="229" t="s">
        <v>253</v>
      </c>
      <c r="C20" s="99">
        <v>620.21023843305636</v>
      </c>
      <c r="D20" s="99">
        <v>87.639814376700002</v>
      </c>
      <c r="E20" s="230">
        <v>0.41683370023628741</v>
      </c>
      <c r="F20" s="230">
        <v>0.40190669637280452</v>
      </c>
      <c r="G20" s="230">
        <v>0.96267303212004607</v>
      </c>
    </row>
    <row r="21" spans="1:7" s="393" customFormat="1" ht="12" customHeight="1" x14ac:dyDescent="0.2">
      <c r="A21" s="81"/>
      <c r="B21" s="229" t="s">
        <v>254</v>
      </c>
      <c r="C21" s="99">
        <v>4207.2827805445204</v>
      </c>
      <c r="D21" s="99">
        <v>1420.5292247438201</v>
      </c>
      <c r="E21" s="230">
        <v>0.58293468572525242</v>
      </c>
      <c r="F21" s="230">
        <v>0.42537131641770837</v>
      </c>
      <c r="G21" s="230">
        <v>0.90200165663574272</v>
      </c>
    </row>
    <row r="22" spans="1:7" s="393" customFormat="1" ht="12" customHeight="1" x14ac:dyDescent="0.2">
      <c r="A22" s="81"/>
      <c r="B22" s="229" t="s">
        <v>255</v>
      </c>
      <c r="C22" s="99">
        <v>7700.6165797911754</v>
      </c>
      <c r="D22" s="99">
        <v>1102.51532189</v>
      </c>
      <c r="E22" s="230">
        <v>0.65712445923533114</v>
      </c>
      <c r="F22" s="230">
        <v>0.44798674217524898</v>
      </c>
      <c r="G22" s="230">
        <v>0.95450947086431936</v>
      </c>
    </row>
    <row r="23" spans="1:7" s="393" customFormat="1" ht="12" customHeight="1" x14ac:dyDescent="0.2">
      <c r="A23" s="81"/>
      <c r="B23" s="229" t="s">
        <v>256</v>
      </c>
      <c r="C23" s="99">
        <v>3966.3110925109909</v>
      </c>
      <c r="D23" s="99">
        <v>691.06470694751499</v>
      </c>
      <c r="E23" s="230">
        <v>0.72565867063158718</v>
      </c>
      <c r="F23" s="230">
        <v>0.40994461657815323</v>
      </c>
      <c r="G23" s="230">
        <v>0.94610874868111516</v>
      </c>
    </row>
    <row r="24" spans="1:7" s="393" customFormat="1" ht="12" customHeight="1" x14ac:dyDescent="0.2">
      <c r="A24" s="81"/>
      <c r="B24" s="229" t="s">
        <v>257</v>
      </c>
      <c r="C24" s="99">
        <v>10150.563535468342</v>
      </c>
      <c r="D24" s="99">
        <v>1001.303228049655</v>
      </c>
      <c r="E24" s="230">
        <v>0.90800291445396586</v>
      </c>
      <c r="F24" s="230">
        <v>0.43887347784192743</v>
      </c>
      <c r="G24" s="230">
        <v>0.96822603348047898</v>
      </c>
    </row>
    <row r="25" spans="1:7" s="393" customFormat="1" ht="12" customHeight="1" x14ac:dyDescent="0.2">
      <c r="A25" s="81"/>
      <c r="B25" s="229" t="s">
        <v>258</v>
      </c>
      <c r="C25" s="99">
        <v>8556.0553148487616</v>
      </c>
      <c r="D25" s="99">
        <v>1185.0289809763049</v>
      </c>
      <c r="E25" s="230">
        <v>1.0821659355936168</v>
      </c>
      <c r="F25" s="230">
        <v>0.43497935589051412</v>
      </c>
      <c r="G25" s="230">
        <v>0.95606803497550108</v>
      </c>
    </row>
    <row r="26" spans="1:7" s="393" customFormat="1" ht="12" customHeight="1" x14ac:dyDescent="0.2">
      <c r="A26" s="81"/>
      <c r="B26" s="229" t="s">
        <v>259</v>
      </c>
      <c r="C26" s="99">
        <v>891.24291243105995</v>
      </c>
      <c r="D26" s="99">
        <v>97.855372619999997</v>
      </c>
      <c r="E26" s="230">
        <v>1.2070464847292799</v>
      </c>
      <c r="F26" s="230">
        <v>0.35736527478950153</v>
      </c>
      <c r="G26" s="230">
        <v>0.96554776702214185</v>
      </c>
    </row>
    <row r="27" spans="1:7" s="393" customFormat="1" ht="12" customHeight="1" x14ac:dyDescent="0.2">
      <c r="A27" s="81"/>
      <c r="B27" s="229" t="s">
        <v>260</v>
      </c>
      <c r="C27" s="99">
        <v>1314.38652625138</v>
      </c>
      <c r="D27" s="99">
        <v>50.020629829999997</v>
      </c>
      <c r="E27" s="230">
        <v>1.6420116534905826</v>
      </c>
      <c r="F27" s="230">
        <v>0.42422193729544083</v>
      </c>
      <c r="G27" s="230">
        <v>0.98755710072929925</v>
      </c>
    </row>
    <row r="28" spans="1:7" s="393" customFormat="1" ht="12" customHeight="1" x14ac:dyDescent="0.2">
      <c r="A28" s="81"/>
      <c r="B28" s="229" t="s">
        <v>261</v>
      </c>
      <c r="C28" s="99">
        <v>50.138066222274993</v>
      </c>
      <c r="D28" s="99">
        <v>0</v>
      </c>
      <c r="E28" s="230">
        <v>0.42262378584067456</v>
      </c>
      <c r="F28" s="230">
        <v>0.32908069028111969</v>
      </c>
      <c r="G28" s="230">
        <v>1</v>
      </c>
    </row>
    <row r="29" spans="1:7" s="393" customFormat="1" ht="12" customHeight="1" x14ac:dyDescent="0.2">
      <c r="A29" s="81"/>
      <c r="B29" s="229" t="s">
        <v>262</v>
      </c>
      <c r="C29" s="99">
        <v>425.38751354368497</v>
      </c>
      <c r="D29" s="99">
        <v>7.37606545545</v>
      </c>
      <c r="E29" s="230">
        <v>0.53515878470626521</v>
      </c>
      <c r="F29" s="230">
        <v>0.45315808853211126</v>
      </c>
      <c r="G29" s="230">
        <v>0.99432394721948103</v>
      </c>
    </row>
    <row r="30" spans="1:7" s="393" customFormat="1" ht="12" customHeight="1" x14ac:dyDescent="0.2">
      <c r="A30" s="231" t="s">
        <v>263</v>
      </c>
      <c r="B30" s="232"/>
      <c r="C30" s="233">
        <v>38327.09457490487</v>
      </c>
      <c r="D30" s="233">
        <v>5654.5139607406991</v>
      </c>
      <c r="E30" s="234">
        <v>0.85279188256928817</v>
      </c>
      <c r="F30" s="234"/>
      <c r="G30" s="234">
        <v>0.9538195385283923</v>
      </c>
    </row>
    <row r="31" spans="1:7" s="393" customFormat="1" ht="12" customHeight="1" x14ac:dyDescent="0.2">
      <c r="A31" s="81" t="s">
        <v>264</v>
      </c>
      <c r="B31" s="436"/>
      <c r="C31" s="217"/>
      <c r="D31" s="217"/>
      <c r="E31" s="437"/>
      <c r="F31" s="437"/>
      <c r="G31" s="437"/>
    </row>
    <row r="32" spans="1:7" s="393" customFormat="1" ht="12" customHeight="1" x14ac:dyDescent="0.2">
      <c r="B32" s="229" t="s">
        <v>265</v>
      </c>
      <c r="C32" s="99">
        <v>46.094845457534994</v>
      </c>
      <c r="D32" s="99">
        <v>0</v>
      </c>
      <c r="E32" s="230">
        <v>0.16716465173467748</v>
      </c>
      <c r="F32" s="230">
        <v>0</v>
      </c>
      <c r="G32" s="230">
        <v>0</v>
      </c>
    </row>
    <row r="33" spans="1:7" s="393" customFormat="1" ht="12" customHeight="1" x14ac:dyDescent="0.2">
      <c r="A33" s="81"/>
      <c r="B33" s="229" t="s">
        <v>266</v>
      </c>
      <c r="C33" s="99">
        <v>45.071485512599985</v>
      </c>
      <c r="D33" s="99">
        <v>7.5000000000000002E-4</v>
      </c>
      <c r="E33" s="230">
        <v>0.23594331412102915</v>
      </c>
      <c r="F33" s="230">
        <v>1.0523548287715376E-5</v>
      </c>
      <c r="G33" s="230">
        <v>0.99999583994186425</v>
      </c>
    </row>
    <row r="34" spans="1:7" s="393" customFormat="1" ht="12" customHeight="1" x14ac:dyDescent="0.2">
      <c r="A34" s="81"/>
      <c r="B34" s="229" t="s">
        <v>267</v>
      </c>
      <c r="C34" s="99">
        <v>1715.3905738156141</v>
      </c>
      <c r="D34" s="99">
        <v>1121.6108224100001</v>
      </c>
      <c r="E34" s="230">
        <v>0.65158445945608645</v>
      </c>
      <c r="F34" s="230">
        <v>0.39655961541018303</v>
      </c>
      <c r="G34" s="230">
        <v>0.82129210021792531</v>
      </c>
    </row>
    <row r="35" spans="1:7" s="393" customFormat="1" ht="12" customHeight="1" x14ac:dyDescent="0.2">
      <c r="A35" s="81"/>
      <c r="B35" s="229" t="s">
        <v>268</v>
      </c>
      <c r="C35" s="99">
        <v>2742.2752607458801</v>
      </c>
      <c r="D35" s="99">
        <v>1115.00240796</v>
      </c>
      <c r="E35" s="230">
        <v>0.7921098168586409</v>
      </c>
      <c r="F35" s="230">
        <v>0.2420461333795407</v>
      </c>
      <c r="G35" s="230">
        <v>0.8810821478033678</v>
      </c>
    </row>
    <row r="36" spans="1:7" s="393" customFormat="1" ht="12" customHeight="1" x14ac:dyDescent="0.2">
      <c r="A36" s="81"/>
      <c r="B36" s="229" t="s">
        <v>269</v>
      </c>
      <c r="C36" s="99">
        <v>531.08535241740503</v>
      </c>
      <c r="D36" s="99">
        <v>339.89495302</v>
      </c>
      <c r="E36" s="230">
        <v>0.87723578744725828</v>
      </c>
      <c r="F36" s="230">
        <v>0.40153549870531058</v>
      </c>
      <c r="G36" s="230">
        <v>0.82651886369057315</v>
      </c>
    </row>
    <row r="37" spans="1:7" s="393" customFormat="1" ht="12" customHeight="1" x14ac:dyDescent="0.2">
      <c r="A37" s="81"/>
      <c r="B37" s="229" t="s">
        <v>270</v>
      </c>
      <c r="C37" s="99">
        <v>2232.0324854005412</v>
      </c>
      <c r="D37" s="99">
        <v>717.01077696000004</v>
      </c>
      <c r="E37" s="230">
        <v>1.2167123691581274</v>
      </c>
      <c r="F37" s="230">
        <v>0.268501007458602</v>
      </c>
      <c r="G37" s="230">
        <v>0.903471603372347</v>
      </c>
    </row>
    <row r="38" spans="1:7" s="393" customFormat="1" ht="12" customHeight="1" x14ac:dyDescent="0.2">
      <c r="A38" s="81"/>
      <c r="B38" s="229" t="s">
        <v>271</v>
      </c>
      <c r="C38" s="99">
        <v>1569.484583787664</v>
      </c>
      <c r="D38" s="99">
        <v>444.93120988885494</v>
      </c>
      <c r="E38" s="230">
        <v>1.3535437114355495</v>
      </c>
      <c r="F38" s="230">
        <v>0.21508225046022111</v>
      </c>
      <c r="G38" s="230">
        <v>0.91417853895729917</v>
      </c>
    </row>
    <row r="39" spans="1:7" s="393" customFormat="1" ht="12" customHeight="1" x14ac:dyDescent="0.2">
      <c r="A39" s="81"/>
      <c r="B39" s="229" t="s">
        <v>272</v>
      </c>
      <c r="C39" s="99">
        <v>85.843476307354493</v>
      </c>
      <c r="D39" s="99">
        <v>2.4149999999999998E-2</v>
      </c>
      <c r="E39" s="230">
        <v>1.1210721371818011</v>
      </c>
      <c r="F39" s="230">
        <v>2.0739415111751259E-4</v>
      </c>
      <c r="G39" s="230">
        <v>1</v>
      </c>
    </row>
    <row r="40" spans="1:7" s="393" customFormat="1" ht="12" customHeight="1" x14ac:dyDescent="0.2">
      <c r="A40" s="81"/>
      <c r="B40" s="229" t="s">
        <v>273</v>
      </c>
      <c r="C40" s="99">
        <v>50.805166911649493</v>
      </c>
      <c r="D40" s="99">
        <v>0</v>
      </c>
      <c r="E40" s="230">
        <v>1.5492703096870122</v>
      </c>
      <c r="F40" s="230">
        <v>0</v>
      </c>
      <c r="G40" s="230">
        <v>1</v>
      </c>
    </row>
    <row r="41" spans="1:7" s="393" customFormat="1" ht="12" customHeight="1" x14ac:dyDescent="0.2">
      <c r="A41" s="81"/>
      <c r="B41" s="229" t="s">
        <v>274</v>
      </c>
      <c r="C41" s="99">
        <v>0</v>
      </c>
      <c r="D41" s="99">
        <v>0</v>
      </c>
      <c r="E41" s="230">
        <v>0</v>
      </c>
      <c r="F41" s="230">
        <v>0</v>
      </c>
      <c r="G41" s="230">
        <v>0</v>
      </c>
    </row>
    <row r="42" spans="1:7" s="393" customFormat="1" ht="12" customHeight="1" x14ac:dyDescent="0.2">
      <c r="A42" s="81"/>
      <c r="B42" s="229" t="s">
        <v>275</v>
      </c>
      <c r="C42" s="99">
        <v>0</v>
      </c>
      <c r="D42" s="99">
        <v>0</v>
      </c>
      <c r="E42" s="230">
        <v>0</v>
      </c>
      <c r="F42" s="230">
        <v>0</v>
      </c>
      <c r="G42" s="230">
        <v>0</v>
      </c>
    </row>
    <row r="43" spans="1:7" s="393" customFormat="1" ht="12" customHeight="1" x14ac:dyDescent="0.2">
      <c r="A43" s="231" t="s">
        <v>276</v>
      </c>
      <c r="B43" s="232"/>
      <c r="C43" s="233">
        <v>9018.0832303562456</v>
      </c>
      <c r="D43" s="233">
        <v>3738.4750702388546</v>
      </c>
      <c r="E43" s="234">
        <v>0.97461808454031218</v>
      </c>
      <c r="F43" s="234"/>
      <c r="G43" s="234">
        <v>0.87946717814067488</v>
      </c>
    </row>
    <row r="44" spans="1:7" s="393" customFormat="1" ht="12" customHeight="1" x14ac:dyDescent="0.2">
      <c r="A44" s="504" t="s">
        <v>1218</v>
      </c>
      <c r="B44" s="436"/>
      <c r="C44" s="217"/>
      <c r="D44" s="217"/>
      <c r="E44" s="437"/>
      <c r="F44" s="437"/>
      <c r="G44" s="437"/>
    </row>
    <row r="45" spans="1:7" s="393" customFormat="1" ht="12" customHeight="1" x14ac:dyDescent="0.2">
      <c r="A45" s="503"/>
      <c r="B45" s="229" t="s">
        <v>277</v>
      </c>
      <c r="C45" s="99">
        <v>449.57297758369799</v>
      </c>
      <c r="D45" s="99">
        <v>255.87527535863697</v>
      </c>
      <c r="E45" s="230">
        <v>4.3811230523710949E-2</v>
      </c>
      <c r="F45" s="230">
        <v>0.19577320882980645</v>
      </c>
      <c r="G45" s="230">
        <v>0.99930482346777316</v>
      </c>
    </row>
    <row r="46" spans="1:7" s="393" customFormat="1" ht="12" customHeight="1" x14ac:dyDescent="0.2">
      <c r="A46" s="81"/>
      <c r="B46" s="229" t="s">
        <v>278</v>
      </c>
      <c r="C46" s="99">
        <v>1952.2345190604678</v>
      </c>
      <c r="D46" s="99">
        <v>409.29925086266303</v>
      </c>
      <c r="E46" s="230">
        <v>7.465464317606918E-2</v>
      </c>
      <c r="F46" s="230">
        <v>0.19927955477363452</v>
      </c>
      <c r="G46" s="230">
        <v>0.99939276201806437</v>
      </c>
    </row>
    <row r="47" spans="1:7" s="393" customFormat="1" ht="12" customHeight="1" x14ac:dyDescent="0.2">
      <c r="A47" s="81"/>
      <c r="B47" s="229" t="s">
        <v>279</v>
      </c>
      <c r="C47" s="99">
        <v>1486.4672406439809</v>
      </c>
      <c r="D47" s="99">
        <v>107.360630569926</v>
      </c>
      <c r="E47" s="230">
        <v>0.13788879679856003</v>
      </c>
      <c r="F47" s="230">
        <v>0.21302997289983203</v>
      </c>
      <c r="G47" s="230">
        <v>0.99970282312795655</v>
      </c>
    </row>
    <row r="48" spans="1:7" s="393" customFormat="1" ht="12" customHeight="1" x14ac:dyDescent="0.2">
      <c r="A48" s="81"/>
      <c r="B48" s="229" t="s">
        <v>280</v>
      </c>
      <c r="C48" s="99">
        <v>646.16225120942806</v>
      </c>
      <c r="D48" s="99">
        <v>17.18025684318</v>
      </c>
      <c r="E48" s="230">
        <v>0.21605329208233209</v>
      </c>
      <c r="F48" s="230">
        <v>0.22572608479809378</v>
      </c>
      <c r="G48" s="230">
        <v>0.99970178926497155</v>
      </c>
    </row>
    <row r="49" spans="1:7" s="393" customFormat="1" ht="12" customHeight="1" x14ac:dyDescent="0.2">
      <c r="A49" s="81"/>
      <c r="B49" s="229" t="s">
        <v>281</v>
      </c>
      <c r="C49" s="99">
        <v>663.947271803582</v>
      </c>
      <c r="D49" s="99">
        <v>13.177418483662001</v>
      </c>
      <c r="E49" s="230">
        <v>0.32109569575647379</v>
      </c>
      <c r="F49" s="230">
        <v>0.24759425087467582</v>
      </c>
      <c r="G49" s="230">
        <v>0.99930032134084779</v>
      </c>
    </row>
    <row r="50" spans="1:7" s="393" customFormat="1" ht="12" customHeight="1" x14ac:dyDescent="0.2">
      <c r="A50" s="81"/>
      <c r="B50" s="229" t="s">
        <v>282</v>
      </c>
      <c r="C50" s="99">
        <v>239.61839959903398</v>
      </c>
      <c r="D50" s="99">
        <v>2.917439427233</v>
      </c>
      <c r="E50" s="230">
        <v>0.37895821514790134</v>
      </c>
      <c r="F50" s="230">
        <v>0.21149429189265695</v>
      </c>
      <c r="G50" s="230">
        <v>0.99963392678850005</v>
      </c>
    </row>
    <row r="51" spans="1:7" s="393" customFormat="1" ht="12" customHeight="1" x14ac:dyDescent="0.2">
      <c r="A51" s="81"/>
      <c r="B51" s="229" t="s">
        <v>283</v>
      </c>
      <c r="C51" s="99">
        <v>137.406149630838</v>
      </c>
      <c r="D51" s="99">
        <v>1.597685375842</v>
      </c>
      <c r="E51" s="230">
        <v>0.77299201755010927</v>
      </c>
      <c r="F51" s="230">
        <v>0.27908953992403507</v>
      </c>
      <c r="G51" s="230">
        <v>0.99842595093304087</v>
      </c>
    </row>
    <row r="52" spans="1:7" s="393" customFormat="1" ht="12" customHeight="1" x14ac:dyDescent="0.2">
      <c r="A52" s="81"/>
      <c r="B52" s="229" t="s">
        <v>284</v>
      </c>
      <c r="C52" s="99">
        <v>72.514242493099999</v>
      </c>
      <c r="D52" s="99">
        <v>0.64208438633799991</v>
      </c>
      <c r="E52" s="230">
        <v>0.86627561328685043</v>
      </c>
      <c r="F52" s="230">
        <v>0.20303304666095998</v>
      </c>
      <c r="G52" s="230">
        <v>0.99917326040288046</v>
      </c>
    </row>
    <row r="53" spans="1:7" s="393" customFormat="1" ht="12" customHeight="1" x14ac:dyDescent="0.2">
      <c r="A53" s="81"/>
      <c r="B53" s="229" t="s">
        <v>285</v>
      </c>
      <c r="C53" s="99">
        <v>135.722801936119</v>
      </c>
      <c r="D53" s="99">
        <v>0.58632778349600001</v>
      </c>
      <c r="E53" s="230">
        <v>1.1857321697727281</v>
      </c>
      <c r="F53" s="230">
        <v>0.20558722043644775</v>
      </c>
      <c r="G53" s="230">
        <v>0.99964094098281397</v>
      </c>
    </row>
    <row r="54" spans="1:7" s="393" customFormat="1" ht="12" customHeight="1" x14ac:dyDescent="0.2">
      <c r="A54" s="81"/>
      <c r="B54" s="229" t="s">
        <v>286</v>
      </c>
      <c r="C54" s="99">
        <v>2.4866599999999996</v>
      </c>
      <c r="D54" s="99">
        <v>0.11545925999999999</v>
      </c>
      <c r="E54" s="230">
        <v>0</v>
      </c>
      <c r="F54" s="230">
        <v>0.165824</v>
      </c>
      <c r="G54" s="230">
        <v>1</v>
      </c>
    </row>
    <row r="55" spans="1:7" s="393" customFormat="1" ht="12" customHeight="1" x14ac:dyDescent="0.2">
      <c r="A55" s="81"/>
      <c r="B55" s="229" t="s">
        <v>287</v>
      </c>
      <c r="C55" s="99">
        <v>15.15710193</v>
      </c>
      <c r="D55" s="99">
        <v>0</v>
      </c>
      <c r="E55" s="230">
        <v>0</v>
      </c>
      <c r="F55" s="230">
        <v>0.728120428793679</v>
      </c>
      <c r="G55" s="230">
        <v>1</v>
      </c>
    </row>
    <row r="56" spans="1:7" s="393" customFormat="1" ht="12" customHeight="1" x14ac:dyDescent="0.2">
      <c r="A56" s="231" t="s">
        <v>1219</v>
      </c>
      <c r="B56" s="88"/>
      <c r="C56" s="235">
        <v>5801.2896158902477</v>
      </c>
      <c r="D56" s="235">
        <v>808.75182835097701</v>
      </c>
      <c r="E56" s="236">
        <v>0.19719243388284458</v>
      </c>
      <c r="F56" s="236"/>
      <c r="G56" s="237">
        <v>0.99948114921064624</v>
      </c>
    </row>
    <row r="57" spans="1:7" s="393" customFormat="1" ht="12" customHeight="1" x14ac:dyDescent="0.2">
      <c r="A57" s="81" t="s">
        <v>288</v>
      </c>
      <c r="B57" s="436"/>
      <c r="C57" s="217"/>
      <c r="D57" s="217"/>
      <c r="E57" s="437"/>
      <c r="F57" s="437"/>
      <c r="G57" s="437"/>
    </row>
    <row r="58" spans="1:7" ht="12" customHeight="1" x14ac:dyDescent="0.2">
      <c r="B58" s="229" t="s">
        <v>289</v>
      </c>
      <c r="C58" s="99">
        <v>7810.1409444664159</v>
      </c>
      <c r="D58" s="99">
        <v>3202.968151631173</v>
      </c>
      <c r="E58" s="230">
        <v>4.0890074986193334E-2</v>
      </c>
      <c r="F58" s="230">
        <v>0.18331778277487717</v>
      </c>
      <c r="G58" s="230">
        <v>0.99987316988155195</v>
      </c>
    </row>
    <row r="59" spans="1:7" x14ac:dyDescent="0.2">
      <c r="A59" s="81"/>
      <c r="B59" s="229" t="s">
        <v>290</v>
      </c>
      <c r="C59" s="99">
        <v>35940.430513965875</v>
      </c>
      <c r="D59" s="99">
        <v>6137.7412525942418</v>
      </c>
      <c r="E59" s="230">
        <v>7.1035966061916492E-2</v>
      </c>
      <c r="F59" s="230">
        <v>0.19270598771249478</v>
      </c>
      <c r="G59" s="230">
        <v>0.99992975674978701</v>
      </c>
    </row>
    <row r="60" spans="1:7" x14ac:dyDescent="0.2">
      <c r="A60" s="81"/>
      <c r="B60" s="229" t="s">
        <v>291</v>
      </c>
      <c r="C60" s="99">
        <v>32586.931431067234</v>
      </c>
      <c r="D60" s="99">
        <v>901.70989194186802</v>
      </c>
      <c r="E60" s="230">
        <v>0.13049761874403745</v>
      </c>
      <c r="F60" s="230">
        <v>0.19787445813423843</v>
      </c>
      <c r="G60" s="230">
        <v>0.99995705708262184</v>
      </c>
    </row>
    <row r="61" spans="1:7" x14ac:dyDescent="0.2">
      <c r="A61" s="81"/>
      <c r="B61" s="229" t="s">
        <v>292</v>
      </c>
      <c r="C61" s="99">
        <v>18791.082383079178</v>
      </c>
      <c r="D61" s="99">
        <v>170.92524952787502</v>
      </c>
      <c r="E61" s="230">
        <v>0.19702790045892785</v>
      </c>
      <c r="F61" s="230">
        <v>0.20734167432222544</v>
      </c>
      <c r="G61" s="230">
        <v>0.99997105426157795</v>
      </c>
    </row>
    <row r="62" spans="1:7" x14ac:dyDescent="0.2">
      <c r="A62" s="81"/>
      <c r="B62" s="229" t="s">
        <v>293</v>
      </c>
      <c r="C62" s="99">
        <v>13244.914899156151</v>
      </c>
      <c r="D62" s="99">
        <v>80.445162902814005</v>
      </c>
      <c r="E62" s="230">
        <v>0.26594323497500655</v>
      </c>
      <c r="F62" s="230">
        <v>0.20909829489633658</v>
      </c>
      <c r="G62" s="230">
        <v>0.9999604432132384</v>
      </c>
    </row>
    <row r="63" spans="1:7" x14ac:dyDescent="0.2">
      <c r="A63" s="81"/>
      <c r="B63" s="229" t="s">
        <v>294</v>
      </c>
      <c r="C63" s="99">
        <v>5750.478955932741</v>
      </c>
      <c r="D63" s="99">
        <v>38.578014701341004</v>
      </c>
      <c r="E63" s="230">
        <v>0.39033941296138436</v>
      </c>
      <c r="F63" s="230">
        <v>0.21218036075906466</v>
      </c>
      <c r="G63" s="230">
        <v>0.99992033819999171</v>
      </c>
    </row>
    <row r="64" spans="1:7" x14ac:dyDescent="0.2">
      <c r="A64" s="81"/>
      <c r="B64" s="229" t="s">
        <v>295</v>
      </c>
      <c r="C64" s="99">
        <v>2009.9413039785607</v>
      </c>
      <c r="D64" s="99">
        <v>13.246739424692</v>
      </c>
      <c r="E64" s="230">
        <v>0.586070461505379</v>
      </c>
      <c r="F64" s="230">
        <v>0.20413080559900182</v>
      </c>
      <c r="G64" s="230">
        <v>0.99986431793198327</v>
      </c>
    </row>
    <row r="65" spans="1:7" x14ac:dyDescent="0.2">
      <c r="A65" s="81"/>
      <c r="B65" s="229" t="s">
        <v>296</v>
      </c>
      <c r="C65" s="99">
        <v>1323.704312168466</v>
      </c>
      <c r="D65" s="99">
        <v>3.3264213033040004</v>
      </c>
      <c r="E65" s="230">
        <v>0.83608387702311315</v>
      </c>
      <c r="F65" s="230">
        <v>0.20397573132339042</v>
      </c>
      <c r="G65" s="230">
        <v>0.99993465734978304</v>
      </c>
    </row>
    <row r="66" spans="1:7" x14ac:dyDescent="0.2">
      <c r="A66" s="81"/>
      <c r="B66" s="229" t="s">
        <v>297</v>
      </c>
      <c r="C66" s="99">
        <v>1395.7670131469272</v>
      </c>
      <c r="D66" s="99">
        <v>6.3604582392549993</v>
      </c>
      <c r="E66" s="230">
        <v>1.2666951274268665</v>
      </c>
      <c r="F66" s="230">
        <v>0.22133649433978281</v>
      </c>
      <c r="G66" s="230">
        <v>0.99980229835513601</v>
      </c>
    </row>
    <row r="67" spans="1:7" x14ac:dyDescent="0.2">
      <c r="A67" s="81"/>
      <c r="B67" s="229" t="s">
        <v>298</v>
      </c>
      <c r="C67" s="99">
        <v>166.20432695618803</v>
      </c>
      <c r="D67" s="99">
        <v>0.154966622139</v>
      </c>
      <c r="E67" s="230">
        <v>5.8833267950513336E-2</v>
      </c>
      <c r="F67" s="230">
        <v>0.25276969639740376</v>
      </c>
      <c r="G67" s="230">
        <v>0.99970677234435279</v>
      </c>
    </row>
    <row r="68" spans="1:7" x14ac:dyDescent="0.2">
      <c r="A68" s="81"/>
      <c r="B68" s="229" t="s">
        <v>299</v>
      </c>
      <c r="C68" s="99">
        <v>143.59494766529502</v>
      </c>
      <c r="D68" s="99">
        <v>11.611391101398</v>
      </c>
      <c r="E68" s="230">
        <v>3.0334087210024757E-2</v>
      </c>
      <c r="F68" s="230">
        <v>0.22566079805033298</v>
      </c>
      <c r="G68" s="230">
        <v>1</v>
      </c>
    </row>
    <row r="69" spans="1:7" ht="12" customHeight="1" x14ac:dyDescent="0.2">
      <c r="A69" s="231" t="s">
        <v>300</v>
      </c>
      <c r="B69" s="88"/>
      <c r="C69" s="235">
        <v>119163.19103158303</v>
      </c>
      <c r="D69" s="235">
        <v>10567.067699990099</v>
      </c>
      <c r="E69" s="236">
        <v>0.17338558435319534</v>
      </c>
      <c r="F69" s="236"/>
      <c r="G69" s="237">
        <v>0.99994021255045795</v>
      </c>
    </row>
    <row r="70" spans="1:7" x14ac:dyDescent="0.2">
      <c r="A70" s="81" t="s">
        <v>301</v>
      </c>
      <c r="B70" s="229" t="s">
        <v>302</v>
      </c>
      <c r="C70" s="99">
        <v>71.189775501699998</v>
      </c>
      <c r="D70" s="99">
        <v>38.031959026460996</v>
      </c>
      <c r="E70" s="230">
        <v>0.11491602594349866</v>
      </c>
      <c r="F70" s="230">
        <v>0.48804231317905128</v>
      </c>
      <c r="G70" s="230">
        <v>0.99184779754730679</v>
      </c>
    </row>
    <row r="71" spans="1:7" x14ac:dyDescent="0.2">
      <c r="A71" s="81"/>
      <c r="B71" s="229" t="s">
        <v>303</v>
      </c>
      <c r="C71" s="99">
        <v>373.80900024954997</v>
      </c>
      <c r="D71" s="99">
        <v>98.588737851516996</v>
      </c>
      <c r="E71" s="230">
        <v>0.18202888067228151</v>
      </c>
      <c r="F71" s="230">
        <v>0.48288824205243519</v>
      </c>
      <c r="G71" s="230">
        <v>0.99743105782085739</v>
      </c>
    </row>
    <row r="72" spans="1:7" x14ac:dyDescent="0.2">
      <c r="A72" s="81"/>
      <c r="B72" s="229" t="s">
        <v>304</v>
      </c>
      <c r="C72" s="99">
        <v>333.788090852273</v>
      </c>
      <c r="D72" s="99">
        <v>86.986996995170998</v>
      </c>
      <c r="E72" s="230">
        <v>0.31120721532157569</v>
      </c>
      <c r="F72" s="230">
        <v>0.48750139620998917</v>
      </c>
      <c r="G72" s="230">
        <v>0.99602666631367132</v>
      </c>
    </row>
    <row r="73" spans="1:7" x14ac:dyDescent="0.2">
      <c r="A73" s="81"/>
      <c r="B73" s="229" t="s">
        <v>305</v>
      </c>
      <c r="C73" s="99">
        <v>300.14684718820598</v>
      </c>
      <c r="D73" s="99">
        <v>84.474677890673007</v>
      </c>
      <c r="E73" s="230">
        <v>0.41126197271074799</v>
      </c>
      <c r="F73" s="230">
        <v>0.48713497365319025</v>
      </c>
      <c r="G73" s="230">
        <v>0.99740458867594728</v>
      </c>
    </row>
    <row r="74" spans="1:7" x14ac:dyDescent="0.2">
      <c r="A74" s="81"/>
      <c r="B74" s="229" t="s">
        <v>306</v>
      </c>
      <c r="C74" s="99">
        <v>263.243607839552</v>
      </c>
      <c r="D74" s="99">
        <v>34.150715692473</v>
      </c>
      <c r="E74" s="230">
        <v>0.52870629768267308</v>
      </c>
      <c r="F74" s="230">
        <v>0.49021422392330682</v>
      </c>
      <c r="G74" s="230">
        <v>0.9982964853930576</v>
      </c>
    </row>
    <row r="75" spans="1:7" x14ac:dyDescent="0.2">
      <c r="A75" s="81"/>
      <c r="B75" s="229" t="s">
        <v>307</v>
      </c>
      <c r="C75" s="99">
        <v>225.74757422770298</v>
      </c>
      <c r="D75" s="99">
        <v>12.022615844085999</v>
      </c>
      <c r="E75" s="230">
        <v>0.65662443934177206</v>
      </c>
      <c r="F75" s="230">
        <v>0.50169671329473442</v>
      </c>
      <c r="G75" s="230">
        <v>0.99798959259191156</v>
      </c>
    </row>
    <row r="76" spans="1:7" x14ac:dyDescent="0.2">
      <c r="A76" s="81"/>
      <c r="B76" s="229" t="s">
        <v>308</v>
      </c>
      <c r="C76" s="99">
        <v>190.86597002528998</v>
      </c>
      <c r="D76" s="99">
        <v>3.67486127951</v>
      </c>
      <c r="E76" s="230">
        <v>0.73879502700031596</v>
      </c>
      <c r="F76" s="230">
        <v>0.49055999006133921</v>
      </c>
      <c r="G76" s="230">
        <v>0.99919130135187451</v>
      </c>
    </row>
    <row r="77" spans="1:7" x14ac:dyDescent="0.2">
      <c r="A77" s="81"/>
      <c r="B77" s="229" t="s">
        <v>309</v>
      </c>
      <c r="C77" s="99">
        <v>48.732759419719997</v>
      </c>
      <c r="D77" s="99">
        <v>1.3696511186689999</v>
      </c>
      <c r="E77" s="230">
        <v>0.81018853106270383</v>
      </c>
      <c r="F77" s="230">
        <v>0.50435389772685679</v>
      </c>
      <c r="G77" s="230">
        <v>0.995555228139685</v>
      </c>
    </row>
    <row r="78" spans="1:7" x14ac:dyDescent="0.2">
      <c r="A78" s="81"/>
      <c r="B78" s="229" t="s">
        <v>310</v>
      </c>
      <c r="C78" s="99">
        <v>55.973382888678003</v>
      </c>
      <c r="D78" s="99">
        <v>4.1843829625100009</v>
      </c>
      <c r="E78" s="230">
        <v>1.1458775457373331</v>
      </c>
      <c r="F78" s="230">
        <v>0.49051583985539932</v>
      </c>
      <c r="G78" s="230">
        <v>0.99685285486622366</v>
      </c>
    </row>
    <row r="79" spans="1:7" x14ac:dyDescent="0.2">
      <c r="A79" s="81"/>
      <c r="B79" s="229" t="s">
        <v>311</v>
      </c>
      <c r="C79" s="99">
        <v>3.3946453700000001</v>
      </c>
      <c r="D79" s="99">
        <v>0.15453395</v>
      </c>
      <c r="E79" s="230">
        <v>1.4987660801888121</v>
      </c>
      <c r="F79" s="230">
        <v>0.39102004883001956</v>
      </c>
      <c r="G79" s="230">
        <v>0.98893181091880233</v>
      </c>
    </row>
    <row r="80" spans="1:7" x14ac:dyDescent="0.2">
      <c r="A80" s="81"/>
      <c r="B80" s="229" t="s">
        <v>312</v>
      </c>
      <c r="C80" s="99">
        <v>25.72017984</v>
      </c>
      <c r="D80" s="99">
        <v>4.2208000000000002E-4</v>
      </c>
      <c r="E80" s="230">
        <v>0.17617079870927529</v>
      </c>
      <c r="F80" s="230">
        <v>0.85340792911415853</v>
      </c>
      <c r="G80" s="230">
        <v>1</v>
      </c>
    </row>
    <row r="81" spans="1:9" x14ac:dyDescent="0.2">
      <c r="A81" s="231" t="s">
        <v>313</v>
      </c>
      <c r="B81" s="88"/>
      <c r="C81" s="235">
        <v>1892.6118334026717</v>
      </c>
      <c r="D81" s="235">
        <v>363.63955469107009</v>
      </c>
      <c r="E81" s="236">
        <v>0.44657977842011298</v>
      </c>
      <c r="F81" s="236"/>
      <c r="G81" s="237">
        <v>0.99728526716494537</v>
      </c>
    </row>
    <row r="82" spans="1:9" x14ac:dyDescent="0.2">
      <c r="A82" s="98"/>
      <c r="B82" s="95"/>
      <c r="C82" s="238"/>
      <c r="D82" s="238"/>
      <c r="E82" s="239"/>
      <c r="F82" s="239"/>
      <c r="G82" s="240"/>
    </row>
    <row r="83" spans="1:9" x14ac:dyDescent="0.2">
      <c r="A83" s="98"/>
      <c r="B83" s="95"/>
      <c r="C83" s="238"/>
      <c r="D83" s="238"/>
      <c r="E83" s="239"/>
      <c r="F83" s="239"/>
      <c r="G83" s="240"/>
    </row>
    <row r="84" spans="1:9" x14ac:dyDescent="0.2">
      <c r="A84" s="98"/>
      <c r="B84" s="95"/>
      <c r="C84" s="238"/>
      <c r="D84" s="238"/>
      <c r="E84" s="239"/>
      <c r="F84" s="239"/>
      <c r="G84" s="240"/>
    </row>
    <row r="85" spans="1:9" ht="36.75" thickBot="1" x14ac:dyDescent="0.25">
      <c r="A85" s="382" t="s">
        <v>1220</v>
      </c>
      <c r="B85" s="228" t="s">
        <v>314</v>
      </c>
      <c r="C85" s="381" t="s">
        <v>315</v>
      </c>
      <c r="D85" s="381" t="s">
        <v>316</v>
      </c>
      <c r="E85" s="381" t="s">
        <v>317</v>
      </c>
      <c r="F85" s="381" t="s">
        <v>318</v>
      </c>
      <c r="G85" s="381" t="s">
        <v>319</v>
      </c>
    </row>
    <row r="86" spans="1:9" x14ac:dyDescent="0.2">
      <c r="A86" s="81" t="s">
        <v>320</v>
      </c>
      <c r="B86" s="229" t="s">
        <v>321</v>
      </c>
      <c r="C86" s="99">
        <v>150.91334651</v>
      </c>
      <c r="D86" s="99">
        <v>23.134042950000001</v>
      </c>
      <c r="E86" s="230">
        <v>0.24308435135296771</v>
      </c>
      <c r="F86" s="230">
        <v>0.45000000000000007</v>
      </c>
      <c r="G86" s="230">
        <v>0.99494309721991625</v>
      </c>
    </row>
    <row r="87" spans="1:9" x14ac:dyDescent="0.2">
      <c r="A87" s="81"/>
      <c r="B87" s="229" t="s">
        <v>322</v>
      </c>
      <c r="C87" s="99">
        <v>694.44986517999996</v>
      </c>
      <c r="D87" s="99">
        <v>365.90025910999998</v>
      </c>
      <c r="E87" s="230">
        <v>0.42967995181859908</v>
      </c>
      <c r="F87" s="230">
        <v>0.44999999999999996</v>
      </c>
      <c r="G87" s="230">
        <v>0.85960106540876102</v>
      </c>
      <c r="I87" s="23"/>
    </row>
    <row r="88" spans="1:9" x14ac:dyDescent="0.2">
      <c r="A88" s="81"/>
      <c r="B88" s="229" t="s">
        <v>323</v>
      </c>
      <c r="C88" s="99">
        <v>8782.2998339399001</v>
      </c>
      <c r="D88" s="99">
        <v>3067.1250302600001</v>
      </c>
      <c r="E88" s="230">
        <v>0.58643929806275075</v>
      </c>
      <c r="F88" s="230">
        <v>0.44999999999999996</v>
      </c>
      <c r="G88" s="230">
        <v>0.89006143532465209</v>
      </c>
    </row>
    <row r="89" spans="1:9" x14ac:dyDescent="0.2">
      <c r="A89" s="81"/>
      <c r="B89" s="229" t="s">
        <v>324</v>
      </c>
      <c r="C89" s="99">
        <v>12855.7491687</v>
      </c>
      <c r="D89" s="99">
        <v>3216.4097382400005</v>
      </c>
      <c r="E89" s="230">
        <v>0.67119142680632393</v>
      </c>
      <c r="F89" s="230">
        <v>0.45</v>
      </c>
      <c r="G89" s="230">
        <v>0.93605803517227115</v>
      </c>
    </row>
    <row r="90" spans="1:9" x14ac:dyDescent="0.2">
      <c r="A90" s="81"/>
      <c r="B90" s="229" t="s">
        <v>325</v>
      </c>
      <c r="C90" s="99">
        <v>7765.40425383</v>
      </c>
      <c r="D90" s="99">
        <v>1336.0662420705</v>
      </c>
      <c r="E90" s="230">
        <v>0.79878010654173071</v>
      </c>
      <c r="F90" s="230">
        <v>0.44999999999999996</v>
      </c>
      <c r="G90" s="230">
        <v>0.94331733606691692</v>
      </c>
    </row>
    <row r="91" spans="1:9" x14ac:dyDescent="0.2">
      <c r="A91" s="81"/>
      <c r="B91" s="229" t="s">
        <v>326</v>
      </c>
      <c r="C91" s="99">
        <v>17659.451292630001</v>
      </c>
      <c r="D91" s="99">
        <v>4310.4996972600002</v>
      </c>
      <c r="E91" s="230">
        <v>0.98927235894351617</v>
      </c>
      <c r="F91" s="230">
        <v>0.44999999999999996</v>
      </c>
      <c r="G91" s="230">
        <v>0.91655828083246904</v>
      </c>
    </row>
    <row r="92" spans="1:9" x14ac:dyDescent="0.2">
      <c r="A92" s="81"/>
      <c r="B92" s="229" t="s">
        <v>327</v>
      </c>
      <c r="C92" s="99">
        <v>11129.054100900001</v>
      </c>
      <c r="D92" s="99">
        <v>1359.2215823399999</v>
      </c>
      <c r="E92" s="230">
        <v>1.1181000803339698</v>
      </c>
      <c r="F92" s="230">
        <v>0.44999999999999996</v>
      </c>
      <c r="G92" s="230">
        <v>0.962358433648974</v>
      </c>
    </row>
    <row r="93" spans="1:9" x14ac:dyDescent="0.2">
      <c r="A93" s="81"/>
      <c r="B93" s="229" t="s">
        <v>328</v>
      </c>
      <c r="C93" s="99">
        <v>972.20368281999993</v>
      </c>
      <c r="D93" s="99">
        <v>181.75390088</v>
      </c>
      <c r="E93" s="230">
        <v>1.5206476709244843</v>
      </c>
      <c r="F93" s="230">
        <v>0.45000000000000007</v>
      </c>
      <c r="G93" s="230">
        <v>0.94137112303125137</v>
      </c>
    </row>
    <row r="94" spans="1:9" x14ac:dyDescent="0.2">
      <c r="A94" s="81"/>
      <c r="B94" s="229" t="s">
        <v>329</v>
      </c>
      <c r="C94" s="99">
        <v>2094.1363081999998</v>
      </c>
      <c r="D94" s="99">
        <v>296.93589242000002</v>
      </c>
      <c r="E94" s="230">
        <v>1.7715413114452296</v>
      </c>
      <c r="F94" s="230">
        <v>0.45000000000000007</v>
      </c>
      <c r="G94" s="230">
        <v>0.95702438431476833</v>
      </c>
    </row>
    <row r="95" spans="1:9" x14ac:dyDescent="0.2">
      <c r="A95" s="81"/>
      <c r="B95" s="229" t="s">
        <v>330</v>
      </c>
      <c r="C95" s="99">
        <v>72.419528249999999</v>
      </c>
      <c r="D95" s="99">
        <v>14.33882163</v>
      </c>
      <c r="E95" s="230">
        <v>0</v>
      </c>
      <c r="F95" s="230">
        <v>0.45</v>
      </c>
      <c r="G95" s="230">
        <v>0.88472989913011957</v>
      </c>
    </row>
    <row r="96" spans="1:9" x14ac:dyDescent="0.2">
      <c r="A96" s="81"/>
      <c r="B96" s="229" t="s">
        <v>331</v>
      </c>
      <c r="C96" s="99">
        <v>1192.1322702500001</v>
      </c>
      <c r="D96" s="99">
        <v>85.892516560000004</v>
      </c>
      <c r="E96" s="230">
        <v>0</v>
      </c>
      <c r="F96" s="230">
        <v>0.45</v>
      </c>
      <c r="G96" s="230">
        <v>0.97647258779418744</v>
      </c>
    </row>
    <row r="97" spans="1:7" x14ac:dyDescent="0.2">
      <c r="A97" s="231" t="s">
        <v>332</v>
      </c>
      <c r="B97" s="232"/>
      <c r="C97" s="233">
        <f>SUM(C86:C96)</f>
        <v>63368.21365120991</v>
      </c>
      <c r="D97" s="233">
        <f>SUM(D86:D96)</f>
        <v>14257.277723720503</v>
      </c>
      <c r="E97" s="234">
        <v>0.87454749074804794</v>
      </c>
      <c r="F97" s="234"/>
      <c r="G97" s="234">
        <v>0.92971443718997127</v>
      </c>
    </row>
    <row r="98" spans="1:7" x14ac:dyDescent="0.2">
      <c r="A98" s="81" t="s">
        <v>333</v>
      </c>
      <c r="B98" s="229" t="s">
        <v>334</v>
      </c>
      <c r="C98" s="99">
        <v>12298.545755679859</v>
      </c>
      <c r="D98" s="99">
        <v>3212.2324876309158</v>
      </c>
      <c r="E98" s="230">
        <v>1.6193189944111397E-2</v>
      </c>
      <c r="F98" s="230">
        <v>9.3573891355791153E-2</v>
      </c>
      <c r="G98" s="230">
        <v>0.99987945664053235</v>
      </c>
    </row>
    <row r="99" spans="1:7" x14ac:dyDescent="0.2">
      <c r="A99" s="81"/>
      <c r="B99" s="229" t="s">
        <v>335</v>
      </c>
      <c r="C99" s="99">
        <v>11628.986421669801</v>
      </c>
      <c r="D99" s="99">
        <v>1119.201845622847</v>
      </c>
      <c r="E99" s="230">
        <v>4.383813625892654E-2</v>
      </c>
      <c r="F99" s="230">
        <v>9.6071053735979697E-2</v>
      </c>
      <c r="G99" s="230">
        <v>0.99994641264666029</v>
      </c>
    </row>
    <row r="100" spans="1:7" x14ac:dyDescent="0.2">
      <c r="A100" s="81"/>
      <c r="B100" s="229" t="s">
        <v>336</v>
      </c>
      <c r="C100" s="99">
        <v>34755.528479846507</v>
      </c>
      <c r="D100" s="99">
        <v>2651.8102952534432</v>
      </c>
      <c r="E100" s="230">
        <v>6.4527273890019388E-2</v>
      </c>
      <c r="F100" s="230">
        <v>9.8050369113746497E-2</v>
      </c>
      <c r="G100" s="230">
        <v>0.99992501036084036</v>
      </c>
    </row>
    <row r="101" spans="1:7" x14ac:dyDescent="0.2">
      <c r="A101" s="81"/>
      <c r="B101" s="229" t="s">
        <v>337</v>
      </c>
      <c r="C101" s="99">
        <v>19310.769682789622</v>
      </c>
      <c r="D101" s="99">
        <v>1112.7827355149971</v>
      </c>
      <c r="E101" s="230">
        <v>9.6141480693123157E-2</v>
      </c>
      <c r="F101" s="230">
        <v>0.10102751046639552</v>
      </c>
      <c r="G101" s="230">
        <v>0.99994494098507014</v>
      </c>
    </row>
    <row r="102" spans="1:7" x14ac:dyDescent="0.2">
      <c r="A102" s="81"/>
      <c r="B102" s="229" t="s">
        <v>338</v>
      </c>
      <c r="C102" s="99">
        <v>22197.292791841264</v>
      </c>
      <c r="D102" s="99">
        <v>914.65471490261291</v>
      </c>
      <c r="E102" s="230">
        <v>0.12973297238572432</v>
      </c>
      <c r="F102" s="230">
        <v>0.10043344521833633</v>
      </c>
      <c r="G102" s="230">
        <v>0.99995585242107843</v>
      </c>
    </row>
    <row r="103" spans="1:7" x14ac:dyDescent="0.2">
      <c r="A103" s="81"/>
      <c r="B103" s="229" t="s">
        <v>339</v>
      </c>
      <c r="C103" s="99">
        <v>7445.0514618581501</v>
      </c>
      <c r="D103" s="99">
        <v>184.06030825626601</v>
      </c>
      <c r="E103" s="230">
        <v>0.19143951534675019</v>
      </c>
      <c r="F103" s="230">
        <v>0.10583440296429136</v>
      </c>
      <c r="G103" s="230">
        <v>0.99997562910358595</v>
      </c>
    </row>
    <row r="104" spans="1:7" x14ac:dyDescent="0.2">
      <c r="A104" s="81"/>
      <c r="B104" s="229" t="s">
        <v>340</v>
      </c>
      <c r="C104" s="99">
        <v>1277.388912223405</v>
      </c>
      <c r="D104" s="99">
        <v>42.172320870501999</v>
      </c>
      <c r="E104" s="230">
        <v>0.29616511604317425</v>
      </c>
      <c r="F104" s="230">
        <v>0.10508254626385657</v>
      </c>
      <c r="G104" s="230">
        <v>0.99978358966490388</v>
      </c>
    </row>
    <row r="105" spans="1:7" x14ac:dyDescent="0.2">
      <c r="A105" s="81"/>
      <c r="B105" s="229" t="s">
        <v>341</v>
      </c>
      <c r="C105" s="99">
        <v>962.23087633287696</v>
      </c>
      <c r="D105" s="99">
        <v>21.070019379862998</v>
      </c>
      <c r="E105" s="230">
        <v>0.48798912989961596</v>
      </c>
      <c r="F105" s="230">
        <v>0.11726028328092178</v>
      </c>
      <c r="G105" s="230">
        <v>0.99993453143416011</v>
      </c>
    </row>
    <row r="106" spans="1:7" x14ac:dyDescent="0.2">
      <c r="A106" s="81"/>
      <c r="B106" s="229" t="s">
        <v>342</v>
      </c>
      <c r="C106" s="99">
        <v>1133.433342045043</v>
      </c>
      <c r="D106" s="99">
        <v>7.9678109545269997</v>
      </c>
      <c r="E106" s="230">
        <v>0.58658297979166407</v>
      </c>
      <c r="F106" s="230">
        <v>0.10673418594020501</v>
      </c>
      <c r="G106" s="230">
        <v>0.99983514761260783</v>
      </c>
    </row>
    <row r="107" spans="1:7" x14ac:dyDescent="0.2">
      <c r="A107" s="81"/>
      <c r="B107" s="229" t="s">
        <v>343</v>
      </c>
      <c r="C107" s="99">
        <v>93.51966704283501</v>
      </c>
      <c r="D107" s="99">
        <v>0.29229436510000001</v>
      </c>
      <c r="E107" s="230">
        <v>0.11686382626382497</v>
      </c>
      <c r="F107" s="230">
        <v>9.3019599241146333E-2</v>
      </c>
      <c r="G107" s="230">
        <v>0.99913995879982609</v>
      </c>
    </row>
    <row r="108" spans="1:7" x14ac:dyDescent="0.2">
      <c r="A108" s="81"/>
      <c r="B108" s="229" t="s">
        <v>344</v>
      </c>
      <c r="C108" s="99">
        <v>103.953645568505</v>
      </c>
      <c r="D108" s="99">
        <v>7.8792574345000005E-2</v>
      </c>
      <c r="E108" s="230">
        <v>0.74926432301607915</v>
      </c>
      <c r="F108" s="230">
        <v>0.19849570276308648</v>
      </c>
      <c r="G108" s="230">
        <v>0.99981966367229036</v>
      </c>
    </row>
    <row r="109" spans="1:7" x14ac:dyDescent="0.2">
      <c r="A109" s="231" t="s">
        <v>345</v>
      </c>
      <c r="B109" s="88"/>
      <c r="C109" s="235">
        <f>SUM(C98:C108)</f>
        <v>111206.70103689787</v>
      </c>
      <c r="D109" s="235">
        <f>SUM(D98:D108)</f>
        <v>9266.3236253254199</v>
      </c>
      <c r="E109" s="236">
        <v>9.634973221919578E-2</v>
      </c>
      <c r="F109" s="236">
        <v>9.9287260146630016E-2</v>
      </c>
      <c r="G109" s="237">
        <v>0.99993199834272872</v>
      </c>
    </row>
    <row r="110" spans="1:7" x14ac:dyDescent="0.2">
      <c r="A110" s="81" t="s">
        <v>346</v>
      </c>
      <c r="B110" s="229" t="s">
        <v>347</v>
      </c>
      <c r="C110" s="99">
        <v>1444.4515405298753</v>
      </c>
      <c r="D110" s="99">
        <v>524.27238255296197</v>
      </c>
      <c r="E110" s="230">
        <v>3.2177991424141836E-2</v>
      </c>
      <c r="F110" s="230">
        <v>0.18848043477053794</v>
      </c>
      <c r="G110" s="230">
        <v>0.99798034667993885</v>
      </c>
    </row>
    <row r="111" spans="1:7" x14ac:dyDescent="0.2">
      <c r="A111" s="81"/>
      <c r="B111" s="229" t="s">
        <v>348</v>
      </c>
      <c r="C111" s="99">
        <v>890.6908776490709</v>
      </c>
      <c r="D111" s="99">
        <v>171.37297033563598</v>
      </c>
      <c r="E111" s="230">
        <v>0.10543199494950485</v>
      </c>
      <c r="F111" s="230">
        <v>0.23073187091708908</v>
      </c>
      <c r="G111" s="230">
        <v>0.99573700746369165</v>
      </c>
    </row>
    <row r="112" spans="1:7" x14ac:dyDescent="0.2">
      <c r="A112" s="81"/>
      <c r="B112" s="229" t="s">
        <v>349</v>
      </c>
      <c r="C112" s="99">
        <v>2380.1156695461973</v>
      </c>
      <c r="D112" s="99">
        <v>271.17308789509002</v>
      </c>
      <c r="E112" s="230">
        <v>0.14263433506387771</v>
      </c>
      <c r="F112" s="230">
        <v>0.22455558368095596</v>
      </c>
      <c r="G112" s="230">
        <v>0.99877865757258744</v>
      </c>
    </row>
    <row r="113" spans="1:7" x14ac:dyDescent="0.2">
      <c r="A113" s="81"/>
      <c r="B113" s="229" t="s">
        <v>350</v>
      </c>
      <c r="C113" s="99">
        <v>1043.8269471078881</v>
      </c>
      <c r="D113" s="99">
        <v>79.94460940652101</v>
      </c>
      <c r="E113" s="230">
        <v>0.212045073653708</v>
      </c>
      <c r="F113" s="230">
        <v>0.23946172693137749</v>
      </c>
      <c r="G113" s="230">
        <v>0.99952578322791952</v>
      </c>
    </row>
    <row r="114" spans="1:7" x14ac:dyDescent="0.2">
      <c r="A114" s="81"/>
      <c r="B114" s="229" t="s">
        <v>351</v>
      </c>
      <c r="C114" s="99">
        <v>1093.38459349038</v>
      </c>
      <c r="D114" s="99">
        <v>73.151015941533998</v>
      </c>
      <c r="E114" s="230">
        <v>0.26703033858514086</v>
      </c>
      <c r="F114" s="230">
        <v>0.23680524400826353</v>
      </c>
      <c r="G114" s="230">
        <v>0.99753756642011571</v>
      </c>
    </row>
    <row r="115" spans="1:7" x14ac:dyDescent="0.2">
      <c r="A115" s="81"/>
      <c r="B115" s="229" t="s">
        <v>352</v>
      </c>
      <c r="C115" s="99">
        <v>331.678284183747</v>
      </c>
      <c r="D115" s="99">
        <v>20.584699039657</v>
      </c>
      <c r="E115" s="230">
        <v>0.38388968598529616</v>
      </c>
      <c r="F115" s="230">
        <v>0.26596825757908249</v>
      </c>
      <c r="G115" s="230">
        <v>0.99915811412622713</v>
      </c>
    </row>
    <row r="116" spans="1:7" x14ac:dyDescent="0.2">
      <c r="A116" s="81"/>
      <c r="B116" s="229" t="s">
        <v>353</v>
      </c>
      <c r="C116" s="99">
        <v>97.721754242200007</v>
      </c>
      <c r="D116" s="99">
        <v>5.7005556700840003</v>
      </c>
      <c r="E116" s="230">
        <v>0.43854100423993636</v>
      </c>
      <c r="F116" s="230">
        <v>0.2249768157545671</v>
      </c>
      <c r="G116" s="230">
        <v>0.9971700883170691</v>
      </c>
    </row>
    <row r="117" spans="1:7" x14ac:dyDescent="0.2">
      <c r="A117" s="81"/>
      <c r="B117" s="229" t="s">
        <v>354</v>
      </c>
      <c r="C117" s="99">
        <v>69.033682863514002</v>
      </c>
      <c r="D117" s="99">
        <v>3.7710750375940001</v>
      </c>
      <c r="E117" s="230">
        <v>0.61105250675447664</v>
      </c>
      <c r="F117" s="230">
        <v>0.21724461979506099</v>
      </c>
      <c r="G117" s="230">
        <v>0.99889760881001943</v>
      </c>
    </row>
    <row r="118" spans="1:7" x14ac:dyDescent="0.2">
      <c r="A118" s="81"/>
      <c r="B118" s="229" t="s">
        <v>355</v>
      </c>
      <c r="C118" s="99">
        <v>129.525136656634</v>
      </c>
      <c r="D118" s="99">
        <v>4.0124564001029999</v>
      </c>
      <c r="E118" s="230">
        <v>0.9754672155542321</v>
      </c>
      <c r="F118" s="230">
        <v>0.29245718101275581</v>
      </c>
      <c r="G118" s="230">
        <v>0.99460898153361532</v>
      </c>
    </row>
    <row r="119" spans="1:7" x14ac:dyDescent="0.2">
      <c r="A119" s="81"/>
      <c r="B119" s="229" t="s">
        <v>356</v>
      </c>
      <c r="C119" s="99">
        <v>13.634137445</v>
      </c>
      <c r="D119" s="99">
        <v>6.1239537694999992E-2</v>
      </c>
      <c r="E119" s="230">
        <v>0.41360545549715194</v>
      </c>
      <c r="F119" s="230">
        <v>0.22182002582317151</v>
      </c>
      <c r="G119" s="230">
        <v>0.83537608803779539</v>
      </c>
    </row>
    <row r="120" spans="1:7" x14ac:dyDescent="0.2">
      <c r="A120" s="81"/>
      <c r="B120" s="229" t="s">
        <v>357</v>
      </c>
      <c r="C120" s="99">
        <v>60.191932010000002</v>
      </c>
      <c r="D120" s="99">
        <v>0.12418739000000001</v>
      </c>
      <c r="E120" s="230">
        <v>1.1112424355727206</v>
      </c>
      <c r="F120" s="230">
        <v>0.56978645158867536</v>
      </c>
      <c r="G120" s="230">
        <v>0.40930173060248315</v>
      </c>
    </row>
    <row r="121" spans="1:7" x14ac:dyDescent="0.2">
      <c r="A121" s="231" t="s">
        <v>358</v>
      </c>
      <c r="B121" s="88"/>
      <c r="C121" s="235">
        <f>SUM(C110:C120)</f>
        <v>7554.2545557245076</v>
      </c>
      <c r="D121" s="235">
        <f>SUM(D110:D120)</f>
        <v>1154.1682792068762</v>
      </c>
      <c r="E121" s="236">
        <v>0.18591098191729455</v>
      </c>
      <c r="F121" s="236">
        <v>0.22788553596175293</v>
      </c>
      <c r="G121" s="237">
        <v>0.99744774097261835</v>
      </c>
    </row>
    <row r="122" spans="1:7" x14ac:dyDescent="0.2">
      <c r="A122" s="98"/>
      <c r="B122" s="95"/>
      <c r="C122" s="238"/>
      <c r="D122" s="238"/>
      <c r="E122" s="239"/>
      <c r="F122" s="239"/>
      <c r="G122" s="240"/>
    </row>
    <row r="123" spans="1:7" x14ac:dyDescent="0.2">
      <c r="A123" s="98"/>
      <c r="B123" s="95"/>
      <c r="C123" s="238"/>
      <c r="D123" s="238"/>
      <c r="E123" s="239"/>
      <c r="F123" s="239"/>
      <c r="G123" s="240"/>
    </row>
    <row r="124" spans="1:7" x14ac:dyDescent="0.2">
      <c r="A124" s="98"/>
      <c r="B124" s="95"/>
      <c r="C124" s="238"/>
      <c r="D124" s="238"/>
      <c r="E124" s="239"/>
      <c r="F124" s="239"/>
      <c r="G124" s="240"/>
    </row>
    <row r="125" spans="1:7" x14ac:dyDescent="0.2">
      <c r="A125" s="98"/>
      <c r="B125" s="95"/>
      <c r="C125" s="238"/>
      <c r="D125" s="238"/>
      <c r="E125" s="239"/>
      <c r="F125" s="239"/>
      <c r="G125" s="240"/>
    </row>
    <row r="126" spans="1:7" x14ac:dyDescent="0.2">
      <c r="A126" s="98"/>
      <c r="B126" s="95"/>
      <c r="C126" s="238"/>
      <c r="D126" s="238"/>
      <c r="E126" s="239"/>
      <c r="F126" s="239"/>
      <c r="G126" s="240"/>
    </row>
    <row r="127" spans="1:7" x14ac:dyDescent="0.2">
      <c r="A127" s="98"/>
      <c r="B127" s="95"/>
      <c r="C127" s="238"/>
      <c r="D127" s="238"/>
      <c r="E127" s="239"/>
      <c r="F127" s="239"/>
      <c r="G127" s="240"/>
    </row>
    <row r="128" spans="1:7" x14ac:dyDescent="0.2">
      <c r="A128" s="98"/>
      <c r="B128" s="95"/>
      <c r="C128" s="238"/>
      <c r="D128" s="238"/>
      <c r="E128" s="239"/>
      <c r="F128" s="239"/>
      <c r="G128" s="240"/>
    </row>
    <row r="129" spans="1:7" x14ac:dyDescent="0.2">
      <c r="A129" s="98"/>
      <c r="B129" s="95"/>
      <c r="C129" s="238"/>
      <c r="D129" s="238"/>
      <c r="E129" s="239"/>
      <c r="F129" s="239"/>
      <c r="G129" s="240"/>
    </row>
    <row r="130" spans="1:7" x14ac:dyDescent="0.2">
      <c r="A130" s="98"/>
      <c r="B130" s="95"/>
      <c r="C130" s="238"/>
      <c r="D130" s="238"/>
      <c r="E130" s="239"/>
      <c r="F130" s="239"/>
      <c r="G130" s="240"/>
    </row>
    <row r="131" spans="1:7" x14ac:dyDescent="0.2">
      <c r="A131" s="98"/>
      <c r="B131" s="95"/>
      <c r="C131" s="238"/>
      <c r="D131" s="238"/>
      <c r="E131" s="239"/>
      <c r="F131" s="239"/>
      <c r="G131" s="240"/>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E31" sqref="E31"/>
    </sheetView>
  </sheetViews>
  <sheetFormatPr baseColWidth="10" defaultColWidth="11" defaultRowHeight="12" x14ac:dyDescent="0.2"/>
  <cols>
    <col min="1" max="1" width="30.25" style="242" customWidth="1"/>
    <col min="2" max="2" width="19.875" style="242" customWidth="1"/>
    <col min="3" max="3" width="15" style="242" customWidth="1"/>
    <col min="4" max="4" width="15.375" style="242" customWidth="1"/>
    <col min="5" max="5" width="15.875" style="242" customWidth="1"/>
    <col min="6" max="16384" width="11" style="242"/>
  </cols>
  <sheetData>
    <row r="1" spans="1:6" x14ac:dyDescent="0.2">
      <c r="A1" s="241" t="s">
        <v>551</v>
      </c>
      <c r="C1" s="243"/>
      <c r="F1" s="17"/>
    </row>
    <row r="2" spans="1:6" x14ac:dyDescent="0.2">
      <c r="F2" s="17"/>
    </row>
    <row r="3" spans="1:6" x14ac:dyDescent="0.2">
      <c r="A3" s="244"/>
      <c r="B3" s="244"/>
      <c r="C3" s="246"/>
      <c r="D3" s="246"/>
    </row>
    <row r="4" spans="1:6" ht="12.75" x14ac:dyDescent="0.2">
      <c r="A4" s="455"/>
      <c r="B4"/>
      <c r="C4"/>
      <c r="D4"/>
      <c r="E4"/>
    </row>
    <row r="5" spans="1:6" x14ac:dyDescent="0.2">
      <c r="A5" s="651" t="s">
        <v>552</v>
      </c>
      <c r="B5" s="456" t="s">
        <v>553</v>
      </c>
      <c r="C5" s="456" t="s">
        <v>554</v>
      </c>
      <c r="D5" s="456" t="s">
        <v>555</v>
      </c>
      <c r="E5" s="456" t="s">
        <v>556</v>
      </c>
    </row>
    <row r="6" spans="1:6" ht="12.75" thickBot="1" x14ac:dyDescent="0.25">
      <c r="A6" s="652"/>
      <c r="B6" s="457">
        <v>2014</v>
      </c>
      <c r="C6" s="458">
        <v>2014</v>
      </c>
      <c r="D6" s="457" t="s">
        <v>557</v>
      </c>
      <c r="E6" s="457" t="s">
        <v>558</v>
      </c>
    </row>
    <row r="7" spans="1:6" ht="12.75" thickTop="1" x14ac:dyDescent="0.2">
      <c r="A7" s="459" t="s">
        <v>559</v>
      </c>
      <c r="B7" s="460">
        <v>9.9000000000000008E-3</v>
      </c>
      <c r="C7" s="460">
        <v>2.3999999999999998E-3</v>
      </c>
      <c r="D7" s="460">
        <v>9.7999999999999997E-3</v>
      </c>
      <c r="E7" s="460">
        <v>3.5000000000000001E-3</v>
      </c>
    </row>
    <row r="8" spans="1:6" x14ac:dyDescent="0.2">
      <c r="A8" s="459" t="s">
        <v>560</v>
      </c>
      <c r="B8" s="461">
        <v>3.0099999999999998E-2</v>
      </c>
      <c r="C8" s="461">
        <v>1.5299999999999999E-2</v>
      </c>
      <c r="D8" s="461">
        <v>3.6499999999999998E-2</v>
      </c>
      <c r="E8" s="461">
        <v>2.01E-2</v>
      </c>
    </row>
    <row r="9" spans="1:6" x14ac:dyDescent="0.2">
      <c r="A9" s="459" t="s">
        <v>561</v>
      </c>
      <c r="B9" s="461">
        <v>3.1899999999999998E-2</v>
      </c>
      <c r="C9" s="461">
        <v>2.1499999999999998E-2</v>
      </c>
      <c r="D9" s="461">
        <v>3.1199999999999999E-2</v>
      </c>
      <c r="E9" s="461">
        <v>2.1700000000000001E-2</v>
      </c>
    </row>
    <row r="13" spans="1:6" x14ac:dyDescent="0.2">
      <c r="A13" s="241" t="s">
        <v>562</v>
      </c>
    </row>
    <row r="15" spans="1:6" x14ac:dyDescent="0.2">
      <c r="A15" s="651" t="s">
        <v>563</v>
      </c>
      <c r="B15" s="456" t="s">
        <v>564</v>
      </c>
      <c r="C15" s="456" t="s">
        <v>565</v>
      </c>
      <c r="D15" s="456" t="s">
        <v>566</v>
      </c>
      <c r="E15" s="456" t="s">
        <v>567</v>
      </c>
    </row>
    <row r="16" spans="1:6" ht="12.75" thickBot="1" x14ac:dyDescent="0.25">
      <c r="A16" s="652"/>
      <c r="B16" s="457">
        <v>2014</v>
      </c>
      <c r="C16" s="458">
        <v>2014</v>
      </c>
      <c r="D16" s="457" t="s">
        <v>568</v>
      </c>
      <c r="E16" s="457" t="s">
        <v>569</v>
      </c>
    </row>
    <row r="17" spans="1:5" ht="12.75" thickTop="1" x14ac:dyDescent="0.2">
      <c r="A17" s="459" t="s">
        <v>570</v>
      </c>
      <c r="B17" s="460">
        <v>1.15E-2</v>
      </c>
      <c r="C17" s="460">
        <v>3.8E-3</v>
      </c>
      <c r="D17" s="460">
        <v>1.17E-2</v>
      </c>
      <c r="E17" s="460">
        <v>4.7000000000000002E-3</v>
      </c>
    </row>
    <row r="18" spans="1:5" x14ac:dyDescent="0.2">
      <c r="A18" s="459" t="s">
        <v>571</v>
      </c>
      <c r="B18" s="461">
        <v>3.3799999999999997E-2</v>
      </c>
      <c r="C18" s="461">
        <v>1.2200000000000001E-2</v>
      </c>
      <c r="D18" s="461">
        <v>3.5999999999999997E-2</v>
      </c>
      <c r="E18" s="461">
        <v>1.4999999999999999E-2</v>
      </c>
    </row>
    <row r="19" spans="1:5" x14ac:dyDescent="0.2">
      <c r="A19" s="459" t="s">
        <v>572</v>
      </c>
      <c r="B19" s="461">
        <v>2.3699999999999999E-2</v>
      </c>
      <c r="C19" s="461">
        <v>1.7399999999999999E-2</v>
      </c>
      <c r="D19" s="461">
        <v>2.58E-2</v>
      </c>
      <c r="E19" s="461">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8"/>
  <sheetViews>
    <sheetView topLeftCell="A15" zoomScaleNormal="100" workbookViewId="0">
      <selection activeCell="B54" sqref="B54"/>
    </sheetView>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90" t="s">
        <v>603</v>
      </c>
    </row>
    <row r="3" spans="1:5" x14ac:dyDescent="0.2">
      <c r="A3" s="605" t="s">
        <v>1210</v>
      </c>
    </row>
    <row r="4" spans="1:5" s="314" customFormat="1" x14ac:dyDescent="0.2">
      <c r="A4" s="82"/>
    </row>
    <row r="5" spans="1:5" s="391" customFormat="1" x14ac:dyDescent="0.2">
      <c r="A5" s="91" t="s">
        <v>604</v>
      </c>
    </row>
    <row r="6" spans="1:5" s="391" customFormat="1" ht="12.75" thickBot="1" x14ac:dyDescent="0.25">
      <c r="A6" s="484" t="s">
        <v>1225</v>
      </c>
      <c r="B6" s="93" t="s">
        <v>606</v>
      </c>
      <c r="C6" s="93" t="s">
        <v>607</v>
      </c>
      <c r="D6" s="93" t="s">
        <v>608</v>
      </c>
      <c r="E6" s="94" t="s">
        <v>609</v>
      </c>
    </row>
    <row r="7" spans="1:5" s="391" customFormat="1" x14ac:dyDescent="0.2">
      <c r="A7" s="95" t="s">
        <v>610</v>
      </c>
      <c r="B7" s="95"/>
      <c r="C7" s="95"/>
      <c r="D7" s="95"/>
      <c r="E7" s="95"/>
    </row>
    <row r="8" spans="1:5" s="391" customFormat="1" x14ac:dyDescent="0.2">
      <c r="A8" s="15" t="s">
        <v>611</v>
      </c>
      <c r="B8" s="87">
        <v>334000</v>
      </c>
      <c r="C8" s="87">
        <v>635758</v>
      </c>
      <c r="D8" s="96">
        <v>1</v>
      </c>
      <c r="E8" s="97" t="s">
        <v>612</v>
      </c>
    </row>
    <row r="9" spans="1:5" s="391" customFormat="1" x14ac:dyDescent="0.2">
      <c r="A9" s="82" t="s">
        <v>613</v>
      </c>
      <c r="B9" s="87">
        <v>150</v>
      </c>
      <c r="C9" s="87">
        <v>97205</v>
      </c>
      <c r="D9" s="96">
        <v>1</v>
      </c>
      <c r="E9" s="97" t="s">
        <v>614</v>
      </c>
    </row>
    <row r="10" spans="1:5" s="391" customFormat="1" x14ac:dyDescent="0.2">
      <c r="A10" s="15" t="s">
        <v>615</v>
      </c>
      <c r="B10" s="87">
        <v>100</v>
      </c>
      <c r="C10" s="99">
        <v>218</v>
      </c>
      <c r="D10" s="96">
        <v>1</v>
      </c>
      <c r="E10" s="97" t="s">
        <v>616</v>
      </c>
    </row>
    <row r="11" spans="1:5" s="391" customFormat="1" x14ac:dyDescent="0.2">
      <c r="A11" s="15" t="s">
        <v>617</v>
      </c>
      <c r="B11" s="87">
        <v>3500</v>
      </c>
      <c r="C11" s="87">
        <v>180725</v>
      </c>
      <c r="D11" s="96">
        <v>1</v>
      </c>
      <c r="E11" s="97" t="s">
        <v>618</v>
      </c>
    </row>
    <row r="12" spans="1:5" s="391" customFormat="1" x14ac:dyDescent="0.2">
      <c r="A12" s="15" t="s">
        <v>619</v>
      </c>
      <c r="B12" s="87">
        <v>6000</v>
      </c>
      <c r="C12" s="87">
        <v>29019</v>
      </c>
      <c r="D12" s="96">
        <v>1</v>
      </c>
      <c r="E12" s="97" t="s">
        <v>620</v>
      </c>
    </row>
    <row r="13" spans="1:5" s="391" customFormat="1" x14ac:dyDescent="0.2">
      <c r="A13" s="15" t="s">
        <v>1226</v>
      </c>
      <c r="B13" s="336">
        <v>5000</v>
      </c>
      <c r="C13" s="87">
        <v>40125</v>
      </c>
      <c r="D13" s="96">
        <v>1</v>
      </c>
      <c r="E13" s="97" t="s">
        <v>622</v>
      </c>
    </row>
    <row r="14" spans="1:5" s="391" customFormat="1" x14ac:dyDescent="0.2">
      <c r="A14" s="15" t="s">
        <v>623</v>
      </c>
      <c r="B14" s="87">
        <v>90000</v>
      </c>
      <c r="C14" s="87">
        <v>222706</v>
      </c>
      <c r="D14" s="96">
        <v>1</v>
      </c>
      <c r="E14" s="97" t="s">
        <v>624</v>
      </c>
    </row>
    <row r="15" spans="1:5" s="391" customFormat="1" x14ac:dyDescent="0.2">
      <c r="A15" s="15" t="s">
        <v>625</v>
      </c>
      <c r="B15" s="87">
        <v>10000</v>
      </c>
      <c r="C15" s="87">
        <v>1730</v>
      </c>
      <c r="D15" s="96">
        <v>1</v>
      </c>
      <c r="E15" s="97" t="s">
        <v>626</v>
      </c>
    </row>
    <row r="16" spans="1:5" s="391" customFormat="1" x14ac:dyDescent="0.2">
      <c r="A16" s="15" t="s">
        <v>627</v>
      </c>
      <c r="B16" s="87">
        <v>16000</v>
      </c>
      <c r="C16" s="87">
        <v>58016</v>
      </c>
      <c r="D16" s="96">
        <v>1</v>
      </c>
      <c r="E16" s="97" t="s">
        <v>628</v>
      </c>
    </row>
    <row r="17" spans="1:5" s="393" customFormat="1" x14ac:dyDescent="0.2">
      <c r="A17" s="15" t="s">
        <v>1227</v>
      </c>
      <c r="B17" s="336">
        <v>150000</v>
      </c>
      <c r="C17" s="87">
        <v>150150</v>
      </c>
      <c r="D17" s="96">
        <v>1</v>
      </c>
      <c r="E17" s="97" t="s">
        <v>612</v>
      </c>
    </row>
    <row r="18" spans="1:5" s="391" customFormat="1" x14ac:dyDescent="0.2">
      <c r="A18" s="100" t="s">
        <v>629</v>
      </c>
      <c r="B18" s="101"/>
      <c r="C18" s="101">
        <f>SUM(C8:C17)</f>
        <v>1415652</v>
      </c>
      <c r="D18" s="102"/>
      <c r="E18" s="103"/>
    </row>
    <row r="19" spans="1:5" s="391" customFormat="1" x14ac:dyDescent="0.2">
      <c r="A19" s="82"/>
    </row>
    <row r="20" spans="1:5" s="314" customFormat="1" x14ac:dyDescent="0.2">
      <c r="A20" s="91" t="s">
        <v>630</v>
      </c>
    </row>
    <row r="21" spans="1:5" s="314" customFormat="1" ht="12.75" thickBot="1" x14ac:dyDescent="0.25">
      <c r="A21" s="484" t="s">
        <v>605</v>
      </c>
      <c r="B21" s="93" t="s">
        <v>631</v>
      </c>
      <c r="C21" s="93" t="s">
        <v>632</v>
      </c>
      <c r="D21" s="93" t="s">
        <v>633</v>
      </c>
      <c r="E21" s="94" t="s">
        <v>634</v>
      </c>
    </row>
    <row r="22" spans="1:5" s="314" customFormat="1" x14ac:dyDescent="0.2">
      <c r="A22" s="95" t="s">
        <v>610</v>
      </c>
      <c r="B22" s="95"/>
      <c r="C22" s="95"/>
      <c r="D22" s="95"/>
      <c r="E22" s="95"/>
    </row>
    <row r="23" spans="1:5" s="314" customFormat="1" ht="12" customHeight="1" x14ac:dyDescent="0.2">
      <c r="A23" s="15" t="s">
        <v>611</v>
      </c>
      <c r="B23" s="87">
        <v>334000</v>
      </c>
      <c r="C23" s="87">
        <v>635758</v>
      </c>
      <c r="D23" s="96">
        <v>1</v>
      </c>
      <c r="E23" s="97" t="s">
        <v>635</v>
      </c>
    </row>
    <row r="24" spans="1:5" s="314" customFormat="1" ht="12" customHeight="1" x14ac:dyDescent="0.2">
      <c r="A24" s="82" t="s">
        <v>613</v>
      </c>
      <c r="B24" s="87">
        <v>150</v>
      </c>
      <c r="C24" s="87">
        <v>97205</v>
      </c>
      <c r="D24" s="96">
        <v>1</v>
      </c>
      <c r="E24" s="97" t="s">
        <v>636</v>
      </c>
    </row>
    <row r="25" spans="1:5" s="314" customFormat="1" x14ac:dyDescent="0.2">
      <c r="A25" s="15" t="s">
        <v>615</v>
      </c>
      <c r="B25" s="87">
        <v>100</v>
      </c>
      <c r="C25" s="99">
        <v>218</v>
      </c>
      <c r="D25" s="96">
        <v>1</v>
      </c>
      <c r="E25" s="97" t="s">
        <v>637</v>
      </c>
    </row>
    <row r="26" spans="1:5" s="314" customFormat="1" x14ac:dyDescent="0.2">
      <c r="A26" s="15" t="s">
        <v>617</v>
      </c>
      <c r="B26" s="87">
        <v>3500</v>
      </c>
      <c r="C26" s="87">
        <v>180725</v>
      </c>
      <c r="D26" s="96">
        <v>1</v>
      </c>
      <c r="E26" s="97" t="s">
        <v>638</v>
      </c>
    </row>
    <row r="27" spans="1:5" s="314" customFormat="1" x14ac:dyDescent="0.2">
      <c r="A27" s="15" t="s">
        <v>619</v>
      </c>
      <c r="B27" s="87">
        <v>6000</v>
      </c>
      <c r="C27" s="87">
        <v>29019</v>
      </c>
      <c r="D27" s="96">
        <v>1</v>
      </c>
      <c r="E27" s="97" t="s">
        <v>639</v>
      </c>
    </row>
    <row r="28" spans="1:5" s="314" customFormat="1" x14ac:dyDescent="0.2">
      <c r="A28" s="15" t="s">
        <v>621</v>
      </c>
      <c r="B28" s="87">
        <v>1000</v>
      </c>
      <c r="C28" s="87">
        <v>125</v>
      </c>
      <c r="D28" s="96">
        <v>1</v>
      </c>
      <c r="E28" s="97" t="s">
        <v>640</v>
      </c>
    </row>
    <row r="29" spans="1:5" s="314" customFormat="1" x14ac:dyDescent="0.2">
      <c r="A29" s="15" t="s">
        <v>623</v>
      </c>
      <c r="B29" s="87">
        <v>90000</v>
      </c>
      <c r="C29" s="87">
        <v>222706</v>
      </c>
      <c r="D29" s="96">
        <v>1</v>
      </c>
      <c r="E29" s="97" t="s">
        <v>641</v>
      </c>
    </row>
    <row r="30" spans="1:5" s="314" customFormat="1" x14ac:dyDescent="0.2">
      <c r="A30" s="15" t="s">
        <v>625</v>
      </c>
      <c r="B30" s="87">
        <v>10000</v>
      </c>
      <c r="C30" s="87">
        <v>1730</v>
      </c>
      <c r="D30" s="96">
        <v>1</v>
      </c>
      <c r="E30" s="97" t="s">
        <v>642</v>
      </c>
    </row>
    <row r="31" spans="1:5" s="340" customFormat="1" x14ac:dyDescent="0.2">
      <c r="A31" s="15" t="s">
        <v>627</v>
      </c>
      <c r="B31" s="87">
        <v>16000</v>
      </c>
      <c r="C31" s="87">
        <v>58016</v>
      </c>
      <c r="D31" s="96">
        <v>1</v>
      </c>
      <c r="E31" s="97" t="s">
        <v>643</v>
      </c>
    </row>
    <row r="32" spans="1:5" s="314" customFormat="1" x14ac:dyDescent="0.2">
      <c r="A32" s="100" t="s">
        <v>644</v>
      </c>
      <c r="B32" s="101"/>
      <c r="C32" s="101">
        <f>SUM(C23:C31)</f>
        <v>1225502</v>
      </c>
      <c r="D32" s="102"/>
      <c r="E32" s="103"/>
    </row>
    <row r="33" spans="1:10" hidden="1" x14ac:dyDescent="0.2">
      <c r="A33" s="15"/>
      <c r="B33" s="86"/>
      <c r="C33" s="86"/>
      <c r="D33" s="96"/>
      <c r="E33" s="15"/>
      <c r="F33" s="15"/>
    </row>
    <row r="34" spans="1:10" hidden="1" x14ac:dyDescent="0.2">
      <c r="A34" s="15"/>
      <c r="B34" s="86"/>
      <c r="C34" s="86"/>
      <c r="D34" s="96"/>
      <c r="E34" s="15"/>
      <c r="F34" s="15"/>
      <c r="J34" s="15"/>
    </row>
    <row r="35" spans="1:10" hidden="1" x14ac:dyDescent="0.2">
      <c r="F35" s="15"/>
    </row>
    <row r="36" spans="1:10" x14ac:dyDescent="0.2">
      <c r="A36" s="15"/>
      <c r="B36" s="86"/>
      <c r="C36" s="86"/>
      <c r="D36" s="96"/>
      <c r="E36" s="15"/>
      <c r="F36" s="15"/>
    </row>
    <row r="37" spans="1:10" x14ac:dyDescent="0.2">
      <c r="A37" s="490" t="s">
        <v>1181</v>
      </c>
      <c r="B37" s="86"/>
      <c r="C37" s="86"/>
      <c r="D37" s="96"/>
      <c r="E37" s="15"/>
      <c r="F37" s="15"/>
    </row>
    <row r="38" spans="1:10" s="393" customFormat="1" x14ac:dyDescent="0.2">
      <c r="A38" s="15"/>
      <c r="B38" s="86"/>
      <c r="C38" s="86"/>
      <c r="D38" s="96"/>
      <c r="E38" s="15"/>
      <c r="F38" s="15"/>
    </row>
    <row r="39" spans="1:10" x14ac:dyDescent="0.2">
      <c r="C39" s="86"/>
      <c r="D39" s="96"/>
      <c r="E39" s="15"/>
      <c r="F39" s="15"/>
    </row>
    <row r="40" spans="1:10" x14ac:dyDescent="0.2">
      <c r="A40" s="14" t="s">
        <v>645</v>
      </c>
      <c r="B40" s="86"/>
      <c r="C40" s="86"/>
      <c r="D40" s="96"/>
      <c r="E40" s="15"/>
      <c r="F40" s="15"/>
    </row>
    <row r="41" spans="1:10" x14ac:dyDescent="0.2">
      <c r="B41" s="86"/>
      <c r="C41" s="86"/>
      <c r="D41" s="96"/>
      <c r="E41" s="15"/>
      <c r="F41" s="15"/>
    </row>
    <row r="42" spans="1:10" s="393" customFormat="1" ht="12.75" x14ac:dyDescent="0.2">
      <c r="B42" s="624" t="s">
        <v>1228</v>
      </c>
      <c r="C42" s="625"/>
      <c r="D42" s="626" t="s">
        <v>646</v>
      </c>
      <c r="E42" s="627"/>
      <c r="F42" s="15"/>
    </row>
    <row r="43" spans="1:10" ht="12.75" thickBot="1" x14ac:dyDescent="0.25">
      <c r="A43" s="1" t="s">
        <v>647</v>
      </c>
      <c r="B43" s="414" t="s">
        <v>648</v>
      </c>
      <c r="C43" s="414" t="s">
        <v>649</v>
      </c>
      <c r="D43" s="414" t="s">
        <v>650</v>
      </c>
      <c r="E43" s="414" t="s">
        <v>651</v>
      </c>
      <c r="F43" s="15"/>
    </row>
    <row r="44" spans="1:10" x14ac:dyDescent="0.2">
      <c r="A44" s="393" t="s">
        <v>652</v>
      </c>
      <c r="B44" s="23">
        <v>953</v>
      </c>
      <c r="C44" s="23">
        <v>15</v>
      </c>
      <c r="D44" s="393">
        <v>939</v>
      </c>
      <c r="E44" s="393">
        <v>15</v>
      </c>
      <c r="F44" s="15"/>
    </row>
    <row r="45" spans="1:10" x14ac:dyDescent="0.2">
      <c r="A45" s="15" t="s">
        <v>653</v>
      </c>
      <c r="B45" s="406">
        <v>6345</v>
      </c>
      <c r="C45" s="406">
        <v>70</v>
      </c>
      <c r="D45" s="85">
        <v>6380</v>
      </c>
      <c r="E45" s="85">
        <v>70</v>
      </c>
      <c r="F45" s="15"/>
    </row>
    <row r="46" spans="1:10" x14ac:dyDescent="0.2">
      <c r="A46" s="20" t="s">
        <v>654</v>
      </c>
      <c r="B46" s="408">
        <v>15.01</v>
      </c>
      <c r="C46" s="415">
        <v>21.4</v>
      </c>
      <c r="D46" s="407">
        <v>14.71</v>
      </c>
      <c r="E46" s="609">
        <v>21.4</v>
      </c>
      <c r="F46" s="15"/>
    </row>
    <row r="47" spans="1:10" x14ac:dyDescent="0.2">
      <c r="A47" s="15"/>
      <c r="B47" s="86"/>
      <c r="C47" s="86"/>
      <c r="D47" s="96"/>
      <c r="E47" s="15"/>
      <c r="F47" s="15"/>
    </row>
    <row r="48" spans="1:10" x14ac:dyDescent="0.2">
      <c r="B48" s="15"/>
      <c r="D48" s="96"/>
      <c r="E48" s="15"/>
      <c r="F48" s="15"/>
    </row>
  </sheetData>
  <mergeCells count="2">
    <mergeCell ref="B42:C42"/>
    <mergeCell ref="D42:E42"/>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C25" sqref="C25"/>
    </sheetView>
  </sheetViews>
  <sheetFormatPr baseColWidth="10" defaultColWidth="11" defaultRowHeight="12" x14ac:dyDescent="0.2"/>
  <cols>
    <col min="1" max="1" width="27.75" style="242" customWidth="1"/>
    <col min="2" max="5" width="14.875" style="242" customWidth="1"/>
    <col min="6" max="16384" width="11" style="242"/>
  </cols>
  <sheetData>
    <row r="1" spans="1:5" x14ac:dyDescent="0.2">
      <c r="A1" s="241" t="s">
        <v>435</v>
      </c>
      <c r="B1" s="243"/>
      <c r="C1" s="243"/>
    </row>
    <row r="3" spans="1:5" ht="12.75" customHeight="1" x14ac:dyDescent="0.2">
      <c r="A3" s="245"/>
      <c r="B3" s="468"/>
      <c r="C3" s="246"/>
      <c r="D3" s="246"/>
    </row>
    <row r="4" spans="1:5" ht="12" customHeight="1" x14ac:dyDescent="0.2">
      <c r="A4" s="469" t="s">
        <v>436</v>
      </c>
      <c r="B4" s="470" t="s">
        <v>437</v>
      </c>
      <c r="C4" s="470" t="s">
        <v>438</v>
      </c>
      <c r="D4" s="470" t="s">
        <v>439</v>
      </c>
      <c r="E4" s="470" t="s">
        <v>440</v>
      </c>
    </row>
    <row r="5" spans="1:5" ht="12.75" thickBot="1" x14ac:dyDescent="0.25">
      <c r="A5" s="471"/>
      <c r="B5" s="471">
        <v>2014</v>
      </c>
      <c r="C5" s="472">
        <v>2014</v>
      </c>
      <c r="D5" s="472" t="s">
        <v>441</v>
      </c>
      <c r="E5" s="472" t="s">
        <v>442</v>
      </c>
    </row>
    <row r="6" spans="1:5" ht="16.5" customHeight="1" thickTop="1" x14ac:dyDescent="0.2">
      <c r="A6" s="473" t="s">
        <v>443</v>
      </c>
      <c r="B6" s="475">
        <v>0</v>
      </c>
      <c r="C6" s="476">
        <v>0</v>
      </c>
      <c r="D6" s="475">
        <v>0</v>
      </c>
      <c r="E6" s="476">
        <v>0</v>
      </c>
    </row>
    <row r="7" spans="1:5" ht="16.5" customHeight="1" x14ac:dyDescent="0.2">
      <c r="A7" s="473" t="s">
        <v>444</v>
      </c>
      <c r="B7" s="475">
        <v>2.0999999999999999E-3</v>
      </c>
      <c r="C7" s="476">
        <v>1E-4</v>
      </c>
      <c r="D7" s="475">
        <v>2.0999999999999999E-3</v>
      </c>
      <c r="E7" s="476">
        <v>2.0000000000000001E-4</v>
      </c>
    </row>
    <row r="8" spans="1:5" ht="16.5" customHeight="1" x14ac:dyDescent="0.2">
      <c r="A8" s="474" t="s">
        <v>445</v>
      </c>
      <c r="B8" s="477">
        <v>3.5999999999999999E-3</v>
      </c>
      <c r="C8" s="476">
        <v>2.9999999999999997E-4</v>
      </c>
      <c r="D8" s="478">
        <v>3.5999999999999999E-3</v>
      </c>
      <c r="E8" s="478">
        <v>6.9999999999999999E-4</v>
      </c>
    </row>
    <row r="9" spans="1:5" ht="18.75" customHeight="1" x14ac:dyDescent="0.2">
      <c r="A9" s="474" t="s">
        <v>446</v>
      </c>
      <c r="B9" s="477">
        <v>6.1999999999999998E-3</v>
      </c>
      <c r="C9" s="476">
        <v>6.9999999999999999E-4</v>
      </c>
      <c r="D9" s="478">
        <v>6.1999999999999998E-3</v>
      </c>
      <c r="E9" s="478">
        <v>1.4E-3</v>
      </c>
    </row>
    <row r="10" spans="1:5" ht="16.5" customHeight="1" x14ac:dyDescent="0.2">
      <c r="A10" s="473" t="s">
        <v>447</v>
      </c>
      <c r="B10" s="475">
        <v>9.5999999999999992E-3</v>
      </c>
      <c r="C10" s="476">
        <v>1E-3</v>
      </c>
      <c r="D10" s="475">
        <v>9.5999999999999992E-3</v>
      </c>
      <c r="E10" s="476">
        <v>2.7000000000000001E-3</v>
      </c>
    </row>
    <row r="11" spans="1:5" ht="16.5" customHeight="1" x14ac:dyDescent="0.2">
      <c r="A11" s="474" t="s">
        <v>448</v>
      </c>
      <c r="B11" s="477">
        <v>1.66E-2</v>
      </c>
      <c r="C11" s="476">
        <v>4.1000000000000003E-3</v>
      </c>
      <c r="D11" s="478">
        <v>1.6799999999999999E-2</v>
      </c>
      <c r="E11" s="478">
        <v>6.3E-3</v>
      </c>
    </row>
    <row r="12" spans="1:5" ht="18.75" customHeight="1" x14ac:dyDescent="0.2">
      <c r="A12" s="474" t="s">
        <v>449</v>
      </c>
      <c r="B12" s="477">
        <v>3.44E-2</v>
      </c>
      <c r="C12" s="476">
        <v>5.7999999999999996E-3</v>
      </c>
      <c r="D12" s="478">
        <v>3.4500000000000003E-2</v>
      </c>
      <c r="E12" s="478">
        <v>1.46E-2</v>
      </c>
    </row>
    <row r="13" spans="1:5" ht="16.5" customHeight="1" x14ac:dyDescent="0.2">
      <c r="A13" s="473" t="s">
        <v>450</v>
      </c>
      <c r="B13" s="475">
        <v>7.0099999999999996E-2</v>
      </c>
      <c r="C13" s="476">
        <v>2.1999999999999999E-2</v>
      </c>
      <c r="D13" s="475">
        <v>7.0300000000000001E-2</v>
      </c>
      <c r="E13" s="476">
        <v>3.0499999999999999E-2</v>
      </c>
    </row>
    <row r="14" spans="1:5" ht="16.5" customHeight="1" x14ac:dyDescent="0.2">
      <c r="A14" s="474" t="s">
        <v>451</v>
      </c>
      <c r="B14" s="477">
        <v>0.23</v>
      </c>
      <c r="C14" s="476">
        <v>9.1800000000000007E-2</v>
      </c>
      <c r="D14" s="478">
        <v>0.2167</v>
      </c>
      <c r="E14" s="478">
        <v>0.10299999999999999</v>
      </c>
    </row>
    <row r="17" spans="1:5" x14ac:dyDescent="0.2">
      <c r="B17" s="470" t="s">
        <v>452</v>
      </c>
      <c r="C17" s="470" t="s">
        <v>453</v>
      </c>
      <c r="D17" s="470" t="s">
        <v>454</v>
      </c>
      <c r="E17" s="470" t="s">
        <v>455</v>
      </c>
    </row>
    <row r="18" spans="1:5" ht="12.75" thickBot="1" x14ac:dyDescent="0.25">
      <c r="A18" s="471" t="s">
        <v>456</v>
      </c>
      <c r="B18" s="471">
        <v>2014</v>
      </c>
      <c r="C18" s="472">
        <v>2014</v>
      </c>
      <c r="D18" s="472" t="s">
        <v>457</v>
      </c>
      <c r="E18" s="472" t="s">
        <v>458</v>
      </c>
    </row>
    <row r="19" spans="1:5" ht="16.5" customHeight="1" thickTop="1" x14ac:dyDescent="0.2">
      <c r="A19" s="474" t="s">
        <v>459</v>
      </c>
      <c r="B19" s="477">
        <v>0</v>
      </c>
      <c r="C19" s="476">
        <v>0</v>
      </c>
      <c r="D19" s="478">
        <v>0</v>
      </c>
      <c r="E19" s="478">
        <v>0</v>
      </c>
    </row>
    <row r="20" spans="1:5" ht="16.5" customHeight="1" x14ac:dyDescent="0.2">
      <c r="A20" s="474" t="s">
        <v>460</v>
      </c>
      <c r="B20" s="477">
        <v>0</v>
      </c>
      <c r="C20" s="476">
        <v>0</v>
      </c>
      <c r="D20" s="478">
        <v>0</v>
      </c>
      <c r="E20" s="478">
        <v>0</v>
      </c>
    </row>
    <row r="21" spans="1:5" ht="16.5" customHeight="1" x14ac:dyDescent="0.2">
      <c r="A21" s="474" t="s">
        <v>461</v>
      </c>
      <c r="B21" s="477">
        <v>4.1000000000000003E-3</v>
      </c>
      <c r="C21" s="476">
        <v>0</v>
      </c>
      <c r="D21" s="478">
        <v>2.3999999999999998E-3</v>
      </c>
      <c r="E21" s="478">
        <v>2.9999999999999997E-4</v>
      </c>
    </row>
    <row r="22" spans="1:5" ht="18.75" customHeight="1" x14ac:dyDescent="0.2">
      <c r="A22" s="474" t="s">
        <v>462</v>
      </c>
      <c r="B22" s="477">
        <v>6.1000000000000004E-3</v>
      </c>
      <c r="C22" s="476">
        <v>0</v>
      </c>
      <c r="D22" s="478">
        <v>4.1000000000000003E-3</v>
      </c>
      <c r="E22" s="478">
        <v>8.0000000000000004E-4</v>
      </c>
    </row>
    <row r="23" spans="1:5" ht="16.5" customHeight="1" x14ac:dyDescent="0.2">
      <c r="A23" s="473" t="s">
        <v>463</v>
      </c>
      <c r="B23" s="475">
        <v>9.5999999999999992E-3</v>
      </c>
      <c r="C23" s="476">
        <v>2.2000000000000001E-3</v>
      </c>
      <c r="D23" s="475">
        <v>6.1999999999999998E-3</v>
      </c>
      <c r="E23" s="476">
        <v>2.8E-3</v>
      </c>
    </row>
    <row r="24" spans="1:5" ht="16.5" customHeight="1" x14ac:dyDescent="0.2">
      <c r="A24" s="474" t="s">
        <v>464</v>
      </c>
      <c r="B24" s="477">
        <v>1.7399999999999999E-2</v>
      </c>
      <c r="C24" s="476">
        <v>4.8999999999999998E-3</v>
      </c>
      <c r="D24" s="478">
        <v>9.7000000000000003E-3</v>
      </c>
      <c r="E24" s="478">
        <v>7.9000000000000008E-3</v>
      </c>
    </row>
    <row r="25" spans="1:5" ht="18.75" customHeight="1" x14ac:dyDescent="0.2">
      <c r="A25" s="474" t="s">
        <v>465</v>
      </c>
      <c r="B25" s="477">
        <v>3.4700000000000002E-2</v>
      </c>
      <c r="C25" s="476">
        <v>1.26E-2</v>
      </c>
      <c r="D25" s="478">
        <v>1.78E-2</v>
      </c>
      <c r="E25" s="478">
        <v>1.9199999999999998E-2</v>
      </c>
    </row>
    <row r="26" spans="1:5" ht="16.5" customHeight="1" x14ac:dyDescent="0.2">
      <c r="A26" s="473" t="s">
        <v>466</v>
      </c>
      <c r="B26" s="475">
        <v>6.7799999999999999E-2</v>
      </c>
      <c r="C26" s="476">
        <v>4.07E-2</v>
      </c>
      <c r="D26" s="475">
        <v>3.5000000000000003E-2</v>
      </c>
      <c r="E26" s="476">
        <v>3.7999999999999999E-2</v>
      </c>
    </row>
    <row r="27" spans="1:5" ht="16.5" customHeight="1" x14ac:dyDescent="0.2">
      <c r="A27" s="474" t="s">
        <v>467</v>
      </c>
      <c r="B27" s="477">
        <v>0.23599999999999999</v>
      </c>
      <c r="C27" s="476">
        <v>0.129</v>
      </c>
      <c r="D27" s="478">
        <v>6.93E-2</v>
      </c>
      <c r="E27" s="478">
        <v>0.13600000000000001</v>
      </c>
    </row>
    <row r="31" spans="1:5" x14ac:dyDescent="0.2">
      <c r="B31" s="470" t="s">
        <v>468</v>
      </c>
      <c r="C31" s="470" t="s">
        <v>469</v>
      </c>
      <c r="D31" s="470" t="s">
        <v>470</v>
      </c>
      <c r="E31" s="470" t="s">
        <v>471</v>
      </c>
    </row>
    <row r="32" spans="1:5" ht="12.75" thickBot="1" x14ac:dyDescent="0.25">
      <c r="A32" s="471" t="s">
        <v>472</v>
      </c>
      <c r="B32" s="471">
        <v>2014</v>
      </c>
      <c r="C32" s="472">
        <v>2014</v>
      </c>
      <c r="D32" s="472" t="s">
        <v>473</v>
      </c>
      <c r="E32" s="472" t="s">
        <v>474</v>
      </c>
    </row>
    <row r="33" spans="1:5" ht="16.5" customHeight="1" thickTop="1" x14ac:dyDescent="0.2">
      <c r="A33" s="473" t="s">
        <v>475</v>
      </c>
      <c r="B33" s="475">
        <v>0</v>
      </c>
      <c r="C33" s="476">
        <v>0</v>
      </c>
      <c r="D33" s="475">
        <v>0</v>
      </c>
      <c r="E33" s="476">
        <v>0</v>
      </c>
    </row>
    <row r="34" spans="1:5" ht="16.5" customHeight="1" x14ac:dyDescent="0.2">
      <c r="A34" s="473" t="s">
        <v>476</v>
      </c>
      <c r="B34" s="475">
        <v>0</v>
      </c>
      <c r="C34" s="476">
        <v>0</v>
      </c>
      <c r="D34" s="475">
        <v>0</v>
      </c>
      <c r="E34" s="476">
        <v>0</v>
      </c>
    </row>
    <row r="35" spans="1:5" ht="16.5" customHeight="1" x14ac:dyDescent="0.2">
      <c r="A35" s="473" t="s">
        <v>477</v>
      </c>
      <c r="B35" s="475">
        <v>2.0999999999999999E-3</v>
      </c>
      <c r="C35" s="476">
        <v>0</v>
      </c>
      <c r="D35" s="475">
        <v>2.0999999999999999E-3</v>
      </c>
      <c r="E35" s="476">
        <v>4.0000000000000002E-4</v>
      </c>
    </row>
    <row r="36" spans="1:5" ht="16.5" customHeight="1" x14ac:dyDescent="0.2">
      <c r="A36" s="474" t="s">
        <v>478</v>
      </c>
      <c r="B36" s="477">
        <v>3.7000000000000002E-3</v>
      </c>
      <c r="C36" s="476">
        <v>0</v>
      </c>
      <c r="D36" s="478">
        <v>3.7000000000000002E-3</v>
      </c>
      <c r="E36" s="478">
        <v>2.5999999999999999E-3</v>
      </c>
    </row>
    <row r="37" spans="1:5" ht="18.75" customHeight="1" x14ac:dyDescent="0.2">
      <c r="A37" s="474" t="s">
        <v>479</v>
      </c>
      <c r="B37" s="477">
        <v>5.8999999999999999E-3</v>
      </c>
      <c r="C37" s="476">
        <v>2.7000000000000001E-3</v>
      </c>
      <c r="D37" s="478">
        <v>5.8999999999999999E-3</v>
      </c>
      <c r="E37" s="478">
        <v>5.1999999999999998E-3</v>
      </c>
    </row>
    <row r="38" spans="1:5" ht="16.5" customHeight="1" x14ac:dyDescent="0.2">
      <c r="A38" s="473" t="s">
        <v>480</v>
      </c>
      <c r="B38" s="475">
        <v>8.6999999999999994E-3</v>
      </c>
      <c r="C38" s="476">
        <v>5.1999999999999998E-3</v>
      </c>
      <c r="D38" s="475">
        <v>8.6999999999999994E-3</v>
      </c>
      <c r="E38" s="476">
        <v>8.8000000000000005E-3</v>
      </c>
    </row>
    <row r="39" spans="1:5" ht="16.5" customHeight="1" x14ac:dyDescent="0.2">
      <c r="A39" s="474" t="s">
        <v>481</v>
      </c>
      <c r="B39" s="477">
        <v>1.8700000000000001E-2</v>
      </c>
      <c r="C39" s="476">
        <v>7.0000000000000001E-3</v>
      </c>
      <c r="D39" s="478">
        <v>1.8800000000000001E-2</v>
      </c>
      <c r="E39" s="478">
        <v>1.3299999999999999E-2</v>
      </c>
    </row>
    <row r="40" spans="1:5" ht="18.75" customHeight="1" x14ac:dyDescent="0.2">
      <c r="A40" s="474" t="s">
        <v>482</v>
      </c>
      <c r="B40" s="477">
        <v>3.4200000000000001E-2</v>
      </c>
      <c r="C40" s="476">
        <v>2.93E-2</v>
      </c>
      <c r="D40" s="478">
        <v>3.4200000000000001E-2</v>
      </c>
      <c r="E40" s="478">
        <v>2.6800000000000001E-2</v>
      </c>
    </row>
    <row r="41" spans="1:5" ht="16.5" customHeight="1" x14ac:dyDescent="0.2">
      <c r="A41" s="473" t="s">
        <v>483</v>
      </c>
      <c r="B41" s="475">
        <v>9.35E-2</v>
      </c>
      <c r="C41" s="476">
        <v>7.1400000000000005E-2</v>
      </c>
      <c r="D41" s="475">
        <v>9.35E-2</v>
      </c>
      <c r="E41" s="476">
        <v>5.2699999999999997E-2</v>
      </c>
    </row>
    <row r="42" spans="1:5" ht="16.5" customHeight="1" x14ac:dyDescent="0.2">
      <c r="A42" s="474" t="s">
        <v>484</v>
      </c>
      <c r="B42" s="477">
        <v>0.20100000000000001</v>
      </c>
      <c r="C42" s="476">
        <v>0.156</v>
      </c>
      <c r="D42" s="478">
        <v>0.19270000000000001</v>
      </c>
      <c r="E42" s="478">
        <v>0.13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4" sqref="A4:E8"/>
    </sheetView>
  </sheetViews>
  <sheetFormatPr baseColWidth="10" defaultColWidth="11" defaultRowHeight="12" x14ac:dyDescent="0.2"/>
  <cols>
    <col min="1" max="1" width="30.375" style="242" customWidth="1"/>
    <col min="2" max="5" width="13.875" style="242" customWidth="1"/>
    <col min="6" max="16384" width="11" style="242"/>
  </cols>
  <sheetData>
    <row r="1" spans="1:7" x14ac:dyDescent="0.2">
      <c r="A1" s="241" t="s">
        <v>191</v>
      </c>
      <c r="B1" s="243"/>
      <c r="C1" s="243"/>
      <c r="E1" s="393"/>
      <c r="G1" s="17"/>
    </row>
    <row r="2" spans="1:7" x14ac:dyDescent="0.2">
      <c r="E2" s="393"/>
      <c r="G2" s="17"/>
    </row>
    <row r="3" spans="1:7" ht="12.75" customHeight="1" x14ac:dyDescent="0.2">
      <c r="A3" s="245"/>
      <c r="B3" s="248"/>
      <c r="C3" s="246"/>
      <c r="D3" s="246"/>
    </row>
    <row r="4" spans="1:7" ht="12" customHeight="1" x14ac:dyDescent="0.2">
      <c r="B4" s="462" t="s">
        <v>192</v>
      </c>
      <c r="C4" s="462" t="s">
        <v>193</v>
      </c>
      <c r="D4" s="462" t="s">
        <v>194</v>
      </c>
      <c r="E4" s="462" t="s">
        <v>195</v>
      </c>
    </row>
    <row r="5" spans="1:7" ht="12" customHeight="1" thickBot="1" x14ac:dyDescent="0.25">
      <c r="A5" s="458" t="s">
        <v>196</v>
      </c>
      <c r="B5" s="458">
        <v>2013</v>
      </c>
      <c r="C5" s="457">
        <v>2013</v>
      </c>
      <c r="D5" s="457" t="s">
        <v>197</v>
      </c>
      <c r="E5" s="457" t="s">
        <v>198</v>
      </c>
    </row>
    <row r="6" spans="1:7" ht="16.5" customHeight="1" thickTop="1" x14ac:dyDescent="0.2">
      <c r="A6" s="465" t="s">
        <v>199</v>
      </c>
      <c r="B6" s="463">
        <v>0.113</v>
      </c>
      <c r="C6" s="464">
        <v>6.3E-2</v>
      </c>
      <c r="D6" s="463">
        <v>0.11899999999999999</v>
      </c>
      <c r="E6" s="464">
        <v>3.3000000000000002E-2</v>
      </c>
    </row>
    <row r="7" spans="1:7" ht="16.5" customHeight="1" x14ac:dyDescent="0.2">
      <c r="A7" s="465" t="s">
        <v>200</v>
      </c>
      <c r="B7" s="466">
        <v>0.1</v>
      </c>
      <c r="C7" s="464">
        <v>0</v>
      </c>
      <c r="D7" s="467">
        <v>0.185</v>
      </c>
      <c r="E7" s="467">
        <v>0.09</v>
      </c>
    </row>
    <row r="8" spans="1:7" ht="16.5" customHeight="1" x14ac:dyDescent="0.2">
      <c r="A8" s="465" t="s">
        <v>201</v>
      </c>
      <c r="B8" s="466">
        <v>0.45</v>
      </c>
      <c r="C8" s="464">
        <v>0.28000000000000003</v>
      </c>
      <c r="D8" s="467">
        <v>0.45</v>
      </c>
      <c r="E8" s="467">
        <v>0.23499999999999999</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A10" sqref="A10"/>
    </sheetView>
  </sheetViews>
  <sheetFormatPr baseColWidth="10" defaultColWidth="11" defaultRowHeight="12" x14ac:dyDescent="0.2"/>
  <cols>
    <col min="1" max="1" width="20.25" style="242" customWidth="1"/>
    <col min="2" max="5" width="12" style="242" customWidth="1"/>
    <col min="6" max="16384" width="11" style="242"/>
  </cols>
  <sheetData>
    <row r="1" spans="1:5" x14ac:dyDescent="0.2">
      <c r="A1" s="241" t="s">
        <v>1221</v>
      </c>
      <c r="B1" s="243"/>
      <c r="C1" s="243"/>
    </row>
    <row r="3" spans="1:5" ht="12.75" customHeight="1" x14ac:dyDescent="0.2">
      <c r="A3" s="245"/>
      <c r="B3" s="468"/>
      <c r="C3" s="246"/>
      <c r="D3" s="246"/>
    </row>
    <row r="4" spans="1:5" ht="12" customHeight="1" x14ac:dyDescent="0.2">
      <c r="B4" s="470" t="s">
        <v>202</v>
      </c>
      <c r="C4" s="470" t="s">
        <v>203</v>
      </c>
      <c r="D4" s="470" t="s">
        <v>204</v>
      </c>
      <c r="E4" s="470" t="s">
        <v>205</v>
      </c>
    </row>
    <row r="5" spans="1:5" ht="12.75" thickBot="1" x14ac:dyDescent="0.25">
      <c r="A5" s="471" t="s">
        <v>206</v>
      </c>
      <c r="B5" s="471">
        <v>2014</v>
      </c>
      <c r="C5" s="472">
        <v>2014</v>
      </c>
      <c r="D5" s="472" t="s">
        <v>207</v>
      </c>
      <c r="E5" s="472" t="s">
        <v>208</v>
      </c>
    </row>
    <row r="6" spans="1:5" ht="16.5" customHeight="1" thickTop="1" x14ac:dyDescent="0.2">
      <c r="A6" s="473" t="s">
        <v>209</v>
      </c>
      <c r="B6" s="475">
        <v>4.0000000000000002E-4</v>
      </c>
      <c r="C6" s="476">
        <v>1E-4</v>
      </c>
      <c r="D6" s="475">
        <v>5.0000000000000001E-4</v>
      </c>
      <c r="E6" s="476">
        <v>1E-4</v>
      </c>
    </row>
    <row r="7" spans="1:5" ht="16.5" customHeight="1" x14ac:dyDescent="0.2">
      <c r="A7" s="474" t="s">
        <v>210</v>
      </c>
      <c r="B7" s="477">
        <v>4.0000000000000001E-3</v>
      </c>
      <c r="C7" s="476">
        <v>2.5000000000000001E-3</v>
      </c>
      <c r="D7" s="478">
        <v>5.0000000000000001E-3</v>
      </c>
      <c r="E7" s="478">
        <v>3.0000000000000001E-3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9"/>
  <sheetViews>
    <sheetView showGridLines="0" zoomScaleNormal="100" workbookViewId="0">
      <selection activeCell="F42" sqref="F42"/>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495" t="s">
        <v>1202</v>
      </c>
      <c r="F1" s="15"/>
      <c r="G1" s="15"/>
      <c r="H1" s="15"/>
      <c r="I1" s="15"/>
    </row>
    <row r="3" spans="1:13" x14ac:dyDescent="0.2">
      <c r="A3" s="249"/>
    </row>
    <row r="4" spans="1:13" ht="12.75" x14ac:dyDescent="0.2">
      <c r="A4" s="250"/>
      <c r="C4" s="654">
        <v>2014</v>
      </c>
      <c r="D4" s="655"/>
      <c r="E4" s="251"/>
      <c r="F4" s="656">
        <v>2013</v>
      </c>
      <c r="G4" s="655"/>
    </row>
    <row r="5" spans="1:13" ht="51" thickBot="1" x14ac:dyDescent="0.25">
      <c r="A5" s="653" t="s">
        <v>1203</v>
      </c>
      <c r="B5" s="653"/>
      <c r="C5" s="94" t="s">
        <v>359</v>
      </c>
      <c r="D5" s="223" t="s">
        <v>360</v>
      </c>
      <c r="E5" s="223"/>
      <c r="F5" s="506" t="s">
        <v>361</v>
      </c>
      <c r="G5" s="252" t="s">
        <v>362</v>
      </c>
      <c r="H5" s="1"/>
      <c r="L5" s="253"/>
      <c r="M5" s="253"/>
    </row>
    <row r="6" spans="1:13" x14ac:dyDescent="0.2">
      <c r="A6" s="507" t="s">
        <v>363</v>
      </c>
      <c r="B6" s="79"/>
      <c r="C6" s="224">
        <v>119170</v>
      </c>
      <c r="D6" s="254">
        <v>0.95</v>
      </c>
      <c r="E6" s="254"/>
      <c r="F6" s="224">
        <v>111214</v>
      </c>
      <c r="G6" s="254">
        <v>0.95</v>
      </c>
      <c r="L6" s="255"/>
    </row>
    <row r="7" spans="1:13" x14ac:dyDescent="0.2">
      <c r="A7" s="507" t="s">
        <v>364</v>
      </c>
      <c r="B7" s="73"/>
      <c r="C7" s="224">
        <v>5804</v>
      </c>
      <c r="D7" s="254">
        <v>0.93</v>
      </c>
      <c r="E7" s="254"/>
      <c r="F7" s="224">
        <v>5651</v>
      </c>
      <c r="G7" s="254">
        <v>0.88</v>
      </c>
      <c r="L7" s="255"/>
    </row>
    <row r="8" spans="1:13" ht="12" customHeight="1" x14ac:dyDescent="0.2">
      <c r="A8" s="507" t="s">
        <v>365</v>
      </c>
      <c r="B8" s="73"/>
      <c r="C8" s="224">
        <f>1707+191</f>
        <v>1898</v>
      </c>
      <c r="D8" s="254">
        <v>0.03</v>
      </c>
      <c r="E8" s="247" t="s">
        <v>366</v>
      </c>
      <c r="F8" s="224">
        <v>1923</v>
      </c>
      <c r="G8" s="254">
        <v>0.04</v>
      </c>
      <c r="H8" s="247" t="s">
        <v>367</v>
      </c>
      <c r="L8" s="255"/>
    </row>
    <row r="9" spans="1:13" x14ac:dyDescent="0.2">
      <c r="A9" s="116" t="s">
        <v>368</v>
      </c>
      <c r="B9" s="256"/>
      <c r="C9" s="257">
        <f>SUM(C6:C8)</f>
        <v>126872</v>
      </c>
      <c r="D9" s="258"/>
      <c r="E9" s="258"/>
      <c r="F9" s="258">
        <f>SUM(F6:F8)</f>
        <v>118788</v>
      </c>
      <c r="G9" s="259"/>
      <c r="H9" s="260"/>
      <c r="L9" s="85"/>
    </row>
    <row r="10" spans="1:13" ht="13.5" customHeight="1" x14ac:dyDescent="0.2">
      <c r="A10" s="261"/>
      <c r="B10" s="261"/>
      <c r="C10" s="262"/>
      <c r="D10" s="263"/>
      <c r="E10" s="263"/>
      <c r="F10" s="263"/>
      <c r="G10" s="263"/>
      <c r="H10" s="263"/>
      <c r="I10" s="263"/>
      <c r="J10" s="263"/>
      <c r="K10" s="263"/>
    </row>
    <row r="12" spans="1:13" ht="14.25" x14ac:dyDescent="0.2">
      <c r="A12" s="393" t="s">
        <v>369</v>
      </c>
    </row>
    <row r="13" spans="1:13" ht="14.25" x14ac:dyDescent="0.2">
      <c r="A13" s="393" t="s">
        <v>370</v>
      </c>
    </row>
    <row r="14" spans="1:13" x14ac:dyDescent="0.2">
      <c r="A14" s="393" t="s">
        <v>371</v>
      </c>
    </row>
    <row r="15" spans="1:13" x14ac:dyDescent="0.2">
      <c r="A15" s="393"/>
    </row>
    <row r="16" spans="1:13" x14ac:dyDescent="0.2">
      <c r="A16" s="393" t="s">
        <v>372</v>
      </c>
    </row>
    <row r="17" spans="1:1" x14ac:dyDescent="0.2">
      <c r="A17" s="393" t="s">
        <v>373</v>
      </c>
    </row>
    <row r="18" spans="1:1" x14ac:dyDescent="0.2">
      <c r="A18" s="596" t="s">
        <v>1204</v>
      </c>
    </row>
    <row r="19" spans="1:1" x14ac:dyDescent="0.2">
      <c r="A19" s="393"/>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37"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12" sqref="A12"/>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0" t="s">
        <v>84</v>
      </c>
      <c r="B1" s="226"/>
      <c r="C1" s="226"/>
      <c r="D1" s="226"/>
      <c r="E1" s="226"/>
      <c r="F1" s="226"/>
      <c r="G1" s="226"/>
      <c r="H1" s="226"/>
      <c r="I1" s="226"/>
    </row>
    <row r="2" spans="1:11" x14ac:dyDescent="0.2">
      <c r="B2" s="15"/>
      <c r="C2" s="15"/>
      <c r="D2" s="15"/>
      <c r="E2" s="15"/>
      <c r="F2" s="15"/>
      <c r="G2" s="15"/>
      <c r="H2" s="15"/>
      <c r="I2" s="15"/>
    </row>
    <row r="3" spans="1:11" ht="24.75" thickBot="1" x14ac:dyDescent="0.25">
      <c r="A3" s="653" t="s">
        <v>1205</v>
      </c>
      <c r="B3" s="653"/>
      <c r="C3" s="264" t="s">
        <v>85</v>
      </c>
      <c r="D3" s="508" t="s">
        <v>86</v>
      </c>
      <c r="E3" s="264" t="s">
        <v>87</v>
      </c>
      <c r="F3" s="508" t="s">
        <v>88</v>
      </c>
      <c r="G3" s="264" t="s">
        <v>89</v>
      </c>
      <c r="H3" s="508" t="s">
        <v>90</v>
      </c>
      <c r="I3" s="264" t="s">
        <v>91</v>
      </c>
    </row>
    <row r="4" spans="1:11" ht="12" customHeight="1" x14ac:dyDescent="0.2">
      <c r="A4" s="661" t="s">
        <v>92</v>
      </c>
      <c r="B4" s="661"/>
      <c r="C4" s="175">
        <f>SUM(C5:C7)</f>
        <v>126872</v>
      </c>
      <c r="D4" s="265">
        <f>(C4-E4)/E4</f>
        <v>6.8054012189783478E-2</v>
      </c>
      <c r="E4" s="177">
        <f>SUM(E5:E7)</f>
        <v>118788</v>
      </c>
      <c r="F4" s="347">
        <f>(E4-G4)/G4</f>
        <v>5.3337234976457128E-2</v>
      </c>
      <c r="G4" s="177">
        <f>SUM(G5:G7)</f>
        <v>112773</v>
      </c>
      <c r="H4" s="347">
        <f>(G4-I4)/I4</f>
        <v>9.725911439329811E-2</v>
      </c>
      <c r="I4" s="348">
        <f>SUM(I5:I7)</f>
        <v>102777</v>
      </c>
      <c r="K4" s="23"/>
    </row>
    <row r="5" spans="1:11" ht="12" customHeight="1" x14ac:dyDescent="0.2">
      <c r="A5" s="662" t="s">
        <v>93</v>
      </c>
      <c r="B5" s="662"/>
      <c r="C5" s="263">
        <v>5804</v>
      </c>
      <c r="D5" s="265">
        <f t="shared" ref="D5:D8" si="0">(C5-E5)/E5</f>
        <v>2.7074854008140151E-2</v>
      </c>
      <c r="E5" s="209">
        <v>5651</v>
      </c>
      <c r="F5" s="347">
        <f t="shared" ref="F5:F10" si="1">(E5-G5)/G5</f>
        <v>7.1076573161485967E-2</v>
      </c>
      <c r="G5" s="209">
        <v>5276</v>
      </c>
      <c r="H5" s="347">
        <f t="shared" ref="H5:H10" si="2">(G5-I5)/I5</f>
        <v>6.3924178261746317E-2</v>
      </c>
      <c r="I5" s="348">
        <v>4959</v>
      </c>
      <c r="K5" s="23"/>
    </row>
    <row r="6" spans="1:11" ht="12" customHeight="1" x14ac:dyDescent="0.2">
      <c r="A6" s="662" t="s">
        <v>94</v>
      </c>
      <c r="B6" s="662"/>
      <c r="C6" s="263">
        <v>119170</v>
      </c>
      <c r="D6" s="265">
        <f>(C6-E6)/E6</f>
        <v>7.1537756037908892E-2</v>
      </c>
      <c r="E6" s="209">
        <v>111214</v>
      </c>
      <c r="F6" s="347">
        <f t="shared" si="1"/>
        <v>5.5071198853987799E-2</v>
      </c>
      <c r="G6" s="209">
        <v>105409</v>
      </c>
      <c r="H6" s="347">
        <f t="shared" si="2"/>
        <v>0.10678398555213725</v>
      </c>
      <c r="I6" s="348">
        <v>95239</v>
      </c>
    </row>
    <row r="7" spans="1:11" ht="12" customHeight="1" x14ac:dyDescent="0.2">
      <c r="A7" s="662" t="s">
        <v>95</v>
      </c>
      <c r="B7" s="662"/>
      <c r="C7" s="263">
        <f>1707+191</f>
        <v>1898</v>
      </c>
      <c r="D7" s="265">
        <f t="shared" si="0"/>
        <v>-1.3000520020800831E-2</v>
      </c>
      <c r="E7" s="209">
        <v>1923</v>
      </c>
      <c r="F7" s="347">
        <f t="shared" si="1"/>
        <v>-7.9022988505747127E-2</v>
      </c>
      <c r="G7" s="209">
        <v>2088</v>
      </c>
      <c r="H7" s="347">
        <f t="shared" si="2"/>
        <v>-0.19038386971694454</v>
      </c>
      <c r="I7" s="348">
        <v>2579</v>
      </c>
    </row>
    <row r="8" spans="1:11" ht="12" customHeight="1" x14ac:dyDescent="0.2">
      <c r="A8" s="663" t="s">
        <v>96</v>
      </c>
      <c r="B8" s="664"/>
      <c r="C8" s="263">
        <f>3825+36368</f>
        <v>40193</v>
      </c>
      <c r="D8" s="265">
        <f t="shared" si="0"/>
        <v>0.18086200311425801</v>
      </c>
      <c r="E8" s="209">
        <v>34037</v>
      </c>
      <c r="F8" s="347">
        <f t="shared" si="1"/>
        <v>2.8875335160140252E-3</v>
      </c>
      <c r="G8" s="209">
        <v>33939</v>
      </c>
      <c r="H8" s="347">
        <f t="shared" si="2"/>
        <v>0.16169775800102687</v>
      </c>
      <c r="I8" s="348">
        <v>29215</v>
      </c>
    </row>
    <row r="9" spans="1:11" s="393" customFormat="1" ht="12" customHeight="1" x14ac:dyDescent="0.2">
      <c r="A9" s="435" t="s">
        <v>97</v>
      </c>
      <c r="B9" s="435"/>
      <c r="C9" s="263">
        <v>26459</v>
      </c>
      <c r="D9" s="265">
        <f>(C9+C10-E10)/E10</f>
        <v>7.5249612039937921E-2</v>
      </c>
      <c r="E9" s="209"/>
      <c r="F9" s="347"/>
      <c r="G9" s="209"/>
      <c r="H9" s="347"/>
      <c r="I9" s="292"/>
    </row>
    <row r="10" spans="1:11" x14ac:dyDescent="0.2">
      <c r="A10" s="664" t="s">
        <v>98</v>
      </c>
      <c r="B10" s="664"/>
      <c r="C10" s="266">
        <f>506+9758</f>
        <v>10264</v>
      </c>
      <c r="D10" s="440"/>
      <c r="E10" s="348">
        <v>34153</v>
      </c>
      <c r="F10" s="347">
        <f t="shared" si="1"/>
        <v>5.3519649577395273E-2</v>
      </c>
      <c r="G10" s="348">
        <v>32418</v>
      </c>
      <c r="H10" s="347">
        <f t="shared" si="2"/>
        <v>7.5188219296209086E-2</v>
      </c>
      <c r="I10" s="348">
        <v>30151</v>
      </c>
    </row>
    <row r="11" spans="1:11" x14ac:dyDescent="0.2">
      <c r="A11" s="100" t="s">
        <v>1222</v>
      </c>
      <c r="B11" s="260"/>
      <c r="C11" s="233">
        <f>C4+C8+C9+C10</f>
        <v>203788</v>
      </c>
      <c r="D11" s="267">
        <f>(C11-E11)/E11</f>
        <v>8.9903625025404055E-2</v>
      </c>
      <c r="E11" s="233">
        <f>E4+E8+E9+E10</f>
        <v>186978</v>
      </c>
      <c r="F11" s="267">
        <f>(E11-G11)/G11</f>
        <v>4.3811756824652485E-2</v>
      </c>
      <c r="G11" s="233">
        <f>G4+G8+G9+G10</f>
        <v>179130</v>
      </c>
      <c r="H11" s="267">
        <f>(G11-I11)/I11</f>
        <v>0.1047655464620736</v>
      </c>
      <c r="I11" s="233">
        <f>I4+I8+I10</f>
        <v>162143</v>
      </c>
    </row>
    <row r="12" spans="1:11" x14ac:dyDescent="0.2">
      <c r="A12" s="70"/>
      <c r="B12" s="70"/>
      <c r="C12" s="70"/>
      <c r="D12" s="70"/>
      <c r="E12" s="262"/>
      <c r="F12" s="70"/>
      <c r="G12" s="268"/>
      <c r="H12" s="269"/>
      <c r="I12" s="268"/>
    </row>
    <row r="13" spans="1:11" x14ac:dyDescent="0.2">
      <c r="A13" s="659" t="s">
        <v>1154</v>
      </c>
      <c r="B13" s="660"/>
      <c r="C13" s="660"/>
      <c r="D13" s="660"/>
      <c r="E13" s="660"/>
      <c r="F13" s="660"/>
      <c r="G13" s="660"/>
      <c r="H13" s="660"/>
      <c r="I13" s="660"/>
    </row>
    <row r="14" spans="1:11" x14ac:dyDescent="0.2">
      <c r="A14" s="448" t="s">
        <v>1155</v>
      </c>
      <c r="B14" s="448"/>
      <c r="C14" s="448"/>
      <c r="D14" s="448"/>
      <c r="E14" s="448"/>
      <c r="F14" s="448"/>
      <c r="G14" s="448"/>
      <c r="H14" s="448"/>
      <c r="I14" s="448"/>
    </row>
    <row r="16" spans="1:11" x14ac:dyDescent="0.2">
      <c r="A16" s="657"/>
      <c r="B16" s="658"/>
      <c r="C16" s="658"/>
      <c r="D16" s="658"/>
      <c r="E16" s="658"/>
      <c r="F16" s="658"/>
      <c r="G16" s="658"/>
      <c r="H16" s="658"/>
      <c r="I16" s="658"/>
    </row>
    <row r="17" spans="3:9" x14ac:dyDescent="0.2">
      <c r="C17" s="292"/>
      <c r="D17" s="171"/>
      <c r="E17" s="292"/>
      <c r="F17" s="171"/>
      <c r="G17" s="292"/>
      <c r="H17" s="171"/>
      <c r="I17" s="292"/>
    </row>
    <row r="18" spans="3:9" x14ac:dyDescent="0.2">
      <c r="C18" s="292"/>
      <c r="D18" s="171"/>
      <c r="E18" s="292"/>
      <c r="F18" s="171"/>
      <c r="G18" s="292"/>
      <c r="H18" s="171"/>
      <c r="I18" s="292"/>
    </row>
    <row r="19" spans="3:9" x14ac:dyDescent="0.2">
      <c r="C19" s="292"/>
      <c r="D19" s="171"/>
      <c r="E19" s="292"/>
      <c r="F19" s="171"/>
      <c r="G19" s="292"/>
      <c r="H19" s="171"/>
      <c r="I19" s="292"/>
    </row>
    <row r="20" spans="3:9" x14ac:dyDescent="0.2">
      <c r="C20" s="292"/>
      <c r="D20" s="171"/>
      <c r="E20" s="292"/>
      <c r="F20" s="171"/>
      <c r="G20" s="292"/>
      <c r="H20" s="171"/>
      <c r="I20" s="292"/>
    </row>
    <row r="21" spans="3:9" x14ac:dyDescent="0.2">
      <c r="C21" s="292"/>
      <c r="D21" s="171"/>
      <c r="E21" s="292"/>
      <c r="F21" s="171"/>
      <c r="G21" s="292"/>
      <c r="H21" s="171"/>
      <c r="I21" s="292"/>
    </row>
    <row r="22" spans="3:9" x14ac:dyDescent="0.2">
      <c r="C22" s="292"/>
      <c r="D22" s="171"/>
      <c r="E22" s="292"/>
      <c r="F22" s="171"/>
      <c r="G22" s="292"/>
      <c r="H22" s="171"/>
      <c r="I22" s="29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21" sqref="B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70" t="s">
        <v>499</v>
      </c>
      <c r="B1" s="271"/>
      <c r="C1" s="226"/>
      <c r="D1" s="15"/>
    </row>
    <row r="2" spans="1:4" x14ac:dyDescent="0.2">
      <c r="A2" s="15"/>
      <c r="B2" s="15"/>
      <c r="C2" s="15"/>
      <c r="D2" s="15"/>
    </row>
    <row r="3" spans="1:4" x14ac:dyDescent="0.2">
      <c r="A3" s="15"/>
      <c r="B3" s="15"/>
    </row>
    <row r="4" spans="1:4" ht="12.75" thickBot="1" x14ac:dyDescent="0.25">
      <c r="A4" s="1"/>
      <c r="B4" s="92" t="s">
        <v>500</v>
      </c>
      <c r="C4" s="509">
        <v>42004</v>
      </c>
      <c r="D4" s="510">
        <v>41639</v>
      </c>
    </row>
    <row r="5" spans="1:4" x14ac:dyDescent="0.2">
      <c r="A5" s="272" t="s">
        <v>501</v>
      </c>
      <c r="B5" s="17" t="s">
        <v>502</v>
      </c>
      <c r="C5" s="412">
        <v>10</v>
      </c>
      <c r="D5" s="412">
        <v>12</v>
      </c>
    </row>
    <row r="6" spans="1:4" x14ac:dyDescent="0.2">
      <c r="A6" s="272"/>
      <c r="B6" s="273" t="s">
        <v>503</v>
      </c>
      <c r="C6" s="18">
        <v>19</v>
      </c>
      <c r="D6" s="18">
        <v>25</v>
      </c>
    </row>
    <row r="7" spans="1:4" x14ac:dyDescent="0.2">
      <c r="A7" s="272"/>
      <c r="B7" s="273" t="s">
        <v>504</v>
      </c>
      <c r="C7" s="18">
        <v>25</v>
      </c>
      <c r="D7" s="18">
        <v>26</v>
      </c>
    </row>
    <row r="8" spans="1:4" x14ac:dyDescent="0.2">
      <c r="A8" s="272"/>
      <c r="B8" s="17" t="s">
        <v>505</v>
      </c>
      <c r="C8" s="412">
        <v>10</v>
      </c>
      <c r="D8" s="412">
        <v>10</v>
      </c>
    </row>
    <row r="9" spans="1:4" s="393" customFormat="1" x14ac:dyDescent="0.2">
      <c r="A9" s="272"/>
      <c r="B9" s="393" t="s">
        <v>506</v>
      </c>
      <c r="C9" s="412">
        <v>16</v>
      </c>
      <c r="D9" s="412">
        <v>8</v>
      </c>
    </row>
    <row r="10" spans="1:4" x14ac:dyDescent="0.2">
      <c r="A10" s="272"/>
      <c r="B10" s="274" t="s">
        <v>1223</v>
      </c>
      <c r="C10" s="413">
        <f>77-10+2</f>
        <v>69</v>
      </c>
      <c r="D10" s="413">
        <f>67+11-8+1</f>
        <v>71</v>
      </c>
    </row>
    <row r="11" spans="1:4" x14ac:dyDescent="0.2">
      <c r="A11" s="275"/>
      <c r="B11" s="276"/>
      <c r="C11" s="277"/>
      <c r="D11" s="277"/>
    </row>
    <row r="12" spans="1:4" x14ac:dyDescent="0.2">
      <c r="A12" s="278" t="s">
        <v>507</v>
      </c>
      <c r="B12" s="279"/>
      <c r="C12" s="280">
        <f>SUM(C5:C11)</f>
        <v>149</v>
      </c>
      <c r="D12" s="281">
        <f>SUM(D5:D11)</f>
        <v>152</v>
      </c>
    </row>
    <row r="13" spans="1:4" x14ac:dyDescent="0.2">
      <c r="A13" s="272" t="s">
        <v>508</v>
      </c>
      <c r="B13" s="15" t="s">
        <v>509</v>
      </c>
      <c r="C13" s="218">
        <v>2</v>
      </c>
      <c r="D13" s="218">
        <v>2</v>
      </c>
    </row>
    <row r="14" spans="1:4" s="341" customFormat="1" x14ac:dyDescent="0.2">
      <c r="A14" s="272"/>
      <c r="B14" s="15" t="s">
        <v>510</v>
      </c>
      <c r="C14" s="218">
        <v>0</v>
      </c>
      <c r="D14" s="218">
        <v>352</v>
      </c>
    </row>
    <row r="15" spans="1:4" x14ac:dyDescent="0.2">
      <c r="A15" s="272"/>
      <c r="B15" s="15" t="s">
        <v>511</v>
      </c>
      <c r="C15" s="218">
        <v>137</v>
      </c>
      <c r="D15" s="218">
        <v>119</v>
      </c>
    </row>
    <row r="16" spans="1:4" x14ac:dyDescent="0.2">
      <c r="A16" s="278" t="s">
        <v>512</v>
      </c>
      <c r="B16" s="260"/>
      <c r="C16" s="233">
        <f>SUM(C13:C15)</f>
        <v>139</v>
      </c>
      <c r="D16" s="282">
        <f>SUM(D13:D15)</f>
        <v>473</v>
      </c>
    </row>
    <row r="17" spans="1:6" x14ac:dyDescent="0.2">
      <c r="A17" s="272" t="s">
        <v>513</v>
      </c>
      <c r="B17" s="15" t="s">
        <v>514</v>
      </c>
      <c r="C17" s="218">
        <v>3</v>
      </c>
      <c r="D17" s="218">
        <f>1+6</f>
        <v>7</v>
      </c>
    </row>
    <row r="18" spans="1:6" x14ac:dyDescent="0.2">
      <c r="A18" s="283" t="s">
        <v>515</v>
      </c>
      <c r="B18" s="260"/>
      <c r="C18" s="233">
        <f>+C12+C16+C17</f>
        <v>291</v>
      </c>
      <c r="D18" s="282">
        <f>+D12+D16+D17</f>
        <v>632</v>
      </c>
    </row>
    <row r="19" spans="1:6" x14ac:dyDescent="0.2">
      <c r="A19" s="284"/>
      <c r="C19" s="85"/>
      <c r="D19" s="85"/>
      <c r="F19" s="23"/>
    </row>
    <row r="20" spans="1:6" ht="53.25" customHeight="1" x14ac:dyDescent="0.2">
      <c r="A20" s="452" t="s">
        <v>516</v>
      </c>
      <c r="B20" s="70"/>
      <c r="C20" s="70"/>
      <c r="D20" s="70"/>
    </row>
    <row r="26" spans="1:6" x14ac:dyDescent="0.2">
      <c r="A26" s="1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E25" sqref="E25"/>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71" t="s">
        <v>517</v>
      </c>
      <c r="B1" s="271"/>
      <c r="C1" s="226"/>
    </row>
    <row r="2" spans="1:6" x14ac:dyDescent="0.2">
      <c r="A2" s="15" t="s">
        <v>518</v>
      </c>
      <c r="B2" s="225"/>
      <c r="C2" s="15"/>
    </row>
    <row r="3" spans="1:6" x14ac:dyDescent="0.2">
      <c r="A3" s="285"/>
      <c r="B3" s="225"/>
      <c r="C3" s="15"/>
    </row>
    <row r="4" spans="1:6" ht="60.75" customHeight="1" thickBot="1" x14ac:dyDescent="0.25">
      <c r="A4" s="77">
        <v>2014</v>
      </c>
      <c r="B4" s="381" t="s">
        <v>519</v>
      </c>
      <c r="C4" s="381" t="s">
        <v>520</v>
      </c>
      <c r="D4" s="493" t="s">
        <v>521</v>
      </c>
      <c r="E4" s="493" t="s">
        <v>522</v>
      </c>
      <c r="F4" s="381" t="s">
        <v>523</v>
      </c>
    </row>
    <row r="5" spans="1:6" x14ac:dyDescent="0.2">
      <c r="A5" s="106" t="s">
        <v>524</v>
      </c>
      <c r="B5" s="197">
        <v>149</v>
      </c>
      <c r="C5" s="197">
        <v>149</v>
      </c>
      <c r="D5" s="197">
        <v>7</v>
      </c>
      <c r="E5" s="197">
        <v>-19</v>
      </c>
      <c r="F5" s="286">
        <v>0</v>
      </c>
    </row>
    <row r="6" spans="1:6" x14ac:dyDescent="0.2">
      <c r="A6" s="106" t="s">
        <v>525</v>
      </c>
      <c r="B6" s="197">
        <v>139</v>
      </c>
      <c r="C6" s="197">
        <v>139</v>
      </c>
      <c r="D6" s="287">
        <v>257</v>
      </c>
      <c r="E6" s="287">
        <v>18</v>
      </c>
      <c r="F6" s="418">
        <v>59</v>
      </c>
    </row>
    <row r="7" spans="1:6" x14ac:dyDescent="0.2">
      <c r="A7" s="107" t="s">
        <v>526</v>
      </c>
      <c r="B7" s="197">
        <v>3</v>
      </c>
      <c r="C7" s="197">
        <v>3</v>
      </c>
      <c r="D7" s="197">
        <v>0</v>
      </c>
      <c r="E7" s="197">
        <v>0</v>
      </c>
      <c r="F7" s="197">
        <v>0</v>
      </c>
    </row>
    <row r="8" spans="1:6" x14ac:dyDescent="0.2">
      <c r="A8" s="88" t="s">
        <v>527</v>
      </c>
      <c r="B8" s="169">
        <f>SUM(B5:B7)</f>
        <v>291</v>
      </c>
      <c r="C8" s="169">
        <f>SUM(C5:C7)</f>
        <v>291</v>
      </c>
      <c r="D8" s="386">
        <f>SUM(D5:D7)</f>
        <v>264</v>
      </c>
      <c r="E8" s="386">
        <f>SUM(E5:E7)</f>
        <v>-1</v>
      </c>
      <c r="F8" s="386">
        <f>SUM(F5:F7)</f>
        <v>59</v>
      </c>
    </row>
    <row r="9" spans="1:6" x14ac:dyDescent="0.2">
      <c r="A9" s="225"/>
      <c r="B9" s="225"/>
      <c r="C9" s="15"/>
    </row>
    <row r="10" spans="1:6" ht="64.5" customHeight="1" thickBot="1" x14ac:dyDescent="0.25">
      <c r="A10" s="77">
        <v>2013</v>
      </c>
      <c r="B10" s="381" t="s">
        <v>519</v>
      </c>
      <c r="C10" s="381" t="s">
        <v>520</v>
      </c>
      <c r="D10" s="493" t="s">
        <v>521</v>
      </c>
      <c r="E10" s="493" t="s">
        <v>522</v>
      </c>
      <c r="F10" s="381" t="s">
        <v>523</v>
      </c>
    </row>
    <row r="11" spans="1:6" x14ac:dyDescent="0.2">
      <c r="A11" s="106" t="s">
        <v>528</v>
      </c>
      <c r="B11" s="197">
        <v>152</v>
      </c>
      <c r="C11" s="197">
        <v>152</v>
      </c>
      <c r="D11" s="197">
        <v>25</v>
      </c>
      <c r="E11" s="197">
        <v>-16</v>
      </c>
      <c r="F11" s="286">
        <v>0</v>
      </c>
    </row>
    <row r="12" spans="1:6" x14ac:dyDescent="0.2">
      <c r="A12" s="106" t="s">
        <v>529</v>
      </c>
      <c r="B12" s="197">
        <v>473</v>
      </c>
      <c r="C12" s="197">
        <v>473</v>
      </c>
      <c r="D12" s="287">
        <v>0</v>
      </c>
      <c r="E12" s="287">
        <v>24</v>
      </c>
      <c r="F12" s="418">
        <v>162</v>
      </c>
    </row>
    <row r="13" spans="1:6" x14ac:dyDescent="0.2">
      <c r="A13" s="107" t="s">
        <v>530</v>
      </c>
      <c r="B13" s="197">
        <v>7</v>
      </c>
      <c r="C13" s="197">
        <v>7</v>
      </c>
      <c r="D13" s="197">
        <v>1</v>
      </c>
      <c r="E13" s="197">
        <v>0</v>
      </c>
      <c r="F13" s="197">
        <v>0</v>
      </c>
    </row>
    <row r="14" spans="1:6" x14ac:dyDescent="0.2">
      <c r="A14" s="88" t="s">
        <v>531</v>
      </c>
      <c r="B14" s="169">
        <f>SUM(B11:B13)</f>
        <v>632</v>
      </c>
      <c r="C14" s="169">
        <f>SUM(C11:C13)</f>
        <v>632</v>
      </c>
      <c r="D14" s="169">
        <f>SUM(D11:D13)</f>
        <v>26</v>
      </c>
      <c r="E14" s="169">
        <f>SUM(E11:E13)</f>
        <v>8</v>
      </c>
      <c r="F14" s="169">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H46" sqref="H46"/>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65" t="s">
        <v>1206</v>
      </c>
      <c r="B1" s="225"/>
      <c r="C1" s="15"/>
      <c r="D1" s="15"/>
    </row>
    <row r="2" spans="1:4" x14ac:dyDescent="0.2">
      <c r="A2" s="225"/>
      <c r="B2" s="225"/>
      <c r="C2" s="15"/>
      <c r="D2" s="15"/>
    </row>
    <row r="3" spans="1:4" ht="24.75" thickBot="1" x14ac:dyDescent="0.25">
      <c r="A3" s="454" t="s">
        <v>744</v>
      </c>
      <c r="B3" s="288" t="s">
        <v>745</v>
      </c>
      <c r="C3" s="289" t="s">
        <v>746</v>
      </c>
      <c r="D3" s="15"/>
    </row>
    <row r="4" spans="1:4" x14ac:dyDescent="0.2">
      <c r="A4" s="15" t="s">
        <v>747</v>
      </c>
      <c r="B4" s="198">
        <v>288</v>
      </c>
      <c r="C4" s="197">
        <v>625</v>
      </c>
      <c r="D4" s="105"/>
    </row>
    <row r="5" spans="1:4" x14ac:dyDescent="0.2">
      <c r="A5" s="15" t="s">
        <v>748</v>
      </c>
      <c r="B5" s="198">
        <v>0</v>
      </c>
      <c r="C5" s="197">
        <v>0</v>
      </c>
      <c r="D5" s="105"/>
    </row>
    <row r="6" spans="1:4" x14ac:dyDescent="0.2">
      <c r="A6" s="15" t="s">
        <v>749</v>
      </c>
      <c r="B6" s="198">
        <v>3</v>
      </c>
      <c r="C6" s="197">
        <v>7</v>
      </c>
      <c r="D6" s="105"/>
    </row>
    <row r="7" spans="1:4" x14ac:dyDescent="0.2">
      <c r="A7" s="100" t="s">
        <v>750</v>
      </c>
      <c r="B7" s="290">
        <f>SUM(B4:B6)</f>
        <v>291</v>
      </c>
      <c r="C7" s="291">
        <f>SUM(C4:C6)</f>
        <v>632</v>
      </c>
      <c r="D7" s="105"/>
    </row>
    <row r="8" spans="1:4" x14ac:dyDescent="0.2">
      <c r="D8" s="10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10" sqref="A10"/>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90" t="s">
        <v>99</v>
      </c>
    </row>
    <row r="3" spans="1:5" ht="13.5" customHeight="1" x14ac:dyDescent="0.2">
      <c r="A3" s="666" t="s">
        <v>100</v>
      </c>
      <c r="B3" s="666"/>
      <c r="C3" s="668" t="s">
        <v>101</v>
      </c>
      <c r="D3" s="670" t="s">
        <v>102</v>
      </c>
      <c r="E3" s="672" t="s">
        <v>103</v>
      </c>
    </row>
    <row r="4" spans="1:5" ht="13.5" customHeight="1" thickBot="1" x14ac:dyDescent="0.25">
      <c r="A4" s="667"/>
      <c r="B4" s="667"/>
      <c r="C4" s="669"/>
      <c r="D4" s="671"/>
      <c r="E4" s="673"/>
    </row>
    <row r="5" spans="1:5" x14ac:dyDescent="0.2">
      <c r="A5" s="665" t="s">
        <v>104</v>
      </c>
      <c r="B5" s="665"/>
      <c r="C5" s="431">
        <f>159390+43741+1980-212</f>
        <v>204899</v>
      </c>
      <c r="D5" s="177">
        <v>3227</v>
      </c>
      <c r="E5" s="177">
        <v>1138</v>
      </c>
    </row>
    <row r="6" spans="1:5" s="393" customFormat="1" x14ac:dyDescent="0.2">
      <c r="A6" s="393" t="s">
        <v>105</v>
      </c>
      <c r="B6" s="417"/>
      <c r="C6" s="177"/>
      <c r="D6" s="177">
        <v>1127</v>
      </c>
      <c r="E6" s="177"/>
    </row>
    <row r="7" spans="1:5" ht="12.75" customHeight="1" x14ac:dyDescent="0.2">
      <c r="A7" s="278" t="s">
        <v>106</v>
      </c>
      <c r="B7" s="116"/>
      <c r="C7" s="293">
        <f>SUM(C5:C6)</f>
        <v>204899</v>
      </c>
      <c r="D7" s="293">
        <f>SUM(D5:D6)</f>
        <v>4354</v>
      </c>
      <c r="E7" s="294">
        <f>SUM(E5:E6)</f>
        <v>1138</v>
      </c>
    </row>
    <row r="10" spans="1:5" ht="14.25" x14ac:dyDescent="0.2">
      <c r="A10" s="448" t="s">
        <v>1183</v>
      </c>
      <c r="B10" s="419"/>
      <c r="C10" s="419"/>
      <c r="D10" s="419"/>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activeCell="A37" sqref="A37"/>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25" t="s">
        <v>1153</v>
      </c>
      <c r="B1" s="371"/>
      <c r="C1" s="371"/>
      <c r="D1" s="372"/>
      <c r="E1" s="511"/>
      <c r="F1" s="373"/>
      <c r="G1" s="374"/>
      <c r="H1" s="374"/>
    </row>
    <row r="2" spans="1:12" ht="13.5" customHeight="1" x14ac:dyDescent="0.2">
      <c r="A2" s="565" t="s">
        <v>1207</v>
      </c>
      <c r="B2" s="371"/>
      <c r="C2" s="371"/>
      <c r="D2" s="372"/>
      <c r="E2" s="372"/>
      <c r="F2" s="373"/>
      <c r="G2" s="374"/>
      <c r="H2" s="374"/>
    </row>
    <row r="3" spans="1:12" ht="12.75" x14ac:dyDescent="0.2">
      <c r="A3" s="372"/>
      <c r="B3" s="674"/>
      <c r="C3" s="674"/>
      <c r="D3" s="374"/>
      <c r="E3" s="350"/>
      <c r="F3" s="349"/>
      <c r="G3" s="349"/>
      <c r="H3" s="349"/>
      <c r="I3" s="349"/>
      <c r="J3" s="164"/>
      <c r="K3" s="164"/>
      <c r="L3" s="164"/>
    </row>
    <row r="4" spans="1:12" ht="13.5" thickBot="1" x14ac:dyDescent="0.25">
      <c r="A4" s="443"/>
      <c r="B4" s="509">
        <v>42004</v>
      </c>
      <c r="C4" s="510">
        <v>41639</v>
      </c>
      <c r="D4" s="374"/>
    </row>
    <row r="5" spans="1:12" ht="12.75" x14ac:dyDescent="0.2">
      <c r="A5" s="295" t="s">
        <v>107</v>
      </c>
      <c r="B5" s="380">
        <v>-20</v>
      </c>
      <c r="C5" s="375">
        <v>-27.625006410000005</v>
      </c>
      <c r="D5" s="374"/>
    </row>
    <row r="6" spans="1:12" ht="12.75" x14ac:dyDescent="0.2">
      <c r="A6" s="295" t="s">
        <v>108</v>
      </c>
      <c r="B6" s="380">
        <v>-13</v>
      </c>
      <c r="C6" s="375">
        <v>-15.272974070000469</v>
      </c>
      <c r="D6" s="374"/>
    </row>
    <row r="7" spans="1:12" ht="12.75" x14ac:dyDescent="0.2">
      <c r="A7" s="295" t="s">
        <v>109</v>
      </c>
      <c r="B7" s="380">
        <v>-79</v>
      </c>
      <c r="C7" s="375">
        <v>-57.250832159999995</v>
      </c>
      <c r="D7" s="374"/>
    </row>
    <row r="8" spans="1:12" ht="12.75" x14ac:dyDescent="0.2">
      <c r="A8" s="295" t="s">
        <v>110</v>
      </c>
      <c r="B8" s="380">
        <v>92</v>
      </c>
      <c r="C8" s="375">
        <v>103.92757938</v>
      </c>
      <c r="D8" s="374"/>
    </row>
    <row r="9" spans="1:12" ht="12.75" x14ac:dyDescent="0.2">
      <c r="A9" s="295" t="s">
        <v>111</v>
      </c>
      <c r="B9" s="380">
        <v>2</v>
      </c>
      <c r="C9" s="375">
        <v>-1.4109614700000093</v>
      </c>
      <c r="D9" s="374"/>
    </row>
    <row r="10" spans="1:12" ht="12.75" x14ac:dyDescent="0.2">
      <c r="A10" s="378" t="s">
        <v>112</v>
      </c>
      <c r="B10" s="379">
        <f>SUM(B5:B9)</f>
        <v>-18</v>
      </c>
      <c r="C10" s="416">
        <f>SUM(C5:C9)</f>
        <v>2.3678052699995167</v>
      </c>
      <c r="D10" s="374"/>
    </row>
    <row r="11" spans="1:12" ht="12.75" x14ac:dyDescent="0.2">
      <c r="A11" s="295"/>
      <c r="B11" s="380"/>
      <c r="C11" s="375"/>
      <c r="D11" s="374"/>
    </row>
    <row r="12" spans="1:12" ht="12.75" x14ac:dyDescent="0.2">
      <c r="A12" s="295" t="s">
        <v>113</v>
      </c>
      <c r="B12" s="380"/>
      <c r="C12" s="375"/>
      <c r="D12" s="374"/>
    </row>
    <row r="13" spans="1:12" ht="12.75" x14ac:dyDescent="0.2">
      <c r="A13" s="295" t="s">
        <v>114</v>
      </c>
      <c r="B13" s="380">
        <v>-25</v>
      </c>
      <c r="C13" s="375">
        <v>-6.562608109999986</v>
      </c>
      <c r="D13" s="374"/>
    </row>
    <row r="14" spans="1:12" ht="12.75" x14ac:dyDescent="0.2">
      <c r="A14" s="295" t="s">
        <v>115</v>
      </c>
      <c r="B14" s="380">
        <v>-10</v>
      </c>
      <c r="C14" s="375">
        <v>3.629363549999999</v>
      </c>
      <c r="D14" s="374"/>
    </row>
    <row r="15" spans="1:12" ht="12.75" x14ac:dyDescent="0.2">
      <c r="A15" s="295" t="s">
        <v>116</v>
      </c>
      <c r="B15" s="380">
        <v>6</v>
      </c>
      <c r="C15" s="375">
        <v>2.8685793800000061</v>
      </c>
      <c r="D15" s="374"/>
    </row>
    <row r="16" spans="1:12" ht="12.75" x14ac:dyDescent="0.2">
      <c r="A16" s="295" t="s">
        <v>117</v>
      </c>
      <c r="B16" s="380">
        <v>7</v>
      </c>
      <c r="C16" s="375">
        <v>8.8610251900000065</v>
      </c>
      <c r="D16" s="374"/>
    </row>
    <row r="17" spans="1:9" ht="12.75" x14ac:dyDescent="0.2">
      <c r="A17" s="295" t="s">
        <v>118</v>
      </c>
      <c r="B17" s="380">
        <v>3</v>
      </c>
      <c r="C17" s="375">
        <v>1.5791731499999888</v>
      </c>
      <c r="D17" s="374"/>
    </row>
    <row r="18" spans="1:9" ht="12.75" x14ac:dyDescent="0.2">
      <c r="A18" s="295" t="s">
        <v>119</v>
      </c>
      <c r="B18" s="380">
        <v>6</v>
      </c>
      <c r="C18" s="375">
        <v>-1.6769832699999976</v>
      </c>
      <c r="D18" s="374"/>
    </row>
    <row r="19" spans="1:9" ht="12.75" x14ac:dyDescent="0.2">
      <c r="A19" s="295" t="s">
        <v>120</v>
      </c>
      <c r="B19" s="380">
        <v>-6</v>
      </c>
      <c r="C19" s="375">
        <v>-6.0040469799999814</v>
      </c>
      <c r="D19" s="374"/>
    </row>
    <row r="20" spans="1:9" ht="12.75" x14ac:dyDescent="0.2">
      <c r="A20" s="296" t="s">
        <v>121</v>
      </c>
      <c r="B20" s="377">
        <v>1</v>
      </c>
      <c r="C20" s="376">
        <v>-0.32669763999999929</v>
      </c>
      <c r="D20" s="374"/>
    </row>
    <row r="21" spans="1:9" ht="12.75" x14ac:dyDescent="0.2">
      <c r="A21" s="378" t="s">
        <v>122</v>
      </c>
      <c r="B21" s="379">
        <f t="shared" ref="B21" si="0">SUM(B13:B20)</f>
        <v>-18</v>
      </c>
      <c r="C21" s="416">
        <f t="shared" ref="C21" si="1">SUM(C13:C20)</f>
        <v>2.3678052700000358</v>
      </c>
      <c r="D21" s="374"/>
    </row>
    <row r="22" spans="1:9" ht="12.75" x14ac:dyDescent="0.2">
      <c r="A22" s="295"/>
      <c r="B22" s="380"/>
      <c r="C22" s="375"/>
      <c r="D22" s="374"/>
    </row>
    <row r="23" spans="1:9" ht="12.75" x14ac:dyDescent="0.2">
      <c r="A23" s="295" t="s">
        <v>123</v>
      </c>
      <c r="B23" s="380"/>
      <c r="C23" s="375"/>
      <c r="D23" s="374"/>
    </row>
    <row r="24" spans="1:9" ht="12.75" x14ac:dyDescent="0.2">
      <c r="A24" s="295" t="s">
        <v>124</v>
      </c>
      <c r="B24" s="380">
        <v>-14</v>
      </c>
      <c r="C24" s="375">
        <v>-3.9101249799999933</v>
      </c>
      <c r="D24" s="374"/>
    </row>
    <row r="25" spans="1:9" ht="12.75" x14ac:dyDescent="0.2">
      <c r="A25" s="295" t="s">
        <v>125</v>
      </c>
      <c r="B25" s="380">
        <v>-1</v>
      </c>
      <c r="C25" s="375">
        <v>9.055224999999913</v>
      </c>
      <c r="D25" s="374"/>
    </row>
    <row r="26" spans="1:9" ht="12.75" x14ac:dyDescent="0.2">
      <c r="A26" s="295" t="s">
        <v>126</v>
      </c>
      <c r="B26" s="380">
        <v>-8</v>
      </c>
      <c r="C26" s="375">
        <v>-2.6454088100000024</v>
      </c>
      <c r="D26" s="374"/>
    </row>
    <row r="27" spans="1:9" ht="12.75" x14ac:dyDescent="0.2">
      <c r="A27" s="295" t="s">
        <v>127</v>
      </c>
      <c r="B27" s="380">
        <v>6</v>
      </c>
      <c r="C27" s="375">
        <v>0.67372764999999701</v>
      </c>
      <c r="D27" s="374"/>
    </row>
    <row r="28" spans="1:9" ht="12.75" x14ac:dyDescent="0.2">
      <c r="A28" s="295" t="s">
        <v>128</v>
      </c>
      <c r="B28" s="380">
        <v>-1</v>
      </c>
      <c r="C28" s="375">
        <v>-0.80561358999999699</v>
      </c>
      <c r="D28" s="374"/>
    </row>
    <row r="29" spans="1:9" ht="12.75" x14ac:dyDescent="0.2">
      <c r="A29" s="378" t="s">
        <v>129</v>
      </c>
      <c r="B29" s="379">
        <f t="shared" ref="B29" si="2">SUM(B24:B28)</f>
        <v>-18</v>
      </c>
      <c r="C29" s="416">
        <f t="shared" ref="C29" si="3">SUM(C24:C28)</f>
        <v>2.3678052699999168</v>
      </c>
      <c r="D29" s="374"/>
    </row>
    <row r="31" spans="1:9" x14ac:dyDescent="0.2">
      <c r="A31" s="295"/>
    </row>
    <row r="32" spans="1:9" ht="12.75" x14ac:dyDescent="0.2">
      <c r="A32" s="512" t="s">
        <v>130</v>
      </c>
      <c r="B32" s="295"/>
      <c r="C32" s="295"/>
      <c r="D32" s="295"/>
      <c r="E32" s="295"/>
      <c r="F32" s="370"/>
      <c r="G32" s="370"/>
      <c r="H32" s="370"/>
      <c r="I32" s="370"/>
    </row>
    <row r="33" spans="1:9" ht="12.75" x14ac:dyDescent="0.2">
      <c r="A33" s="512" t="s">
        <v>131</v>
      </c>
      <c r="B33" s="295"/>
      <c r="C33" s="295"/>
      <c r="D33" s="295"/>
      <c r="E33" s="295"/>
      <c r="F33" s="370"/>
      <c r="G33" s="370"/>
      <c r="H33" s="370"/>
      <c r="I33" s="370"/>
    </row>
    <row r="34" spans="1:9" ht="12.75" x14ac:dyDescent="0.2">
      <c r="A34" s="512" t="s">
        <v>132</v>
      </c>
      <c r="B34" s="295"/>
      <c r="C34" s="295"/>
      <c r="D34" s="295"/>
      <c r="E34" s="295"/>
      <c r="F34" s="370"/>
      <c r="G34" s="370"/>
      <c r="H34" s="370"/>
      <c r="I34" s="370"/>
    </row>
    <row r="35" spans="1:9" ht="12.75" x14ac:dyDescent="0.2">
      <c r="A35" s="295"/>
      <c r="B35" s="295"/>
      <c r="C35" s="295"/>
      <c r="D35" s="295"/>
      <c r="E35" s="295"/>
      <c r="F35" s="370"/>
      <c r="G35" s="370"/>
      <c r="H35" s="370"/>
      <c r="I35" s="370"/>
    </row>
    <row r="36" spans="1:9" ht="12.75" x14ac:dyDescent="0.2">
      <c r="A36" s="512" t="s">
        <v>133</v>
      </c>
      <c r="B36" s="295"/>
      <c r="C36" s="295"/>
      <c r="D36" s="295"/>
      <c r="E36" s="295"/>
      <c r="F36" s="370"/>
      <c r="G36" s="370"/>
      <c r="H36" s="370"/>
      <c r="I36" s="370"/>
    </row>
    <row r="37" spans="1:9" ht="12.75" x14ac:dyDescent="0.2">
      <c r="A37" s="513" t="s">
        <v>134</v>
      </c>
      <c r="B37" s="295"/>
      <c r="C37" s="295"/>
      <c r="D37" s="295"/>
      <c r="E37" s="295"/>
      <c r="F37" s="370"/>
      <c r="G37" s="370"/>
      <c r="H37" s="370"/>
      <c r="I37" s="370"/>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Normal="100" workbookViewId="0">
      <selection activeCell="B6" sqref="B6"/>
    </sheetView>
  </sheetViews>
  <sheetFormatPr baseColWidth="10" defaultColWidth="11" defaultRowHeight="12" x14ac:dyDescent="0.2"/>
  <cols>
    <col min="1" max="1" width="23.125" style="297" customWidth="1"/>
    <col min="2" max="2" width="9.5" style="297" customWidth="1"/>
    <col min="3" max="3" width="10.25" style="297" customWidth="1"/>
    <col min="4" max="4" width="11.25" style="297" customWidth="1"/>
    <col min="5" max="5" width="11.875" style="297" customWidth="1"/>
    <col min="6" max="6" width="10.625" style="297" customWidth="1"/>
    <col min="7" max="7" width="11.625" style="297" customWidth="1"/>
    <col min="8" max="16384" width="11" style="297"/>
  </cols>
  <sheetData>
    <row r="1" spans="1:7" s="393" customFormat="1" x14ac:dyDescent="0.2">
      <c r="A1" s="104" t="s">
        <v>1169</v>
      </c>
      <c r="B1" s="104"/>
      <c r="C1" s="104"/>
      <c r="D1" s="104"/>
      <c r="E1" s="104"/>
      <c r="F1" s="105"/>
    </row>
    <row r="2" spans="1:7" s="393" customFormat="1" x14ac:dyDescent="0.2">
      <c r="A2" s="106" t="s">
        <v>1170</v>
      </c>
      <c r="B2" s="106"/>
      <c r="C2" s="106"/>
      <c r="D2" s="106"/>
      <c r="E2" s="106"/>
      <c r="F2" s="105"/>
    </row>
    <row r="3" spans="1:7" s="393" customFormat="1" x14ac:dyDescent="0.2">
      <c r="A3" s="106" t="s">
        <v>1171</v>
      </c>
      <c r="B3" s="106"/>
      <c r="C3" s="106"/>
      <c r="D3" s="106"/>
      <c r="E3" s="106"/>
      <c r="F3" s="105"/>
    </row>
    <row r="4" spans="1:7" s="393" customFormat="1" ht="12" customHeight="1" x14ac:dyDescent="0.2">
      <c r="A4" s="628" t="s">
        <v>1267</v>
      </c>
      <c r="B4" s="628"/>
      <c r="C4" s="628"/>
      <c r="D4" s="628"/>
      <c r="E4" s="628"/>
      <c r="F4" s="628"/>
      <c r="G4" s="628"/>
    </row>
    <row r="5" spans="1:7" s="393" customFormat="1" x14ac:dyDescent="0.2">
      <c r="A5" s="595" t="s">
        <v>1182</v>
      </c>
      <c r="B5" s="107"/>
      <c r="C5" s="107"/>
      <c r="D5" s="108"/>
      <c r="E5" s="105"/>
      <c r="F5" s="105"/>
    </row>
    <row r="6" spans="1:7" s="393" customFormat="1" x14ac:dyDescent="0.2">
      <c r="A6" s="105"/>
      <c r="B6" s="107"/>
      <c r="C6" s="107"/>
      <c r="D6" s="108"/>
      <c r="E6" s="105"/>
      <c r="F6" s="105"/>
    </row>
    <row r="7" spans="1:7" s="393" customFormat="1" x14ac:dyDescent="0.2">
      <c r="A7" s="105"/>
      <c r="B7" s="107"/>
      <c r="C7" s="107"/>
      <c r="D7" s="108"/>
      <c r="E7" s="105"/>
      <c r="F7" s="105"/>
    </row>
    <row r="8" spans="1:7" s="393" customFormat="1" x14ac:dyDescent="0.2">
      <c r="A8" s="104" t="s">
        <v>1172</v>
      </c>
      <c r="B8" s="107"/>
      <c r="C8" s="107"/>
      <c r="D8" s="108"/>
      <c r="E8" s="105"/>
      <c r="F8" s="105"/>
      <c r="G8" s="448"/>
    </row>
    <row r="9" spans="1:7" s="393" customFormat="1" x14ac:dyDescent="0.2">
      <c r="A9" s="106" t="s">
        <v>1173</v>
      </c>
      <c r="B9" s="106"/>
      <c r="C9" s="106"/>
      <c r="D9" s="106"/>
      <c r="E9" s="106"/>
      <c r="F9" s="105"/>
      <c r="G9" s="448"/>
    </row>
    <row r="10" spans="1:7" s="393" customFormat="1" x14ac:dyDescent="0.2">
      <c r="A10" s="106" t="s">
        <v>1174</v>
      </c>
      <c r="B10" s="106"/>
      <c r="C10" s="106"/>
      <c r="D10" s="106"/>
      <c r="E10" s="106"/>
      <c r="F10" s="105"/>
      <c r="G10" s="448"/>
    </row>
    <row r="11" spans="1:7" s="393" customFormat="1" x14ac:dyDescent="0.2">
      <c r="A11" s="105"/>
      <c r="B11" s="107"/>
      <c r="C11" s="107"/>
      <c r="D11" s="108"/>
      <c r="E11" s="105"/>
      <c r="F11" s="105"/>
      <c r="G11" s="448"/>
    </row>
    <row r="12" spans="1:7" s="393" customFormat="1" x14ac:dyDescent="0.2"/>
    <row r="13" spans="1:7" s="393" customFormat="1" x14ac:dyDescent="0.2">
      <c r="A13" s="14" t="s">
        <v>1175</v>
      </c>
      <c r="B13" s="448"/>
      <c r="C13" s="448"/>
    </row>
    <row r="14" spans="1:7" s="393" customFormat="1" x14ac:dyDescent="0.2"/>
    <row r="15" spans="1:7" s="393" customFormat="1" ht="48.75" thickBot="1" x14ac:dyDescent="0.25">
      <c r="A15" s="484" t="s">
        <v>1209</v>
      </c>
      <c r="B15" s="109" t="s">
        <v>1229</v>
      </c>
      <c r="C15" s="109" t="s">
        <v>1230</v>
      </c>
      <c r="D15" s="109" t="s">
        <v>1231</v>
      </c>
      <c r="E15" s="110" t="s">
        <v>1233</v>
      </c>
      <c r="F15" s="110" t="s">
        <v>1232</v>
      </c>
      <c r="G15" s="110" t="s">
        <v>0</v>
      </c>
    </row>
    <row r="16" spans="1:7" s="393" customFormat="1" ht="14.25" x14ac:dyDescent="0.2">
      <c r="A16" s="393" t="s">
        <v>1176</v>
      </c>
      <c r="B16" s="402">
        <v>21.39</v>
      </c>
      <c r="C16" s="18">
        <v>15059</v>
      </c>
      <c r="D16" s="401">
        <v>13.99</v>
      </c>
      <c r="E16" s="402">
        <v>21.39</v>
      </c>
      <c r="F16" s="18">
        <v>15019</v>
      </c>
      <c r="G16" s="401">
        <v>14.09</v>
      </c>
    </row>
    <row r="17" spans="1:7" s="393" customFormat="1" x14ac:dyDescent="0.2">
      <c r="A17" s="393" t="s">
        <v>1</v>
      </c>
      <c r="B17" s="402">
        <v>26.8</v>
      </c>
      <c r="C17" s="18">
        <v>4286</v>
      </c>
      <c r="D17" s="401">
        <v>14.62</v>
      </c>
      <c r="E17" s="402">
        <v>26.8</v>
      </c>
      <c r="F17" s="18">
        <v>4486</v>
      </c>
      <c r="G17" s="401">
        <v>13.97</v>
      </c>
    </row>
    <row r="18" spans="1:7" s="393" customFormat="1" ht="14.25" x14ac:dyDescent="0.2">
      <c r="A18" s="20" t="s">
        <v>1177</v>
      </c>
      <c r="B18" s="405">
        <v>24.15</v>
      </c>
      <c r="C18" s="22">
        <v>5478</v>
      </c>
      <c r="D18" s="111">
        <v>18.600000000000001</v>
      </c>
      <c r="E18" s="405">
        <v>24.15</v>
      </c>
      <c r="F18" s="22">
        <v>5183</v>
      </c>
      <c r="G18" s="111">
        <v>19.68</v>
      </c>
    </row>
    <row r="19" spans="1:7" s="393" customFormat="1" x14ac:dyDescent="0.2">
      <c r="B19" s="85"/>
      <c r="C19" s="85"/>
    </row>
    <row r="20" spans="1:7" s="393" customFormat="1" ht="14.25" x14ac:dyDescent="0.2">
      <c r="A20" s="112" t="s">
        <v>1178</v>
      </c>
      <c r="B20" s="85"/>
      <c r="C20" s="85"/>
    </row>
    <row r="21" spans="1:7" s="393" customFormat="1" ht="14.25" x14ac:dyDescent="0.2">
      <c r="A21" s="112" t="s">
        <v>1179</v>
      </c>
      <c r="B21" s="85"/>
      <c r="C21" s="85"/>
    </row>
    <row r="22" spans="1:7" s="393" customFormat="1" x14ac:dyDescent="0.2"/>
    <row r="23" spans="1:7" s="393" customFormat="1" x14ac:dyDescent="0.2">
      <c r="A23" s="448" t="s">
        <v>2</v>
      </c>
      <c r="B23" s="448"/>
      <c r="C23" s="448"/>
      <c r="D23" s="448"/>
      <c r="E23" s="448"/>
    </row>
    <row r="24" spans="1:7" s="393" customFormat="1" x14ac:dyDescent="0.2">
      <c r="A24" s="393" t="s">
        <v>3</v>
      </c>
    </row>
    <row r="25" spans="1:7" s="393" customFormat="1" x14ac:dyDescent="0.2"/>
    <row r="26" spans="1:7" s="393" customFormat="1" x14ac:dyDescent="0.2"/>
    <row r="27" spans="1:7" s="393" customFormat="1" x14ac:dyDescent="0.2"/>
    <row r="28" spans="1:7" s="393" customFormat="1" x14ac:dyDescent="0.2"/>
    <row r="29" spans="1:7" s="393"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zoomScaleNormal="100" workbookViewId="0"/>
  </sheetViews>
  <sheetFormatPr baseColWidth="10" defaultRowHeight="12.75" x14ac:dyDescent="0.2"/>
  <cols>
    <col min="1" max="1" width="4.375" style="566" customWidth="1"/>
    <col min="2" max="2" width="74" style="566" customWidth="1"/>
    <col min="3" max="4" width="68.75" style="566" customWidth="1"/>
    <col min="5" max="5" width="19" style="566" customWidth="1"/>
    <col min="6" max="7" width="22.125" style="566" customWidth="1"/>
    <col min="8" max="8" width="3.75" style="566" customWidth="1"/>
    <col min="9" max="9" width="40.75" style="566" customWidth="1"/>
    <col min="10" max="10" width="40.5" style="566" customWidth="1"/>
    <col min="11" max="11" width="42.125" style="566" customWidth="1"/>
    <col min="12" max="12" width="41.625" style="566" customWidth="1"/>
    <col min="13" max="13" width="5.375" style="566" customWidth="1"/>
    <col min="14" max="14" width="51.625" style="566" customWidth="1"/>
    <col min="15" max="15" width="51.5" style="566" customWidth="1"/>
    <col min="16" max="16" width="3.75" style="566" customWidth="1"/>
    <col min="17" max="18" width="51.5" style="566" customWidth="1"/>
    <col min="19" max="16384" width="11" style="566"/>
  </cols>
  <sheetData>
    <row r="1" spans="1:19" x14ac:dyDescent="0.2">
      <c r="A1" s="590" t="s">
        <v>1152</v>
      </c>
    </row>
    <row r="2" spans="1:19" x14ac:dyDescent="0.2">
      <c r="C2" s="566" t="s">
        <v>1033</v>
      </c>
    </row>
    <row r="3" spans="1:19" ht="15" x14ac:dyDescent="0.25">
      <c r="B3" s="567"/>
      <c r="C3" s="568"/>
      <c r="D3" s="569"/>
      <c r="E3" s="567"/>
      <c r="F3" s="569"/>
      <c r="G3" s="567"/>
      <c r="I3" s="675" t="s">
        <v>1034</v>
      </c>
      <c r="J3" s="675"/>
      <c r="K3" s="675"/>
      <c r="L3" s="675"/>
      <c r="N3" s="675" t="s">
        <v>1035</v>
      </c>
      <c r="O3" s="675"/>
      <c r="Q3" s="675" t="s">
        <v>1036</v>
      </c>
      <c r="R3" s="675"/>
    </row>
    <row r="4" spans="1:19" ht="13.5" thickBot="1" x14ac:dyDescent="0.25">
      <c r="A4" s="549">
        <v>1</v>
      </c>
      <c r="B4" s="570" t="s">
        <v>1037</v>
      </c>
      <c r="C4" s="552" t="s">
        <v>1038</v>
      </c>
      <c r="D4" s="552" t="s">
        <v>1038</v>
      </c>
      <c r="E4" s="552" t="s">
        <v>1038</v>
      </c>
      <c r="F4" s="552" t="s">
        <v>1038</v>
      </c>
      <c r="G4" s="552" t="s">
        <v>1038</v>
      </c>
      <c r="I4" s="552" t="s">
        <v>1039</v>
      </c>
      <c r="J4" s="552" t="s">
        <v>1039</v>
      </c>
      <c r="K4" s="552" t="s">
        <v>1039</v>
      </c>
      <c r="L4" s="552" t="s">
        <v>1039</v>
      </c>
      <c r="N4" s="552" t="s">
        <v>1040</v>
      </c>
      <c r="O4" s="552" t="s">
        <v>1040</v>
      </c>
      <c r="Q4" s="552" t="s">
        <v>1041</v>
      </c>
      <c r="R4" s="552" t="s">
        <v>1041</v>
      </c>
    </row>
    <row r="5" spans="1:19" x14ac:dyDescent="0.2">
      <c r="A5" s="571">
        <v>2</v>
      </c>
      <c r="B5" s="572" t="s">
        <v>1042</v>
      </c>
      <c r="C5" s="399">
        <v>10552672</v>
      </c>
      <c r="D5" s="399">
        <v>10552664</v>
      </c>
      <c r="E5" s="399">
        <v>10694920</v>
      </c>
      <c r="F5" s="399">
        <v>10664568</v>
      </c>
      <c r="G5" s="399">
        <v>10628530</v>
      </c>
      <c r="I5" s="548" t="s">
        <v>1043</v>
      </c>
      <c r="J5" s="548" t="s">
        <v>1239</v>
      </c>
      <c r="K5" s="548" t="s">
        <v>1244</v>
      </c>
      <c r="L5" s="548" t="s">
        <v>1252</v>
      </c>
      <c r="M5" s="606"/>
      <c r="N5" s="617" t="s">
        <v>1044</v>
      </c>
      <c r="O5" s="548" t="s">
        <v>1045</v>
      </c>
      <c r="Q5" s="548" t="s">
        <v>1046</v>
      </c>
      <c r="R5" s="548" t="s">
        <v>1047</v>
      </c>
      <c r="S5" s="448"/>
    </row>
    <row r="6" spans="1:19" x14ac:dyDescent="0.2">
      <c r="A6" s="571">
        <v>3</v>
      </c>
      <c r="B6" s="572" t="s">
        <v>1048</v>
      </c>
      <c r="C6" s="399" t="s">
        <v>1049</v>
      </c>
      <c r="D6" s="399" t="s">
        <v>1049</v>
      </c>
      <c r="E6" s="399" t="s">
        <v>1049</v>
      </c>
      <c r="F6" s="399" t="s">
        <v>1049</v>
      </c>
      <c r="G6" s="399" t="s">
        <v>1049</v>
      </c>
      <c r="I6" s="448"/>
      <c r="J6" s="448"/>
      <c r="K6" s="448"/>
      <c r="L6" s="606"/>
      <c r="M6" s="606"/>
      <c r="N6" s="448"/>
      <c r="O6" s="448"/>
      <c r="Q6" s="448"/>
      <c r="R6" s="448"/>
      <c r="S6" s="448"/>
    </row>
    <row r="7" spans="1:19" ht="13.5" customHeight="1" thickBot="1" x14ac:dyDescent="0.25">
      <c r="A7" s="549"/>
      <c r="B7" s="573" t="s">
        <v>1050</v>
      </c>
      <c r="C7" s="574"/>
      <c r="D7" s="574"/>
      <c r="E7" s="574"/>
      <c r="F7" s="574"/>
      <c r="G7" s="574"/>
      <c r="I7" s="574"/>
      <c r="J7" s="574"/>
      <c r="K7" s="574"/>
      <c r="L7" s="574"/>
      <c r="M7" s="606"/>
      <c r="N7" s="575"/>
      <c r="O7" s="576"/>
      <c r="Q7" s="575"/>
      <c r="R7" s="577"/>
      <c r="S7" s="448"/>
    </row>
    <row r="8" spans="1:19" x14ac:dyDescent="0.2">
      <c r="A8" s="571">
        <v>4</v>
      </c>
      <c r="B8" s="572" t="s">
        <v>1051</v>
      </c>
      <c r="C8" s="399" t="s">
        <v>1052</v>
      </c>
      <c r="D8" s="399" t="s">
        <v>1052</v>
      </c>
      <c r="E8" s="399" t="s">
        <v>1053</v>
      </c>
      <c r="F8" s="399" t="s">
        <v>1053</v>
      </c>
      <c r="G8" s="399" t="s">
        <v>1053</v>
      </c>
      <c r="I8" s="399" t="s">
        <v>1053</v>
      </c>
      <c r="J8" s="399" t="s">
        <v>1053</v>
      </c>
      <c r="K8" s="614" t="s">
        <v>1245</v>
      </c>
      <c r="L8" s="614" t="s">
        <v>1253</v>
      </c>
      <c r="M8" s="606"/>
      <c r="N8" s="548" t="s">
        <v>1053</v>
      </c>
      <c r="O8" s="548" t="s">
        <v>1054</v>
      </c>
      <c r="Q8" s="548" t="s">
        <v>1053</v>
      </c>
      <c r="R8" s="548" t="s">
        <v>1054</v>
      </c>
      <c r="S8" s="448"/>
    </row>
    <row r="9" spans="1:19" x14ac:dyDescent="0.2">
      <c r="A9" s="571">
        <v>5</v>
      </c>
      <c r="B9" s="572" t="s">
        <v>1055</v>
      </c>
      <c r="C9" s="399" t="s">
        <v>1056</v>
      </c>
      <c r="D9" s="399" t="s">
        <v>1056</v>
      </c>
      <c r="E9" s="399" t="s">
        <v>1053</v>
      </c>
      <c r="F9" s="399" t="s">
        <v>1053</v>
      </c>
      <c r="G9" s="399" t="s">
        <v>1053</v>
      </c>
      <c r="I9" s="399" t="s">
        <v>1053</v>
      </c>
      <c r="J9" s="399" t="s">
        <v>1053</v>
      </c>
      <c r="K9" s="611" t="s">
        <v>1246</v>
      </c>
      <c r="L9" s="611" t="s">
        <v>1254</v>
      </c>
      <c r="M9" s="606"/>
      <c r="N9" s="548" t="s">
        <v>1053</v>
      </c>
      <c r="O9" s="548" t="s">
        <v>1054</v>
      </c>
      <c r="Q9" s="548" t="s">
        <v>1053</v>
      </c>
      <c r="R9" s="548" t="s">
        <v>1054</v>
      </c>
      <c r="S9" s="448"/>
    </row>
    <row r="10" spans="1:19" x14ac:dyDescent="0.2">
      <c r="A10" s="571">
        <v>6</v>
      </c>
      <c r="B10" s="572" t="s">
        <v>1057</v>
      </c>
      <c r="C10" s="399" t="s">
        <v>1058</v>
      </c>
      <c r="D10" s="399" t="s">
        <v>1058</v>
      </c>
      <c r="E10" s="399" t="s">
        <v>1058</v>
      </c>
      <c r="F10" s="399" t="s">
        <v>1058</v>
      </c>
      <c r="G10" s="399" t="s">
        <v>1058</v>
      </c>
      <c r="I10" s="548" t="s">
        <v>1059</v>
      </c>
      <c r="J10" s="548" t="s">
        <v>1059</v>
      </c>
      <c r="K10" s="548" t="s">
        <v>1059</v>
      </c>
      <c r="L10" s="548" t="s">
        <v>1059</v>
      </c>
      <c r="N10" s="548" t="s">
        <v>1059</v>
      </c>
      <c r="O10" s="548" t="s">
        <v>1059</v>
      </c>
      <c r="Q10" s="548" t="s">
        <v>1059</v>
      </c>
      <c r="R10" s="548" t="s">
        <v>1059</v>
      </c>
      <c r="S10" s="448"/>
    </row>
    <row r="11" spans="1:19" x14ac:dyDescent="0.2">
      <c r="A11" s="571">
        <v>7</v>
      </c>
      <c r="B11" s="105" t="s">
        <v>1060</v>
      </c>
      <c r="C11" s="326"/>
      <c r="D11" s="326"/>
      <c r="E11" s="326"/>
      <c r="F11" s="326"/>
      <c r="G11" s="326"/>
      <c r="I11" s="548" t="s">
        <v>798</v>
      </c>
      <c r="J11" s="548" t="s">
        <v>798</v>
      </c>
      <c r="K11" s="548" t="s">
        <v>798</v>
      </c>
      <c r="L11" s="548" t="s">
        <v>798</v>
      </c>
      <c r="N11" s="548" t="s">
        <v>1061</v>
      </c>
      <c r="O11" s="548" t="s">
        <v>1062</v>
      </c>
      <c r="Q11" s="548" t="s">
        <v>1061</v>
      </c>
      <c r="R11" s="548" t="s">
        <v>1062</v>
      </c>
      <c r="S11" s="448"/>
    </row>
    <row r="12" spans="1:19" x14ac:dyDescent="0.2">
      <c r="A12" s="571">
        <v>8</v>
      </c>
      <c r="B12" s="105" t="s">
        <v>1063</v>
      </c>
      <c r="C12" s="399" t="s">
        <v>1064</v>
      </c>
      <c r="D12" s="399" t="s">
        <v>1065</v>
      </c>
      <c r="E12" s="399" t="s">
        <v>1066</v>
      </c>
      <c r="F12" s="399" t="s">
        <v>1067</v>
      </c>
      <c r="G12" s="399" t="s">
        <v>1068</v>
      </c>
      <c r="I12" s="548">
        <v>0</v>
      </c>
      <c r="J12" s="548">
        <v>500000000</v>
      </c>
      <c r="K12" s="548">
        <v>300000000</v>
      </c>
      <c r="L12" s="548">
        <v>400000000</v>
      </c>
      <c r="N12" s="548">
        <v>350000000</v>
      </c>
      <c r="O12" s="548">
        <v>1600000000</v>
      </c>
      <c r="Q12" s="448">
        <v>173000000</v>
      </c>
      <c r="R12" s="548">
        <v>346000000</v>
      </c>
      <c r="S12" s="448"/>
    </row>
    <row r="13" spans="1:19" x14ac:dyDescent="0.2">
      <c r="A13" s="571">
        <v>9</v>
      </c>
      <c r="B13" s="105" t="s">
        <v>1069</v>
      </c>
      <c r="C13" s="197" t="s">
        <v>1070</v>
      </c>
      <c r="D13" s="399" t="s">
        <v>1065</v>
      </c>
      <c r="E13" s="399" t="s">
        <v>1071</v>
      </c>
      <c r="F13" s="399" t="s">
        <v>1067</v>
      </c>
      <c r="G13" s="399" t="s">
        <v>1072</v>
      </c>
      <c r="I13" s="548">
        <v>365000000</v>
      </c>
      <c r="J13" s="548">
        <v>500000000</v>
      </c>
      <c r="K13" s="548">
        <v>300000000</v>
      </c>
      <c r="L13" s="548">
        <v>400000000</v>
      </c>
      <c r="N13" s="548">
        <v>350000000</v>
      </c>
      <c r="O13" s="548">
        <v>1600000000</v>
      </c>
      <c r="Q13" s="548">
        <v>173000000</v>
      </c>
      <c r="R13" s="548">
        <v>346000000</v>
      </c>
      <c r="S13" s="448"/>
    </row>
    <row r="14" spans="1:19" x14ac:dyDescent="0.2">
      <c r="A14" s="571" t="s">
        <v>1073</v>
      </c>
      <c r="B14" s="105" t="s">
        <v>1074</v>
      </c>
      <c r="C14" s="399" t="s">
        <v>1075</v>
      </c>
      <c r="D14" s="399" t="s">
        <v>1075</v>
      </c>
      <c r="E14" s="399" t="s">
        <v>1075</v>
      </c>
      <c r="F14" s="399" t="s">
        <v>1075</v>
      </c>
      <c r="G14" s="399" t="s">
        <v>1075</v>
      </c>
      <c r="I14" s="548">
        <v>99.5</v>
      </c>
      <c r="J14" s="548">
        <v>100</v>
      </c>
      <c r="K14" s="548">
        <v>100</v>
      </c>
      <c r="L14" s="548">
        <v>100</v>
      </c>
      <c r="N14" s="548">
        <v>100</v>
      </c>
      <c r="O14" s="548">
        <v>100</v>
      </c>
      <c r="Q14" s="548">
        <v>100</v>
      </c>
      <c r="R14" s="548">
        <v>100</v>
      </c>
      <c r="S14" s="448"/>
    </row>
    <row r="15" spans="1:19" x14ac:dyDescent="0.2">
      <c r="A15" s="571" t="s">
        <v>1076</v>
      </c>
      <c r="B15" s="105" t="s">
        <v>1077</v>
      </c>
      <c r="C15" s="399" t="s">
        <v>1078</v>
      </c>
      <c r="D15" s="399" t="s">
        <v>1078</v>
      </c>
      <c r="E15" s="399" t="s">
        <v>1078</v>
      </c>
      <c r="F15" s="399" t="s">
        <v>1078</v>
      </c>
      <c r="G15" s="399" t="s">
        <v>1078</v>
      </c>
      <c r="I15" s="548">
        <v>100</v>
      </c>
      <c r="J15" s="548">
        <v>100</v>
      </c>
      <c r="K15" s="548">
        <v>100</v>
      </c>
      <c r="L15" s="548">
        <v>100</v>
      </c>
      <c r="N15" s="548">
        <v>100</v>
      </c>
      <c r="O15" s="548">
        <v>100</v>
      </c>
      <c r="Q15" s="548">
        <v>100</v>
      </c>
      <c r="R15" s="548">
        <v>100</v>
      </c>
      <c r="S15" s="448"/>
    </row>
    <row r="16" spans="1:19" x14ac:dyDescent="0.2">
      <c r="A16" s="571">
        <v>10</v>
      </c>
      <c r="B16" s="105" t="s">
        <v>1079</v>
      </c>
      <c r="C16" s="399" t="s">
        <v>1080</v>
      </c>
      <c r="D16" s="399" t="s">
        <v>1080</v>
      </c>
      <c r="E16" s="399" t="s">
        <v>1080</v>
      </c>
      <c r="F16" s="399" t="s">
        <v>1080</v>
      </c>
      <c r="G16" s="399" t="s">
        <v>1080</v>
      </c>
      <c r="I16" s="548" t="s">
        <v>1081</v>
      </c>
      <c r="J16" s="548" t="s">
        <v>1081</v>
      </c>
      <c r="K16" s="548" t="s">
        <v>1081</v>
      </c>
      <c r="L16" s="548" t="s">
        <v>1081</v>
      </c>
      <c r="N16" s="548" t="s">
        <v>1081</v>
      </c>
      <c r="O16" s="548" t="s">
        <v>1081</v>
      </c>
      <c r="Q16" s="548" t="s">
        <v>1081</v>
      </c>
      <c r="R16" s="548" t="s">
        <v>1081</v>
      </c>
      <c r="S16" s="448"/>
    </row>
    <row r="17" spans="1:19" x14ac:dyDescent="0.2">
      <c r="A17" s="571">
        <v>11</v>
      </c>
      <c r="B17" s="105" t="s">
        <v>1082</v>
      </c>
      <c r="C17" s="578">
        <v>40156</v>
      </c>
      <c r="D17" s="578">
        <v>40156</v>
      </c>
      <c r="E17" s="578">
        <v>41605</v>
      </c>
      <c r="F17" s="578">
        <v>41246</v>
      </c>
      <c r="G17" s="578">
        <v>40879</v>
      </c>
      <c r="I17" s="579">
        <v>40284</v>
      </c>
      <c r="J17" s="579">
        <v>42074</v>
      </c>
      <c r="K17" s="579">
        <v>41255</v>
      </c>
      <c r="L17" s="579">
        <v>41695</v>
      </c>
      <c r="N17" s="579">
        <v>41815</v>
      </c>
      <c r="O17" s="579">
        <v>41705</v>
      </c>
      <c r="P17" s="580"/>
      <c r="Q17" s="579">
        <v>41589</v>
      </c>
      <c r="R17" s="579">
        <v>41589</v>
      </c>
      <c r="S17" s="448"/>
    </row>
    <row r="18" spans="1:19" x14ac:dyDescent="0.2">
      <c r="A18" s="571">
        <v>12</v>
      </c>
      <c r="B18" s="105" t="s">
        <v>1083</v>
      </c>
      <c r="C18" s="399" t="s">
        <v>1084</v>
      </c>
      <c r="D18" s="399" t="s">
        <v>1084</v>
      </c>
      <c r="E18" s="399" t="s">
        <v>1085</v>
      </c>
      <c r="F18" s="399" t="s">
        <v>1085</v>
      </c>
      <c r="G18" s="399" t="s">
        <v>1085</v>
      </c>
      <c r="I18" s="548" t="s">
        <v>1085</v>
      </c>
      <c r="J18" s="611" t="s">
        <v>1240</v>
      </c>
      <c r="K18" s="548" t="s">
        <v>1084</v>
      </c>
      <c r="L18" s="579" t="s">
        <v>576</v>
      </c>
      <c r="N18" s="548" t="s">
        <v>1084</v>
      </c>
      <c r="O18" s="548" t="s">
        <v>1085</v>
      </c>
      <c r="Q18" s="548" t="s">
        <v>1084</v>
      </c>
      <c r="R18" s="548" t="s">
        <v>1085</v>
      </c>
      <c r="S18" s="448"/>
    </row>
    <row r="19" spans="1:19" x14ac:dyDescent="0.2">
      <c r="A19" s="571">
        <v>13</v>
      </c>
      <c r="B19" s="105" t="s">
        <v>1086</v>
      </c>
      <c r="C19" s="399" t="s">
        <v>1087</v>
      </c>
      <c r="D19" s="399" t="s">
        <v>1087</v>
      </c>
      <c r="E19" s="578">
        <v>45257</v>
      </c>
      <c r="F19" s="578">
        <v>44898</v>
      </c>
      <c r="G19" s="578">
        <v>44532</v>
      </c>
      <c r="I19" s="579">
        <v>43937</v>
      </c>
      <c r="J19" s="579">
        <v>42074</v>
      </c>
      <c r="K19" s="579">
        <v>44907</v>
      </c>
      <c r="L19" s="399" t="s">
        <v>1087</v>
      </c>
      <c r="N19" s="579"/>
      <c r="O19" s="579">
        <v>45358</v>
      </c>
      <c r="Q19" s="579"/>
      <c r="R19" s="579">
        <v>45243</v>
      </c>
      <c r="S19" s="448"/>
    </row>
    <row r="20" spans="1:19" x14ac:dyDescent="0.2">
      <c r="A20" s="571">
        <v>14</v>
      </c>
      <c r="B20" s="105" t="s">
        <v>1088</v>
      </c>
      <c r="C20" s="399" t="s">
        <v>1089</v>
      </c>
      <c r="D20" s="399" t="s">
        <v>1089</v>
      </c>
      <c r="E20" s="399" t="s">
        <v>1089</v>
      </c>
      <c r="F20" s="399" t="s">
        <v>1089</v>
      </c>
      <c r="G20" s="399" t="s">
        <v>1089</v>
      </c>
      <c r="I20" s="548" t="s">
        <v>1089</v>
      </c>
      <c r="J20" s="548" t="s">
        <v>1089</v>
      </c>
      <c r="K20" s="548" t="s">
        <v>1089</v>
      </c>
      <c r="L20" s="548" t="s">
        <v>1089</v>
      </c>
      <c r="N20" s="579" t="s">
        <v>1089</v>
      </c>
      <c r="O20" s="579" t="s">
        <v>1089</v>
      </c>
      <c r="Q20" s="579" t="s">
        <v>1089</v>
      </c>
      <c r="R20" s="579" t="s">
        <v>1089</v>
      </c>
      <c r="S20" s="448"/>
    </row>
    <row r="21" spans="1:19" x14ac:dyDescent="0.2">
      <c r="A21" s="571">
        <v>15</v>
      </c>
      <c r="B21" s="105" t="s">
        <v>1090</v>
      </c>
      <c r="C21" s="581">
        <v>43808</v>
      </c>
      <c r="D21" s="581">
        <v>43808</v>
      </c>
      <c r="E21" s="578">
        <v>43431</v>
      </c>
      <c r="F21" s="581">
        <v>43073</v>
      </c>
      <c r="G21" s="581">
        <v>42706</v>
      </c>
      <c r="I21" s="579">
        <v>42110</v>
      </c>
      <c r="J21" s="611" t="s">
        <v>1241</v>
      </c>
      <c r="K21" s="611" t="s">
        <v>1247</v>
      </c>
      <c r="L21" s="611" t="s">
        <v>1255</v>
      </c>
      <c r="N21" s="579">
        <v>43594</v>
      </c>
      <c r="O21" s="579">
        <v>43531</v>
      </c>
      <c r="Q21" s="579">
        <v>43416</v>
      </c>
      <c r="R21" s="579">
        <v>43416</v>
      </c>
      <c r="S21" s="448"/>
    </row>
    <row r="22" spans="1:19" x14ac:dyDescent="0.2">
      <c r="A22" s="571">
        <v>16</v>
      </c>
      <c r="B22" s="105" t="s">
        <v>1091</v>
      </c>
      <c r="C22" s="326" t="s">
        <v>1092</v>
      </c>
      <c r="D22" s="326" t="s">
        <v>1092</v>
      </c>
      <c r="E22" s="399" t="s">
        <v>1093</v>
      </c>
      <c r="F22" s="399" t="s">
        <v>1093</v>
      </c>
      <c r="G22" s="399" t="s">
        <v>1093</v>
      </c>
      <c r="I22" s="548" t="s">
        <v>1094</v>
      </c>
      <c r="J22" s="548" t="s">
        <v>1094</v>
      </c>
      <c r="K22" s="548" t="s">
        <v>1094</v>
      </c>
      <c r="L22" s="548" t="s">
        <v>1094</v>
      </c>
      <c r="N22" s="548" t="s">
        <v>1094</v>
      </c>
      <c r="O22" s="548" t="s">
        <v>1094</v>
      </c>
      <c r="Q22" s="548" t="s">
        <v>1094</v>
      </c>
      <c r="R22" s="548" t="s">
        <v>1094</v>
      </c>
      <c r="S22" s="448"/>
    </row>
    <row r="23" spans="1:19" ht="13.5" thickBot="1" x14ac:dyDescent="0.25">
      <c r="A23" s="549"/>
      <c r="B23" s="570" t="s">
        <v>1095</v>
      </c>
      <c r="C23" s="574"/>
      <c r="D23" s="574"/>
      <c r="E23" s="574"/>
      <c r="F23" s="574"/>
      <c r="G23" s="574"/>
      <c r="I23" s="574"/>
      <c r="J23" s="574"/>
      <c r="K23" s="574"/>
      <c r="L23" s="574"/>
      <c r="N23" s="582"/>
      <c r="O23" s="582"/>
      <c r="Q23" s="582"/>
      <c r="R23" s="582"/>
      <c r="S23" s="448"/>
    </row>
    <row r="24" spans="1:19" x14ac:dyDescent="0.2">
      <c r="A24" s="571">
        <v>17</v>
      </c>
      <c r="B24" s="105" t="s">
        <v>1096</v>
      </c>
      <c r="C24" s="399" t="s">
        <v>1097</v>
      </c>
      <c r="D24" s="399" t="s">
        <v>1098</v>
      </c>
      <c r="E24" s="399" t="s">
        <v>1098</v>
      </c>
      <c r="F24" s="399" t="s">
        <v>1098</v>
      </c>
      <c r="G24" s="399" t="s">
        <v>1098</v>
      </c>
      <c r="I24" s="399" t="s">
        <v>1098</v>
      </c>
      <c r="J24" s="399" t="s">
        <v>1098</v>
      </c>
      <c r="K24" s="399" t="s">
        <v>1098</v>
      </c>
      <c r="L24" s="399" t="s">
        <v>1098</v>
      </c>
      <c r="N24" s="399" t="s">
        <v>1098</v>
      </c>
      <c r="O24" s="399" t="s">
        <v>1098</v>
      </c>
      <c r="Q24" s="548" t="s">
        <v>1099</v>
      </c>
      <c r="R24" s="548" t="s">
        <v>1099</v>
      </c>
      <c r="S24" s="448"/>
    </row>
    <row r="25" spans="1:19" ht="25.5" customHeight="1" x14ac:dyDescent="0.2">
      <c r="A25" s="583">
        <v>18</v>
      </c>
      <c r="B25" s="105" t="s">
        <v>1100</v>
      </c>
      <c r="C25" s="584" t="s">
        <v>1101</v>
      </c>
      <c r="D25" s="326" t="s">
        <v>1102</v>
      </c>
      <c r="E25" s="326" t="s">
        <v>1103</v>
      </c>
      <c r="F25" s="326" t="s">
        <v>1104</v>
      </c>
      <c r="G25" s="326" t="s">
        <v>1105</v>
      </c>
      <c r="I25" s="615" t="s">
        <v>1268</v>
      </c>
      <c r="J25" s="612" t="s">
        <v>1242</v>
      </c>
      <c r="K25" s="612" t="s">
        <v>1248</v>
      </c>
      <c r="L25" s="612" t="s">
        <v>1256</v>
      </c>
      <c r="N25" s="548" t="s">
        <v>1106</v>
      </c>
      <c r="O25" s="548" t="s">
        <v>1106</v>
      </c>
      <c r="Q25" s="548" t="s">
        <v>1106</v>
      </c>
      <c r="R25" s="548" t="s">
        <v>1106</v>
      </c>
      <c r="S25" s="448"/>
    </row>
    <row r="26" spans="1:19" x14ac:dyDescent="0.2">
      <c r="A26" s="571">
        <v>19</v>
      </c>
      <c r="B26" s="105" t="s">
        <v>1107</v>
      </c>
      <c r="C26" s="399" t="s">
        <v>1108</v>
      </c>
      <c r="D26" s="399" t="s">
        <v>1108</v>
      </c>
      <c r="E26" s="399" t="s">
        <v>1108</v>
      </c>
      <c r="F26" s="399" t="s">
        <v>1108</v>
      </c>
      <c r="G26" s="399" t="s">
        <v>1108</v>
      </c>
      <c r="I26" s="548" t="s">
        <v>1108</v>
      </c>
      <c r="J26" s="548" t="s">
        <v>1108</v>
      </c>
      <c r="K26" s="548" t="s">
        <v>1108</v>
      </c>
      <c r="L26" s="548" t="s">
        <v>1108</v>
      </c>
      <c r="N26" s="548" t="s">
        <v>1108</v>
      </c>
      <c r="O26" s="548" t="s">
        <v>1108</v>
      </c>
      <c r="Q26" s="548" t="s">
        <v>1108</v>
      </c>
      <c r="R26" s="548" t="s">
        <v>1108</v>
      </c>
      <c r="S26" s="448"/>
    </row>
    <row r="27" spans="1:19" x14ac:dyDescent="0.2">
      <c r="A27" s="571" t="s">
        <v>864</v>
      </c>
      <c r="B27" s="105" t="s">
        <v>1109</v>
      </c>
      <c r="C27" s="399" t="s">
        <v>1110</v>
      </c>
      <c r="D27" s="399" t="s">
        <v>1110</v>
      </c>
      <c r="E27" s="399" t="s">
        <v>1111</v>
      </c>
      <c r="F27" s="399" t="s">
        <v>1111</v>
      </c>
      <c r="G27" s="399" t="s">
        <v>1111</v>
      </c>
      <c r="I27" s="548" t="s">
        <v>1111</v>
      </c>
      <c r="J27" s="548" t="s">
        <v>1111</v>
      </c>
      <c r="K27" s="548" t="s">
        <v>1111</v>
      </c>
      <c r="L27" s="611" t="s">
        <v>1257</v>
      </c>
      <c r="N27" s="548" t="s">
        <v>1111</v>
      </c>
      <c r="O27" s="548" t="s">
        <v>1112</v>
      </c>
      <c r="Q27" s="548" t="s">
        <v>1111</v>
      </c>
      <c r="R27" s="548" t="s">
        <v>1112</v>
      </c>
      <c r="S27" s="448"/>
    </row>
    <row r="28" spans="1:19" x14ac:dyDescent="0.2">
      <c r="A28" s="571" t="s">
        <v>867</v>
      </c>
      <c r="B28" s="105" t="s">
        <v>1113</v>
      </c>
      <c r="C28" s="399" t="s">
        <v>1110</v>
      </c>
      <c r="D28" s="399" t="s">
        <v>1110</v>
      </c>
      <c r="E28" s="399" t="s">
        <v>1111</v>
      </c>
      <c r="F28" s="399" t="s">
        <v>1111</v>
      </c>
      <c r="G28" s="399" t="s">
        <v>1111</v>
      </c>
      <c r="I28" s="548" t="s">
        <v>1111</v>
      </c>
      <c r="J28" s="548" t="s">
        <v>1111</v>
      </c>
      <c r="K28" s="548" t="s">
        <v>1111</v>
      </c>
      <c r="L28" s="611" t="s">
        <v>1257</v>
      </c>
      <c r="N28" s="548" t="s">
        <v>1111</v>
      </c>
      <c r="O28" s="548" t="s">
        <v>1112</v>
      </c>
      <c r="Q28" s="548" t="s">
        <v>1111</v>
      </c>
      <c r="R28" s="548" t="s">
        <v>1112</v>
      </c>
      <c r="S28" s="448"/>
    </row>
    <row r="29" spans="1:19" x14ac:dyDescent="0.2">
      <c r="A29" s="583">
        <v>21</v>
      </c>
      <c r="B29" s="105" t="s">
        <v>1114</v>
      </c>
      <c r="C29" s="399" t="s">
        <v>1089</v>
      </c>
      <c r="D29" s="399" t="s">
        <v>1089</v>
      </c>
      <c r="E29" s="399" t="s">
        <v>1108</v>
      </c>
      <c r="F29" s="399" t="s">
        <v>1108</v>
      </c>
      <c r="G29" s="399" t="s">
        <v>1108</v>
      </c>
      <c r="I29" s="548" t="s">
        <v>1089</v>
      </c>
      <c r="J29" s="548" t="s">
        <v>1108</v>
      </c>
      <c r="K29" s="548" t="s">
        <v>1108</v>
      </c>
      <c r="L29" s="548" t="s">
        <v>1108</v>
      </c>
      <c r="N29" s="548" t="s">
        <v>1108</v>
      </c>
      <c r="O29" s="548" t="s">
        <v>1089</v>
      </c>
      <c r="Q29" s="548" t="s">
        <v>1108</v>
      </c>
      <c r="R29" s="585" t="s">
        <v>1089</v>
      </c>
      <c r="S29" s="448"/>
    </row>
    <row r="30" spans="1:19" x14ac:dyDescent="0.2">
      <c r="A30" s="571">
        <v>22</v>
      </c>
      <c r="B30" s="105" t="s">
        <v>1115</v>
      </c>
      <c r="C30" s="399" t="s">
        <v>1116</v>
      </c>
      <c r="D30" s="399" t="s">
        <v>1116</v>
      </c>
      <c r="E30" s="399" t="s">
        <v>1117</v>
      </c>
      <c r="F30" s="399" t="s">
        <v>1117</v>
      </c>
      <c r="G30" s="399" t="s">
        <v>1117</v>
      </c>
      <c r="I30" s="548" t="s">
        <v>1108</v>
      </c>
      <c r="J30" s="548" t="s">
        <v>1108</v>
      </c>
      <c r="K30" s="548" t="s">
        <v>1108</v>
      </c>
      <c r="L30" s="548" t="s">
        <v>1108</v>
      </c>
      <c r="N30" s="548" t="s">
        <v>1117</v>
      </c>
      <c r="O30" s="548" t="s">
        <v>1118</v>
      </c>
      <c r="Q30" s="548" t="s">
        <v>1117</v>
      </c>
      <c r="R30" s="548" t="s">
        <v>1118</v>
      </c>
      <c r="S30" s="448"/>
    </row>
    <row r="31" spans="1:19" ht="13.5" thickBot="1" x14ac:dyDescent="0.25">
      <c r="A31" s="549"/>
      <c r="B31" s="570" t="s">
        <v>1119</v>
      </c>
      <c r="C31" s="574"/>
      <c r="D31" s="574"/>
      <c r="E31" s="574"/>
      <c r="F31" s="574"/>
      <c r="G31" s="574"/>
      <c r="I31" s="574"/>
      <c r="J31" s="574"/>
      <c r="K31" s="574"/>
      <c r="L31" s="574"/>
      <c r="N31" s="582"/>
      <c r="O31" s="582"/>
      <c r="Q31" s="575"/>
      <c r="R31" s="575"/>
      <c r="S31" s="448"/>
    </row>
    <row r="32" spans="1:19" ht="72" customHeight="1" x14ac:dyDescent="0.2">
      <c r="A32" s="583">
        <v>23</v>
      </c>
      <c r="B32" s="105" t="s">
        <v>1120</v>
      </c>
      <c r="C32" s="399" t="s">
        <v>1121</v>
      </c>
      <c r="D32" s="399" t="s">
        <v>1121</v>
      </c>
      <c r="E32" s="399" t="s">
        <v>1121</v>
      </c>
      <c r="F32" s="399" t="s">
        <v>1121</v>
      </c>
      <c r="G32" s="399" t="s">
        <v>1121</v>
      </c>
      <c r="I32" s="399" t="s">
        <v>1121</v>
      </c>
      <c r="J32" s="399" t="s">
        <v>1121</v>
      </c>
      <c r="K32" s="399" t="s">
        <v>1121</v>
      </c>
      <c r="L32" s="399" t="s">
        <v>1121</v>
      </c>
      <c r="N32" s="586" t="s">
        <v>1122</v>
      </c>
      <c r="O32" s="399" t="s">
        <v>1121</v>
      </c>
      <c r="Q32" s="587" t="s">
        <v>1122</v>
      </c>
      <c r="R32" s="399" t="s">
        <v>1121</v>
      </c>
      <c r="S32" s="448"/>
    </row>
    <row r="33" spans="1:19" x14ac:dyDescent="0.2">
      <c r="A33" s="571">
        <v>24</v>
      </c>
      <c r="B33" s="105" t="s">
        <v>1123</v>
      </c>
      <c r="C33" s="399" t="s">
        <v>819</v>
      </c>
      <c r="D33" s="399" t="s">
        <v>819</v>
      </c>
      <c r="E33" s="399" t="s">
        <v>819</v>
      </c>
      <c r="F33" s="399" t="s">
        <v>819</v>
      </c>
      <c r="G33" s="399" t="s">
        <v>819</v>
      </c>
      <c r="I33" s="548" t="s">
        <v>819</v>
      </c>
      <c r="J33" s="548" t="s">
        <v>819</v>
      </c>
      <c r="K33" s="548" t="s">
        <v>819</v>
      </c>
      <c r="L33" s="548" t="s">
        <v>819</v>
      </c>
      <c r="N33" s="548" t="s">
        <v>1124</v>
      </c>
      <c r="O33" s="548" t="s">
        <v>819</v>
      </c>
      <c r="Q33" s="548" t="s">
        <v>1124</v>
      </c>
      <c r="R33" s="548" t="s">
        <v>819</v>
      </c>
      <c r="S33" s="448"/>
    </row>
    <row r="34" spans="1:19" x14ac:dyDescent="0.2">
      <c r="A34" s="571">
        <v>25</v>
      </c>
      <c r="B34" s="105" t="s">
        <v>1125</v>
      </c>
      <c r="C34" s="399" t="s">
        <v>819</v>
      </c>
      <c r="D34" s="399" t="s">
        <v>819</v>
      </c>
      <c r="E34" s="399" t="s">
        <v>819</v>
      </c>
      <c r="F34" s="399" t="s">
        <v>819</v>
      </c>
      <c r="G34" s="399" t="s">
        <v>819</v>
      </c>
      <c r="I34" s="548" t="s">
        <v>819</v>
      </c>
      <c r="J34" s="548" t="s">
        <v>819</v>
      </c>
      <c r="K34" s="548" t="s">
        <v>819</v>
      </c>
      <c r="L34" s="548" t="s">
        <v>819</v>
      </c>
      <c r="N34" s="548" t="s">
        <v>1124</v>
      </c>
      <c r="O34" s="548" t="s">
        <v>819</v>
      </c>
      <c r="Q34" s="548" t="s">
        <v>1124</v>
      </c>
      <c r="R34" s="548" t="s">
        <v>819</v>
      </c>
      <c r="S34" s="448"/>
    </row>
    <row r="35" spans="1:19" x14ac:dyDescent="0.2">
      <c r="A35" s="571">
        <v>26</v>
      </c>
      <c r="B35" s="105" t="s">
        <v>1126</v>
      </c>
      <c r="C35" s="399" t="s">
        <v>819</v>
      </c>
      <c r="D35" s="399" t="s">
        <v>819</v>
      </c>
      <c r="E35" s="399" t="s">
        <v>819</v>
      </c>
      <c r="F35" s="399" t="s">
        <v>819</v>
      </c>
      <c r="G35" s="399" t="s">
        <v>819</v>
      </c>
      <c r="I35" s="548" t="s">
        <v>819</v>
      </c>
      <c r="J35" s="548" t="s">
        <v>819</v>
      </c>
      <c r="K35" s="548" t="s">
        <v>819</v>
      </c>
      <c r="L35" s="548" t="s">
        <v>819</v>
      </c>
      <c r="N35" s="548" t="s">
        <v>1124</v>
      </c>
      <c r="O35" s="548" t="s">
        <v>819</v>
      </c>
      <c r="Q35" s="548" t="s">
        <v>1124</v>
      </c>
      <c r="R35" s="548" t="s">
        <v>819</v>
      </c>
      <c r="S35" s="448"/>
    </row>
    <row r="36" spans="1:19" x14ac:dyDescent="0.2">
      <c r="A36" s="571">
        <v>27</v>
      </c>
      <c r="B36" s="105" t="s">
        <v>1127</v>
      </c>
      <c r="C36" s="399" t="s">
        <v>819</v>
      </c>
      <c r="D36" s="399" t="s">
        <v>819</v>
      </c>
      <c r="E36" s="399" t="s">
        <v>819</v>
      </c>
      <c r="F36" s="399" t="s">
        <v>819</v>
      </c>
      <c r="G36" s="399" t="s">
        <v>819</v>
      </c>
      <c r="I36" s="548" t="s">
        <v>819</v>
      </c>
      <c r="J36" s="548" t="s">
        <v>819</v>
      </c>
      <c r="K36" s="548" t="s">
        <v>819</v>
      </c>
      <c r="L36" s="548" t="s">
        <v>819</v>
      </c>
      <c r="N36" s="548" t="s">
        <v>1124</v>
      </c>
      <c r="O36" s="548" t="s">
        <v>819</v>
      </c>
      <c r="Q36" s="548" t="s">
        <v>1124</v>
      </c>
      <c r="R36" s="548" t="s">
        <v>819</v>
      </c>
      <c r="S36" s="448"/>
    </row>
    <row r="37" spans="1:19" x14ac:dyDescent="0.2">
      <c r="A37" s="571">
        <v>28</v>
      </c>
      <c r="B37" s="105" t="s">
        <v>1128</v>
      </c>
      <c r="C37" s="399" t="s">
        <v>819</v>
      </c>
      <c r="D37" s="399" t="s">
        <v>819</v>
      </c>
      <c r="E37" s="399" t="s">
        <v>819</v>
      </c>
      <c r="F37" s="399" t="s">
        <v>819</v>
      </c>
      <c r="G37" s="399" t="s">
        <v>819</v>
      </c>
      <c r="I37" s="548" t="s">
        <v>819</v>
      </c>
      <c r="J37" s="548" t="s">
        <v>819</v>
      </c>
      <c r="K37" s="548" t="s">
        <v>819</v>
      </c>
      <c r="L37" s="548" t="s">
        <v>819</v>
      </c>
      <c r="N37" s="548" t="s">
        <v>1124</v>
      </c>
      <c r="O37" s="548" t="s">
        <v>819</v>
      </c>
      <c r="Q37" s="548" t="s">
        <v>1124</v>
      </c>
      <c r="R37" s="548" t="s">
        <v>819</v>
      </c>
      <c r="S37" s="448"/>
    </row>
    <row r="38" spans="1:19" x14ac:dyDescent="0.2">
      <c r="A38" s="571">
        <v>29</v>
      </c>
      <c r="B38" s="105" t="s">
        <v>1129</v>
      </c>
      <c r="C38" s="399" t="s">
        <v>819</v>
      </c>
      <c r="D38" s="399" t="s">
        <v>819</v>
      </c>
      <c r="E38" s="399" t="s">
        <v>819</v>
      </c>
      <c r="F38" s="399" t="s">
        <v>819</v>
      </c>
      <c r="G38" s="399" t="s">
        <v>819</v>
      </c>
      <c r="I38" s="548" t="s">
        <v>819</v>
      </c>
      <c r="J38" s="548" t="s">
        <v>819</v>
      </c>
      <c r="K38" s="548" t="s">
        <v>819</v>
      </c>
      <c r="L38" s="548" t="s">
        <v>819</v>
      </c>
      <c r="N38" s="548" t="s">
        <v>1124</v>
      </c>
      <c r="O38" s="548" t="s">
        <v>819</v>
      </c>
      <c r="Q38" s="548" t="s">
        <v>1124</v>
      </c>
      <c r="R38" s="548" t="s">
        <v>819</v>
      </c>
      <c r="S38" s="448"/>
    </row>
    <row r="39" spans="1:19" ht="84" x14ac:dyDescent="0.2">
      <c r="A39" s="583">
        <v>30</v>
      </c>
      <c r="B39" s="105" t="s">
        <v>1130</v>
      </c>
      <c r="C39" s="399" t="s">
        <v>1089</v>
      </c>
      <c r="D39" s="399" t="s">
        <v>1089</v>
      </c>
      <c r="E39" s="399" t="s">
        <v>819</v>
      </c>
      <c r="F39" s="399" t="s">
        <v>819</v>
      </c>
      <c r="G39" s="399" t="s">
        <v>819</v>
      </c>
      <c r="I39" s="548" t="s">
        <v>1108</v>
      </c>
      <c r="J39" s="548" t="s">
        <v>1108</v>
      </c>
      <c r="K39" s="611" t="s">
        <v>1249</v>
      </c>
      <c r="L39" s="611" t="s">
        <v>1258</v>
      </c>
      <c r="N39" s="586" t="s">
        <v>1131</v>
      </c>
      <c r="O39" s="548" t="s">
        <v>819</v>
      </c>
      <c r="Q39" s="587" t="s">
        <v>1132</v>
      </c>
      <c r="R39" s="548" t="s">
        <v>819</v>
      </c>
      <c r="S39" s="448"/>
    </row>
    <row r="40" spans="1:19" ht="84" x14ac:dyDescent="0.2">
      <c r="A40" s="583">
        <v>31</v>
      </c>
      <c r="B40" s="105" t="s">
        <v>1133</v>
      </c>
      <c r="C40" s="326" t="s">
        <v>1134</v>
      </c>
      <c r="D40" s="326" t="s">
        <v>1134</v>
      </c>
      <c r="E40" s="399" t="s">
        <v>819</v>
      </c>
      <c r="F40" s="399" t="s">
        <v>819</v>
      </c>
      <c r="G40" s="399" t="s">
        <v>819</v>
      </c>
      <c r="I40" s="548" t="s">
        <v>819</v>
      </c>
      <c r="J40" s="548" t="s">
        <v>819</v>
      </c>
      <c r="K40" s="548" t="s">
        <v>1250</v>
      </c>
      <c r="L40" s="588" t="s">
        <v>1259</v>
      </c>
      <c r="N40" s="587" t="s">
        <v>1135</v>
      </c>
      <c r="O40" s="548" t="s">
        <v>819</v>
      </c>
      <c r="Q40" s="586" t="s">
        <v>1136</v>
      </c>
      <c r="R40" s="548" t="s">
        <v>819</v>
      </c>
      <c r="S40" s="448"/>
    </row>
    <row r="41" spans="1:19" ht="84" x14ac:dyDescent="0.2">
      <c r="A41" s="583">
        <v>32</v>
      </c>
      <c r="B41" s="105" t="s">
        <v>1137</v>
      </c>
      <c r="C41" s="399" t="s">
        <v>1138</v>
      </c>
      <c r="D41" s="399" t="s">
        <v>1138</v>
      </c>
      <c r="E41" s="399" t="s">
        <v>819</v>
      </c>
      <c r="F41" s="399" t="s">
        <v>819</v>
      </c>
      <c r="G41" s="399" t="s">
        <v>819</v>
      </c>
      <c r="I41" s="548" t="s">
        <v>819</v>
      </c>
      <c r="J41" s="548" t="s">
        <v>819</v>
      </c>
      <c r="K41" s="548" t="s">
        <v>1250</v>
      </c>
      <c r="L41" s="614" t="s">
        <v>1260</v>
      </c>
      <c r="N41" s="586" t="s">
        <v>1139</v>
      </c>
      <c r="O41" s="548" t="s">
        <v>819</v>
      </c>
      <c r="Q41" s="587" t="s">
        <v>1140</v>
      </c>
      <c r="R41" s="548" t="s">
        <v>819</v>
      </c>
      <c r="S41" s="448"/>
    </row>
    <row r="42" spans="1:19" x14ac:dyDescent="0.2">
      <c r="A42" s="571">
        <v>33</v>
      </c>
      <c r="B42" s="105" t="s">
        <v>1141</v>
      </c>
      <c r="C42" s="399" t="s">
        <v>1142</v>
      </c>
      <c r="D42" s="399" t="s">
        <v>1142</v>
      </c>
      <c r="E42" s="399" t="s">
        <v>819</v>
      </c>
      <c r="F42" s="399" t="s">
        <v>819</v>
      </c>
      <c r="G42" s="399" t="s">
        <v>819</v>
      </c>
      <c r="I42" s="548" t="s">
        <v>819</v>
      </c>
      <c r="J42" s="548" t="s">
        <v>819</v>
      </c>
      <c r="K42" s="548" t="s">
        <v>1250</v>
      </c>
      <c r="L42" s="548" t="s">
        <v>1261</v>
      </c>
      <c r="N42" s="548" t="s">
        <v>1142</v>
      </c>
      <c r="O42" s="548" t="s">
        <v>819</v>
      </c>
      <c r="Q42" s="448"/>
      <c r="R42" s="548" t="s">
        <v>819</v>
      </c>
      <c r="S42" s="448"/>
    </row>
    <row r="43" spans="1:19" ht="37.5" customHeight="1" x14ac:dyDescent="0.2">
      <c r="A43" s="583">
        <v>34</v>
      </c>
      <c r="B43" s="105" t="s">
        <v>1143</v>
      </c>
      <c r="C43" s="326" t="s">
        <v>1144</v>
      </c>
      <c r="D43" s="326" t="s">
        <v>1144</v>
      </c>
      <c r="E43" s="399" t="s">
        <v>819</v>
      </c>
      <c r="F43" s="399" t="s">
        <v>819</v>
      </c>
      <c r="G43" s="399" t="s">
        <v>819</v>
      </c>
      <c r="I43" s="548" t="s">
        <v>819</v>
      </c>
      <c r="J43" s="548" t="s">
        <v>819</v>
      </c>
      <c r="K43" s="548" t="s">
        <v>1250</v>
      </c>
      <c r="L43" s="587" t="s">
        <v>1262</v>
      </c>
      <c r="N43" s="616" t="s">
        <v>1262</v>
      </c>
      <c r="O43" s="548"/>
      <c r="Q43" s="587" t="s">
        <v>1145</v>
      </c>
      <c r="R43" s="448"/>
      <c r="S43" s="448"/>
    </row>
    <row r="44" spans="1:19" ht="48" x14ac:dyDescent="0.2">
      <c r="A44" s="583">
        <v>35</v>
      </c>
      <c r="B44" s="105" t="s">
        <v>1146</v>
      </c>
      <c r="C44" s="399" t="s">
        <v>1053</v>
      </c>
      <c r="D44" s="399" t="s">
        <v>1053</v>
      </c>
      <c r="E44" s="399" t="s">
        <v>1147</v>
      </c>
      <c r="F44" s="399" t="s">
        <v>1147</v>
      </c>
      <c r="G44" s="399" t="s">
        <v>1147</v>
      </c>
      <c r="I44" s="586" t="s">
        <v>1148</v>
      </c>
      <c r="J44" s="613" t="s">
        <v>1243</v>
      </c>
      <c r="K44" s="615" t="s">
        <v>1251</v>
      </c>
      <c r="L44" s="616" t="s">
        <v>1263</v>
      </c>
      <c r="N44" s="548" t="s">
        <v>1062</v>
      </c>
      <c r="O44" s="548" t="s">
        <v>1147</v>
      </c>
      <c r="Q44" s="548" t="s">
        <v>1062</v>
      </c>
      <c r="R44" s="548" t="s">
        <v>1147</v>
      </c>
      <c r="S44" s="448"/>
    </row>
    <row r="45" spans="1:19" x14ac:dyDescent="0.2">
      <c r="A45" s="571">
        <v>36</v>
      </c>
      <c r="B45" s="105" t="s">
        <v>1149</v>
      </c>
      <c r="C45" s="399" t="s">
        <v>1089</v>
      </c>
      <c r="D45" s="399" t="s">
        <v>1089</v>
      </c>
      <c r="E45" s="399" t="s">
        <v>819</v>
      </c>
      <c r="F45" s="399" t="s">
        <v>819</v>
      </c>
      <c r="G45" s="399" t="s">
        <v>819</v>
      </c>
      <c r="I45" s="548" t="s">
        <v>1089</v>
      </c>
      <c r="J45" s="548" t="s">
        <v>1108</v>
      </c>
      <c r="K45" s="548" t="s">
        <v>1108</v>
      </c>
      <c r="L45" s="548" t="s">
        <v>1108</v>
      </c>
      <c r="N45" s="399" t="s">
        <v>819</v>
      </c>
      <c r="O45" s="399" t="s">
        <v>819</v>
      </c>
      <c r="Q45" s="399" t="s">
        <v>819</v>
      </c>
      <c r="R45" s="399" t="s">
        <v>819</v>
      </c>
      <c r="S45" s="448"/>
    </row>
    <row r="46" spans="1:19" ht="12.75" customHeight="1" x14ac:dyDescent="0.2">
      <c r="A46" s="571">
        <v>37</v>
      </c>
      <c r="B46" s="105" t="s">
        <v>1150</v>
      </c>
      <c r="C46" s="326" t="s">
        <v>1151</v>
      </c>
      <c r="D46" s="326" t="s">
        <v>1151</v>
      </c>
      <c r="E46" s="399" t="s">
        <v>819</v>
      </c>
      <c r="F46" s="399" t="s">
        <v>819</v>
      </c>
      <c r="G46" s="399" t="s">
        <v>819</v>
      </c>
      <c r="I46" s="583" t="s">
        <v>1114</v>
      </c>
      <c r="J46" s="548" t="s">
        <v>819</v>
      </c>
      <c r="K46" s="548" t="s">
        <v>819</v>
      </c>
      <c r="L46" s="548" t="s">
        <v>819</v>
      </c>
      <c r="N46" s="548" t="s">
        <v>819</v>
      </c>
      <c r="O46" s="548" t="s">
        <v>819</v>
      </c>
      <c r="Q46" s="548" t="s">
        <v>819</v>
      </c>
      <c r="R46" s="548" t="s">
        <v>819</v>
      </c>
      <c r="S46" s="448"/>
    </row>
    <row r="47" spans="1:19" x14ac:dyDescent="0.2">
      <c r="B47" s="589"/>
      <c r="C47" s="589"/>
      <c r="D47" s="589"/>
      <c r="E47" s="589"/>
      <c r="F47" s="589"/>
      <c r="G47" s="589"/>
      <c r="N47" s="448"/>
      <c r="O47" s="448"/>
    </row>
  </sheetData>
  <mergeCells count="3">
    <mergeCell ref="N3:O3"/>
    <mergeCell ref="Q3:R3"/>
    <mergeCell ref="I3:L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election activeCell="A24" sqref="A24"/>
    </sheetView>
  </sheetViews>
  <sheetFormatPr baseColWidth="10" defaultRowHeight="12.75" x14ac:dyDescent="0.2"/>
  <cols>
    <col min="1" max="1" width="4.5" style="448" customWidth="1"/>
    <col min="2" max="2" width="103" style="448" customWidth="1"/>
    <col min="3" max="3" width="32.5" style="448" customWidth="1"/>
    <col min="4" max="4" width="45.25" style="448" customWidth="1"/>
    <col min="5" max="5" width="32.5" style="448" customWidth="1"/>
    <col min="6" max="6" width="11" style="448"/>
    <col min="7" max="16384" width="11" style="306"/>
  </cols>
  <sheetData>
    <row r="1" spans="1:5" x14ac:dyDescent="0.2">
      <c r="A1" s="565" t="s">
        <v>1031</v>
      </c>
    </row>
    <row r="2" spans="1:5" x14ac:dyDescent="0.2">
      <c r="A2" s="105"/>
    </row>
    <row r="4" spans="1:5" ht="13.5" thickBot="1" x14ac:dyDescent="0.25">
      <c r="A4" s="549"/>
      <c r="B4" s="550" t="s">
        <v>813</v>
      </c>
      <c r="C4" s="551" t="s">
        <v>814</v>
      </c>
      <c r="D4" s="552" t="s">
        <v>815</v>
      </c>
      <c r="E4" s="551" t="s">
        <v>816</v>
      </c>
    </row>
    <row r="5" spans="1:5" x14ac:dyDescent="0.2">
      <c r="A5" s="553">
        <v>1</v>
      </c>
      <c r="B5" s="107" t="s">
        <v>817</v>
      </c>
      <c r="C5" s="412">
        <f>6393777+1586831</f>
        <v>7980608</v>
      </c>
      <c r="D5" s="326" t="s">
        <v>818</v>
      </c>
      <c r="E5" s="399" t="s">
        <v>819</v>
      </c>
    </row>
    <row r="6" spans="1:5" x14ac:dyDescent="0.2">
      <c r="A6" s="553"/>
      <c r="B6" s="105" t="s">
        <v>820</v>
      </c>
      <c r="C6" s="412">
        <v>7980608</v>
      </c>
      <c r="D6" s="554"/>
      <c r="E6" s="399" t="s">
        <v>819</v>
      </c>
    </row>
    <row r="7" spans="1:5" x14ac:dyDescent="0.2">
      <c r="A7" s="553"/>
      <c r="B7" s="105" t="s">
        <v>821</v>
      </c>
      <c r="C7" s="412"/>
      <c r="D7" s="554"/>
      <c r="E7" s="399" t="s">
        <v>819</v>
      </c>
    </row>
    <row r="8" spans="1:5" x14ac:dyDescent="0.2">
      <c r="A8" s="553"/>
      <c r="B8" s="105" t="s">
        <v>822</v>
      </c>
      <c r="C8" s="412"/>
      <c r="D8" s="554"/>
      <c r="E8" s="399" t="s">
        <v>819</v>
      </c>
    </row>
    <row r="9" spans="1:5" x14ac:dyDescent="0.2">
      <c r="A9" s="553">
        <v>2</v>
      </c>
      <c r="B9" s="317" t="s">
        <v>823</v>
      </c>
      <c r="C9" s="412">
        <v>6901991</v>
      </c>
      <c r="D9" s="399" t="s">
        <v>824</v>
      </c>
      <c r="E9" s="399" t="s">
        <v>819</v>
      </c>
    </row>
    <row r="10" spans="1:5" x14ac:dyDescent="0.2">
      <c r="A10" s="553">
        <v>3</v>
      </c>
      <c r="B10" s="317" t="s">
        <v>825</v>
      </c>
      <c r="C10" s="412">
        <v>59315</v>
      </c>
      <c r="D10" s="555" t="s">
        <v>826</v>
      </c>
      <c r="E10" s="399" t="s">
        <v>819</v>
      </c>
    </row>
    <row r="11" spans="1:5" x14ac:dyDescent="0.2">
      <c r="A11" s="553" t="s">
        <v>827</v>
      </c>
      <c r="B11" s="105" t="s">
        <v>828</v>
      </c>
      <c r="C11" s="412"/>
      <c r="D11" s="554" t="s">
        <v>829</v>
      </c>
      <c r="E11" s="399" t="s">
        <v>819</v>
      </c>
    </row>
    <row r="12" spans="1:5" ht="12.75" customHeight="1" x14ac:dyDescent="0.2">
      <c r="A12" s="553">
        <v>4</v>
      </c>
      <c r="B12" s="317" t="s">
        <v>830</v>
      </c>
      <c r="C12" s="412"/>
      <c r="D12" s="554"/>
      <c r="E12" s="399" t="s">
        <v>819</v>
      </c>
    </row>
    <row r="13" spans="1:5" ht="12.75" customHeight="1" x14ac:dyDescent="0.2">
      <c r="A13" s="553"/>
      <c r="B13" s="317" t="s">
        <v>831</v>
      </c>
      <c r="C13" s="412"/>
      <c r="D13" s="554"/>
      <c r="E13" s="399" t="s">
        <v>819</v>
      </c>
    </row>
    <row r="14" spans="1:5" x14ac:dyDescent="0.2">
      <c r="A14" s="553">
        <v>5</v>
      </c>
      <c r="B14" s="105" t="s">
        <v>832</v>
      </c>
      <c r="C14" s="412">
        <v>0</v>
      </c>
      <c r="D14" s="554">
        <v>84</v>
      </c>
      <c r="E14" s="399" t="s">
        <v>819</v>
      </c>
    </row>
    <row r="15" spans="1:5" ht="12.75" customHeight="1" x14ac:dyDescent="0.2">
      <c r="A15" s="553" t="s">
        <v>833</v>
      </c>
      <c r="B15" s="317" t="s">
        <v>834</v>
      </c>
      <c r="C15" s="412">
        <v>248076</v>
      </c>
      <c r="D15" s="554" t="s">
        <v>835</v>
      </c>
      <c r="E15" s="399" t="s">
        <v>819</v>
      </c>
    </row>
    <row r="16" spans="1:5" x14ac:dyDescent="0.2">
      <c r="A16" s="553">
        <v>6</v>
      </c>
      <c r="B16" s="556" t="s">
        <v>836</v>
      </c>
      <c r="C16" s="412">
        <f>C5+C9+C10+C14+C15</f>
        <v>15189990</v>
      </c>
      <c r="D16" s="555" t="s">
        <v>837</v>
      </c>
      <c r="E16" s="399" t="s">
        <v>819</v>
      </c>
    </row>
    <row r="17" spans="1:5" x14ac:dyDescent="0.2">
      <c r="A17" s="676"/>
      <c r="B17" s="676"/>
      <c r="C17" s="676"/>
      <c r="D17" s="676"/>
      <c r="E17" s="676"/>
    </row>
    <row r="18" spans="1:5" ht="13.5" thickBot="1" x14ac:dyDescent="0.25">
      <c r="A18" s="549"/>
      <c r="B18" s="524" t="s">
        <v>838</v>
      </c>
      <c r="C18" s="524"/>
      <c r="D18" s="524"/>
      <c r="E18" s="524"/>
    </row>
    <row r="19" spans="1:5" ht="12.75" customHeight="1" x14ac:dyDescent="0.2">
      <c r="A19" s="553">
        <v>7</v>
      </c>
      <c r="B19" s="317" t="s">
        <v>839</v>
      </c>
      <c r="C19" s="412">
        <v>-48076</v>
      </c>
      <c r="D19" s="554" t="s">
        <v>840</v>
      </c>
      <c r="E19" s="399" t="s">
        <v>819</v>
      </c>
    </row>
    <row r="20" spans="1:5" ht="12.75" customHeight="1" x14ac:dyDescent="0.2">
      <c r="A20" s="553">
        <v>8</v>
      </c>
      <c r="B20" s="317" t="s">
        <v>841</v>
      </c>
      <c r="C20" s="412">
        <f>-50409-3700</f>
        <v>-54109</v>
      </c>
      <c r="D20" s="326" t="s">
        <v>842</v>
      </c>
      <c r="E20" s="399" t="s">
        <v>819</v>
      </c>
    </row>
    <row r="21" spans="1:5" x14ac:dyDescent="0.2">
      <c r="A21" s="553">
        <v>9</v>
      </c>
      <c r="B21" s="317" t="s">
        <v>843</v>
      </c>
      <c r="C21" s="412"/>
      <c r="D21" s="399"/>
      <c r="E21" s="399" t="s">
        <v>819</v>
      </c>
    </row>
    <row r="22" spans="1:5" ht="12.75" customHeight="1" x14ac:dyDescent="0.2">
      <c r="A22" s="553">
        <v>10</v>
      </c>
      <c r="B22" s="317" t="s">
        <v>844</v>
      </c>
      <c r="C22" s="412">
        <v>0</v>
      </c>
      <c r="D22" s="555" t="s">
        <v>845</v>
      </c>
      <c r="E22" s="399" t="s">
        <v>819</v>
      </c>
    </row>
    <row r="23" spans="1:5" ht="12.75" customHeight="1" x14ac:dyDescent="0.2">
      <c r="A23" s="553">
        <v>11</v>
      </c>
      <c r="B23" s="317" t="s">
        <v>846</v>
      </c>
      <c r="C23" s="412">
        <v>0</v>
      </c>
      <c r="D23" s="554" t="s">
        <v>847</v>
      </c>
      <c r="E23" s="399" t="s">
        <v>819</v>
      </c>
    </row>
    <row r="24" spans="1:5" ht="12.75" customHeight="1" x14ac:dyDescent="0.2">
      <c r="A24" s="553">
        <v>12</v>
      </c>
      <c r="B24" s="557" t="s">
        <v>848</v>
      </c>
      <c r="C24" s="412">
        <v>-519419</v>
      </c>
      <c r="D24" s="555" t="s">
        <v>849</v>
      </c>
      <c r="E24" s="399" t="s">
        <v>819</v>
      </c>
    </row>
    <row r="25" spans="1:5" ht="12.75" customHeight="1" x14ac:dyDescent="0.2">
      <c r="A25" s="553">
        <v>13</v>
      </c>
      <c r="B25" s="317" t="s">
        <v>850</v>
      </c>
      <c r="C25" s="412">
        <v>0</v>
      </c>
      <c r="D25" s="554" t="s">
        <v>851</v>
      </c>
      <c r="E25" s="399" t="s">
        <v>819</v>
      </c>
    </row>
    <row r="26" spans="1:5" ht="12.75" customHeight="1" x14ac:dyDescent="0.2">
      <c r="A26" s="553">
        <v>14</v>
      </c>
      <c r="B26" s="317" t="s">
        <v>852</v>
      </c>
      <c r="C26" s="412">
        <v>0</v>
      </c>
      <c r="D26" s="326" t="s">
        <v>853</v>
      </c>
      <c r="E26" s="399" t="s">
        <v>819</v>
      </c>
    </row>
    <row r="27" spans="1:5" x14ac:dyDescent="0.2">
      <c r="A27" s="553">
        <v>15</v>
      </c>
      <c r="B27" s="317" t="s">
        <v>854</v>
      </c>
      <c r="C27" s="412">
        <v>0</v>
      </c>
      <c r="D27" s="326" t="s">
        <v>855</v>
      </c>
      <c r="E27" s="399" t="s">
        <v>819</v>
      </c>
    </row>
    <row r="28" spans="1:5" ht="12.75" customHeight="1" x14ac:dyDescent="0.2">
      <c r="A28" s="553">
        <v>16</v>
      </c>
      <c r="B28" s="317" t="s">
        <v>856</v>
      </c>
      <c r="C28" s="412">
        <v>-5776</v>
      </c>
      <c r="D28" s="326" t="s">
        <v>857</v>
      </c>
      <c r="E28" s="399" t="s">
        <v>819</v>
      </c>
    </row>
    <row r="29" spans="1:5" ht="12.75" customHeight="1" x14ac:dyDescent="0.2">
      <c r="A29" s="553">
        <v>17</v>
      </c>
      <c r="B29" s="557" t="s">
        <v>858</v>
      </c>
      <c r="C29" s="412">
        <v>0</v>
      </c>
      <c r="D29" s="555" t="s">
        <v>859</v>
      </c>
      <c r="E29" s="399" t="s">
        <v>819</v>
      </c>
    </row>
    <row r="30" spans="1:5" ht="25.5" customHeight="1" x14ac:dyDescent="0.2">
      <c r="A30" s="553">
        <v>18</v>
      </c>
      <c r="B30" s="557" t="s">
        <v>860</v>
      </c>
      <c r="C30" s="412">
        <v>0</v>
      </c>
      <c r="D30" s="555" t="s">
        <v>861</v>
      </c>
      <c r="E30" s="399" t="s">
        <v>819</v>
      </c>
    </row>
    <row r="31" spans="1:5" ht="25.5" customHeight="1" x14ac:dyDescent="0.2">
      <c r="A31" s="553">
        <v>19</v>
      </c>
      <c r="B31" s="317" t="s">
        <v>862</v>
      </c>
      <c r="C31" s="412">
        <v>-368164</v>
      </c>
      <c r="D31" s="555" t="s">
        <v>863</v>
      </c>
      <c r="E31" s="399" t="s">
        <v>819</v>
      </c>
    </row>
    <row r="32" spans="1:5" x14ac:dyDescent="0.2">
      <c r="A32" s="553">
        <v>20</v>
      </c>
      <c r="B32" s="317" t="s">
        <v>843</v>
      </c>
      <c r="C32" s="412"/>
      <c r="D32" s="399"/>
      <c r="E32" s="399" t="s">
        <v>819</v>
      </c>
    </row>
    <row r="33" spans="1:5" x14ac:dyDescent="0.2">
      <c r="A33" s="553" t="s">
        <v>864</v>
      </c>
      <c r="B33" s="317" t="s">
        <v>865</v>
      </c>
      <c r="C33" s="412">
        <f>C35+C36</f>
        <v>0</v>
      </c>
      <c r="D33" s="554" t="s">
        <v>866</v>
      </c>
      <c r="E33" s="399" t="s">
        <v>819</v>
      </c>
    </row>
    <row r="34" spans="1:5" ht="12.75" customHeight="1" x14ac:dyDescent="0.2">
      <c r="A34" s="558" t="s">
        <v>867</v>
      </c>
      <c r="B34" s="317" t="s">
        <v>868</v>
      </c>
      <c r="C34" s="412"/>
      <c r="D34" s="326" t="s">
        <v>869</v>
      </c>
      <c r="E34" s="399" t="s">
        <v>819</v>
      </c>
    </row>
    <row r="35" spans="1:5" ht="13.5" customHeight="1" x14ac:dyDescent="0.2">
      <c r="A35" s="558" t="s">
        <v>870</v>
      </c>
      <c r="B35" s="557" t="s">
        <v>871</v>
      </c>
      <c r="C35" s="412">
        <v>0</v>
      </c>
      <c r="D35" s="326" t="s">
        <v>872</v>
      </c>
      <c r="E35" s="399" t="s">
        <v>819</v>
      </c>
    </row>
    <row r="36" spans="1:5" ht="12.75" customHeight="1" x14ac:dyDescent="0.2">
      <c r="A36" s="558" t="s">
        <v>873</v>
      </c>
      <c r="B36" s="317" t="s">
        <v>874</v>
      </c>
      <c r="C36" s="412">
        <v>0</v>
      </c>
      <c r="D36" s="555" t="s">
        <v>875</v>
      </c>
      <c r="E36" s="399" t="s">
        <v>819</v>
      </c>
    </row>
    <row r="37" spans="1:5" ht="12.75" customHeight="1" x14ac:dyDescent="0.2">
      <c r="A37" s="553">
        <v>21</v>
      </c>
      <c r="B37" s="317" t="s">
        <v>876</v>
      </c>
      <c r="C37" s="412">
        <v>0</v>
      </c>
      <c r="D37" s="555" t="s">
        <v>877</v>
      </c>
      <c r="E37" s="399" t="s">
        <v>819</v>
      </c>
    </row>
    <row r="38" spans="1:5" ht="12.75" customHeight="1" x14ac:dyDescent="0.2">
      <c r="A38" s="553">
        <v>22</v>
      </c>
      <c r="B38" s="317" t="s">
        <v>878</v>
      </c>
      <c r="C38" s="412">
        <v>0</v>
      </c>
      <c r="D38" s="554" t="s">
        <v>879</v>
      </c>
      <c r="E38" s="399" t="s">
        <v>819</v>
      </c>
    </row>
    <row r="39" spans="1:5" ht="12.75" customHeight="1" x14ac:dyDescent="0.2">
      <c r="A39" s="553">
        <v>23</v>
      </c>
      <c r="B39" s="317" t="s">
        <v>880</v>
      </c>
      <c r="C39" s="412">
        <v>0</v>
      </c>
      <c r="D39" s="555" t="s">
        <v>881</v>
      </c>
      <c r="E39" s="399" t="s">
        <v>819</v>
      </c>
    </row>
    <row r="40" spans="1:5" x14ac:dyDescent="0.2">
      <c r="A40" s="553">
        <v>24</v>
      </c>
      <c r="B40" s="317" t="s">
        <v>843</v>
      </c>
      <c r="C40" s="412"/>
      <c r="D40" s="399"/>
      <c r="E40" s="399" t="s">
        <v>819</v>
      </c>
    </row>
    <row r="41" spans="1:5" ht="12" customHeight="1" x14ac:dyDescent="0.2">
      <c r="A41" s="553">
        <v>25</v>
      </c>
      <c r="B41" s="317" t="s">
        <v>882</v>
      </c>
      <c r="C41" s="412">
        <v>0</v>
      </c>
      <c r="D41" s="326" t="s">
        <v>877</v>
      </c>
      <c r="E41" s="399" t="s">
        <v>819</v>
      </c>
    </row>
    <row r="42" spans="1:5" ht="12.75" customHeight="1" x14ac:dyDescent="0.2">
      <c r="A42" s="558" t="s">
        <v>883</v>
      </c>
      <c r="B42" s="317" t="s">
        <v>884</v>
      </c>
      <c r="C42" s="412">
        <v>0</v>
      </c>
      <c r="D42" s="554" t="s">
        <v>885</v>
      </c>
      <c r="E42" s="399" t="s">
        <v>819</v>
      </c>
    </row>
    <row r="43" spans="1:5" ht="12.75" customHeight="1" x14ac:dyDescent="0.2">
      <c r="A43" s="558" t="s">
        <v>886</v>
      </c>
      <c r="B43" s="317" t="s">
        <v>887</v>
      </c>
      <c r="C43" s="412">
        <v>0</v>
      </c>
      <c r="D43" s="554" t="s">
        <v>888</v>
      </c>
      <c r="E43" s="399" t="s">
        <v>819</v>
      </c>
    </row>
    <row r="44" spans="1:5" ht="12.75" customHeight="1" x14ac:dyDescent="0.2">
      <c r="A44" s="553">
        <v>26</v>
      </c>
      <c r="B44" s="317" t="s">
        <v>889</v>
      </c>
      <c r="C44" s="412">
        <v>0</v>
      </c>
      <c r="D44" s="326" t="s">
        <v>890</v>
      </c>
      <c r="E44" s="399" t="s">
        <v>819</v>
      </c>
    </row>
    <row r="45" spans="1:5" ht="12.75" customHeight="1" x14ac:dyDescent="0.2">
      <c r="A45" s="558" t="s">
        <v>891</v>
      </c>
      <c r="B45" s="317" t="s">
        <v>892</v>
      </c>
      <c r="C45" s="412">
        <v>0</v>
      </c>
      <c r="D45" s="399"/>
      <c r="E45" s="399" t="s">
        <v>819</v>
      </c>
    </row>
    <row r="46" spans="1:5" x14ac:dyDescent="0.2">
      <c r="A46" s="105"/>
      <c r="B46" s="317" t="s">
        <v>893</v>
      </c>
      <c r="C46" s="412"/>
      <c r="D46" s="399"/>
      <c r="E46" s="399" t="s">
        <v>819</v>
      </c>
    </row>
    <row r="47" spans="1:5" x14ac:dyDescent="0.2">
      <c r="A47" s="105"/>
      <c r="B47" s="317" t="s">
        <v>894</v>
      </c>
      <c r="C47" s="412"/>
      <c r="D47" s="399"/>
      <c r="E47" s="399" t="s">
        <v>819</v>
      </c>
    </row>
    <row r="48" spans="1:5" x14ac:dyDescent="0.2">
      <c r="A48" s="105"/>
      <c r="B48" s="317" t="s">
        <v>895</v>
      </c>
      <c r="C48" s="412"/>
      <c r="D48" s="399">
        <v>468</v>
      </c>
      <c r="E48" s="399" t="s">
        <v>819</v>
      </c>
    </row>
    <row r="49" spans="1:5" x14ac:dyDescent="0.2">
      <c r="A49" s="105"/>
      <c r="B49" s="317" t="s">
        <v>896</v>
      </c>
      <c r="C49" s="412"/>
      <c r="D49" s="554">
        <v>468</v>
      </c>
      <c r="E49" s="399" t="s">
        <v>819</v>
      </c>
    </row>
    <row r="50" spans="1:5" ht="12.75" customHeight="1" x14ac:dyDescent="0.2">
      <c r="A50" s="558" t="s">
        <v>897</v>
      </c>
      <c r="B50" s="317" t="s">
        <v>898</v>
      </c>
      <c r="C50" s="412"/>
      <c r="D50" s="399"/>
      <c r="E50" s="399" t="s">
        <v>819</v>
      </c>
    </row>
    <row r="51" spans="1:5" x14ac:dyDescent="0.2">
      <c r="A51" s="105"/>
      <c r="B51" s="317" t="s">
        <v>899</v>
      </c>
      <c r="C51" s="412"/>
      <c r="D51" s="399"/>
      <c r="E51" s="399" t="s">
        <v>819</v>
      </c>
    </row>
    <row r="52" spans="1:5" ht="12.75" customHeight="1" x14ac:dyDescent="0.2">
      <c r="A52" s="553">
        <v>27</v>
      </c>
      <c r="B52" s="317" t="s">
        <v>900</v>
      </c>
      <c r="C52" s="412">
        <v>0</v>
      </c>
      <c r="D52" s="555" t="s">
        <v>901</v>
      </c>
      <c r="E52" s="399" t="s">
        <v>819</v>
      </c>
    </row>
    <row r="53" spans="1:5" x14ac:dyDescent="0.2">
      <c r="A53" s="553">
        <v>28</v>
      </c>
      <c r="B53" s="559" t="s">
        <v>902</v>
      </c>
      <c r="C53" s="336">
        <f>SUM(C19:C33)+C44</f>
        <v>-995544</v>
      </c>
      <c r="D53" s="326" t="s">
        <v>903</v>
      </c>
      <c r="E53" s="399" t="s">
        <v>819</v>
      </c>
    </row>
    <row r="54" spans="1:5" ht="12.75" customHeight="1" x14ac:dyDescent="0.2">
      <c r="A54" s="553">
        <v>29</v>
      </c>
      <c r="B54" s="559" t="s">
        <v>904</v>
      </c>
      <c r="C54" s="336">
        <f>C16+C53</f>
        <v>14194446</v>
      </c>
      <c r="D54" s="399" t="s">
        <v>905</v>
      </c>
      <c r="E54" s="399" t="s">
        <v>819</v>
      </c>
    </row>
    <row r="55" spans="1:5" ht="12.75" customHeight="1" x14ac:dyDescent="0.2">
      <c r="A55" s="553"/>
      <c r="B55" s="559"/>
      <c r="C55" s="336"/>
      <c r="D55" s="325"/>
      <c r="E55" s="105"/>
    </row>
    <row r="56" spans="1:5" ht="13.5" thickBot="1" x14ac:dyDescent="0.25">
      <c r="A56" s="549"/>
      <c r="B56" s="524" t="s">
        <v>906</v>
      </c>
      <c r="C56" s="618"/>
      <c r="D56" s="524"/>
      <c r="E56" s="524"/>
    </row>
    <row r="57" spans="1:5" x14ac:dyDescent="0.2">
      <c r="A57" s="553">
        <v>30</v>
      </c>
      <c r="B57" s="107" t="s">
        <v>817</v>
      </c>
      <c r="C57" s="336">
        <f>1019186-303</f>
        <v>1018883</v>
      </c>
      <c r="D57" s="399" t="s">
        <v>907</v>
      </c>
      <c r="E57" s="399" t="s">
        <v>819</v>
      </c>
    </row>
    <row r="58" spans="1:5" ht="12.75" customHeight="1" x14ac:dyDescent="0.2">
      <c r="A58" s="553">
        <v>31</v>
      </c>
      <c r="B58" s="317" t="s">
        <v>908</v>
      </c>
      <c r="C58" s="336">
        <v>0</v>
      </c>
      <c r="D58" s="399"/>
      <c r="E58" s="399" t="s">
        <v>819</v>
      </c>
    </row>
    <row r="59" spans="1:5" ht="12.75" customHeight="1" x14ac:dyDescent="0.2">
      <c r="A59" s="553">
        <v>32</v>
      </c>
      <c r="B59" s="317" t="s">
        <v>909</v>
      </c>
      <c r="C59" s="336">
        <f>1018872-322</f>
        <v>1018550</v>
      </c>
      <c r="D59" s="399"/>
      <c r="E59" s="399" t="s">
        <v>819</v>
      </c>
    </row>
    <row r="60" spans="1:5" x14ac:dyDescent="0.2">
      <c r="A60" s="553">
        <v>33</v>
      </c>
      <c r="B60" s="317" t="s">
        <v>910</v>
      </c>
      <c r="C60" s="336">
        <v>0</v>
      </c>
      <c r="D60" s="399" t="s">
        <v>911</v>
      </c>
      <c r="E60" s="399" t="s">
        <v>819</v>
      </c>
    </row>
    <row r="61" spans="1:5" ht="12.75" customHeight="1" x14ac:dyDescent="0.2">
      <c r="A61" s="553">
        <v>34</v>
      </c>
      <c r="B61" s="317" t="s">
        <v>912</v>
      </c>
      <c r="C61" s="336"/>
      <c r="D61" s="399" t="s">
        <v>913</v>
      </c>
      <c r="E61" s="399" t="s">
        <v>819</v>
      </c>
    </row>
    <row r="62" spans="1:5" x14ac:dyDescent="0.2">
      <c r="A62" s="553">
        <v>35</v>
      </c>
      <c r="B62" s="107" t="s">
        <v>914</v>
      </c>
      <c r="C62" s="336"/>
      <c r="D62" s="399"/>
      <c r="E62" s="399" t="s">
        <v>819</v>
      </c>
    </row>
    <row r="63" spans="1:5" x14ac:dyDescent="0.2">
      <c r="A63" s="553">
        <v>36</v>
      </c>
      <c r="B63" s="559" t="s">
        <v>915</v>
      </c>
      <c r="C63" s="336">
        <f>C57+C60+C61</f>
        <v>1018883</v>
      </c>
      <c r="D63" s="326" t="s">
        <v>916</v>
      </c>
      <c r="E63" s="399" t="s">
        <v>819</v>
      </c>
    </row>
    <row r="64" spans="1:5" x14ac:dyDescent="0.2">
      <c r="A64" s="553"/>
      <c r="B64" s="560"/>
      <c r="C64" s="412"/>
      <c r="D64" s="515"/>
      <c r="E64" s="105"/>
    </row>
    <row r="65" spans="1:5" ht="12.75" customHeight="1" thickBot="1" x14ac:dyDescent="0.25">
      <c r="A65" s="549"/>
      <c r="B65" s="524" t="s">
        <v>917</v>
      </c>
      <c r="C65" s="618"/>
      <c r="D65" s="524"/>
      <c r="E65" s="524"/>
    </row>
    <row r="66" spans="1:5" ht="12.75" customHeight="1" x14ac:dyDescent="0.2">
      <c r="A66" s="553">
        <v>37</v>
      </c>
      <c r="B66" s="317" t="s">
        <v>918</v>
      </c>
      <c r="C66" s="412">
        <v>-7236</v>
      </c>
      <c r="D66" s="326" t="s">
        <v>919</v>
      </c>
      <c r="E66" s="399" t="s">
        <v>819</v>
      </c>
    </row>
    <row r="67" spans="1:5" ht="12.75" customHeight="1" x14ac:dyDescent="0.2">
      <c r="A67" s="553">
        <v>38</v>
      </c>
      <c r="B67" s="317" t="s">
        <v>920</v>
      </c>
      <c r="C67" s="412">
        <v>0</v>
      </c>
      <c r="D67" s="554" t="s">
        <v>921</v>
      </c>
      <c r="E67" s="399" t="s">
        <v>819</v>
      </c>
    </row>
    <row r="68" spans="1:5" ht="24.75" customHeight="1" x14ac:dyDescent="0.2">
      <c r="A68" s="553">
        <v>39</v>
      </c>
      <c r="B68" s="557" t="s">
        <v>922</v>
      </c>
      <c r="C68" s="412">
        <v>0</v>
      </c>
      <c r="D68" s="555" t="s">
        <v>923</v>
      </c>
      <c r="E68" s="399" t="s">
        <v>819</v>
      </c>
    </row>
    <row r="69" spans="1:5" ht="25.5" customHeight="1" x14ac:dyDescent="0.2">
      <c r="A69" s="553">
        <v>40</v>
      </c>
      <c r="B69" s="557" t="s">
        <v>924</v>
      </c>
      <c r="C69" s="412">
        <v>0</v>
      </c>
      <c r="D69" s="555" t="s">
        <v>925</v>
      </c>
      <c r="E69" s="399" t="s">
        <v>819</v>
      </c>
    </row>
    <row r="70" spans="1:5" ht="12.75" customHeight="1" x14ac:dyDescent="0.2">
      <c r="A70" s="553">
        <v>41</v>
      </c>
      <c r="B70" s="317" t="s">
        <v>926</v>
      </c>
      <c r="C70" s="412">
        <f>C71+C73+C75</f>
        <v>0</v>
      </c>
      <c r="D70" s="326" t="s">
        <v>927</v>
      </c>
      <c r="E70" s="399" t="s">
        <v>819</v>
      </c>
    </row>
    <row r="71" spans="1:5" ht="12.75" customHeight="1" x14ac:dyDescent="0.2">
      <c r="A71" s="558" t="s">
        <v>928</v>
      </c>
      <c r="B71" s="317" t="s">
        <v>929</v>
      </c>
      <c r="C71" s="412">
        <v>0</v>
      </c>
      <c r="D71" s="555" t="s">
        <v>930</v>
      </c>
      <c r="E71" s="399" t="s">
        <v>819</v>
      </c>
    </row>
    <row r="72" spans="1:5" x14ac:dyDescent="0.2">
      <c r="A72" s="105"/>
      <c r="B72" s="105" t="s">
        <v>931</v>
      </c>
      <c r="C72" s="412"/>
      <c r="D72" s="399"/>
      <c r="E72" s="105"/>
    </row>
    <row r="73" spans="1:5" ht="12.75" customHeight="1" x14ac:dyDescent="0.2">
      <c r="A73" s="558" t="s">
        <v>932</v>
      </c>
      <c r="B73" s="317" t="s">
        <v>933</v>
      </c>
      <c r="C73" s="412"/>
      <c r="D73" s="399"/>
      <c r="E73" s="105"/>
    </row>
    <row r="74" spans="1:5" x14ac:dyDescent="0.2">
      <c r="A74" s="105"/>
      <c r="B74" s="317" t="s">
        <v>931</v>
      </c>
      <c r="C74" s="412"/>
      <c r="D74" s="399"/>
      <c r="E74" s="105"/>
    </row>
    <row r="75" spans="1:5" ht="12.75" customHeight="1" x14ac:dyDescent="0.2">
      <c r="A75" s="558" t="s">
        <v>934</v>
      </c>
      <c r="B75" s="317" t="s">
        <v>935</v>
      </c>
      <c r="C75" s="412"/>
      <c r="D75" s="399"/>
      <c r="E75" s="105"/>
    </row>
    <row r="76" spans="1:5" ht="12.75" customHeight="1" x14ac:dyDescent="0.2">
      <c r="A76" s="105"/>
      <c r="B76" s="317" t="s">
        <v>936</v>
      </c>
      <c r="C76" s="412"/>
      <c r="D76" s="399"/>
      <c r="E76" s="105"/>
    </row>
    <row r="77" spans="1:5" x14ac:dyDescent="0.2">
      <c r="A77" s="105"/>
      <c r="B77" s="317" t="s">
        <v>937</v>
      </c>
      <c r="C77" s="412"/>
      <c r="D77" s="399"/>
      <c r="E77" s="105"/>
    </row>
    <row r="78" spans="1:5" x14ac:dyDescent="0.2">
      <c r="A78" s="105"/>
      <c r="B78" s="317" t="s">
        <v>899</v>
      </c>
      <c r="C78" s="412"/>
      <c r="D78" s="399"/>
      <c r="E78" s="105"/>
    </row>
    <row r="79" spans="1:5" x14ac:dyDescent="0.2">
      <c r="A79" s="553">
        <v>42</v>
      </c>
      <c r="B79" s="317" t="s">
        <v>938</v>
      </c>
      <c r="C79" s="412">
        <v>0</v>
      </c>
      <c r="D79" s="399" t="s">
        <v>939</v>
      </c>
      <c r="E79" s="399" t="s">
        <v>819</v>
      </c>
    </row>
    <row r="80" spans="1:5" x14ac:dyDescent="0.2">
      <c r="A80" s="553">
        <v>43</v>
      </c>
      <c r="B80" s="556" t="s">
        <v>940</v>
      </c>
      <c r="C80" s="412">
        <f>SUM(C66:C70)</f>
        <v>-7236</v>
      </c>
      <c r="D80" s="326" t="s">
        <v>941</v>
      </c>
      <c r="E80" s="399" t="s">
        <v>819</v>
      </c>
    </row>
    <row r="81" spans="1:5" ht="12.75" customHeight="1" x14ac:dyDescent="0.2">
      <c r="A81" s="553">
        <v>44</v>
      </c>
      <c r="B81" s="556" t="s">
        <v>942</v>
      </c>
      <c r="C81" s="412">
        <f>C63+C80</f>
        <v>1011647</v>
      </c>
      <c r="D81" s="326" t="s">
        <v>943</v>
      </c>
      <c r="E81" s="399" t="s">
        <v>819</v>
      </c>
    </row>
    <row r="82" spans="1:5" ht="12" customHeight="1" x14ac:dyDescent="0.2">
      <c r="A82" s="553">
        <v>45</v>
      </c>
      <c r="B82" s="556" t="s">
        <v>944</v>
      </c>
      <c r="C82" s="412">
        <f>C54+C81</f>
        <v>15206093</v>
      </c>
      <c r="D82" s="326" t="s">
        <v>945</v>
      </c>
      <c r="E82" s="399" t="s">
        <v>819</v>
      </c>
    </row>
    <row r="83" spans="1:5" x14ac:dyDescent="0.2">
      <c r="A83" s="553"/>
      <c r="B83" s="556"/>
      <c r="C83" s="412"/>
      <c r="D83" s="515"/>
      <c r="E83" s="105"/>
    </row>
    <row r="84" spans="1:5" ht="12.75" customHeight="1" thickBot="1" x14ac:dyDescent="0.25">
      <c r="A84" s="549"/>
      <c r="B84" s="524" t="s">
        <v>946</v>
      </c>
      <c r="C84" s="524"/>
      <c r="D84" s="524"/>
      <c r="E84" s="524"/>
    </row>
    <row r="85" spans="1:5" x14ac:dyDescent="0.2">
      <c r="A85" s="553">
        <v>46</v>
      </c>
      <c r="B85" s="317" t="s">
        <v>817</v>
      </c>
      <c r="C85" s="412">
        <f>2712188-353</f>
        <v>2711835</v>
      </c>
      <c r="D85" s="399" t="s">
        <v>947</v>
      </c>
      <c r="E85" s="399" t="s">
        <v>819</v>
      </c>
    </row>
    <row r="86" spans="1:5" x14ac:dyDescent="0.2">
      <c r="A86" s="553">
        <v>47</v>
      </c>
      <c r="B86" s="317" t="s">
        <v>948</v>
      </c>
      <c r="C86" s="412">
        <v>-5031</v>
      </c>
      <c r="D86" s="399" t="s">
        <v>949</v>
      </c>
      <c r="E86" s="399" t="s">
        <v>819</v>
      </c>
    </row>
    <row r="87" spans="1:5" ht="12.75" customHeight="1" x14ac:dyDescent="0.2">
      <c r="A87" s="105"/>
      <c r="B87" s="317" t="s">
        <v>950</v>
      </c>
      <c r="C87" s="412"/>
      <c r="D87" s="399"/>
      <c r="E87" s="399" t="s">
        <v>819</v>
      </c>
    </row>
    <row r="88" spans="1:5" ht="12.75" customHeight="1" x14ac:dyDescent="0.2">
      <c r="A88" s="553">
        <v>48</v>
      </c>
      <c r="B88" s="317" t="s">
        <v>951</v>
      </c>
      <c r="C88" s="412">
        <v>0</v>
      </c>
      <c r="D88" s="554" t="s">
        <v>952</v>
      </c>
      <c r="E88" s="399" t="s">
        <v>819</v>
      </c>
    </row>
    <row r="89" spans="1:5" x14ac:dyDescent="0.2">
      <c r="A89" s="553">
        <v>49</v>
      </c>
      <c r="B89" s="557" t="s">
        <v>914</v>
      </c>
      <c r="C89" s="412"/>
      <c r="D89" s="399"/>
      <c r="E89" s="399" t="s">
        <v>819</v>
      </c>
    </row>
    <row r="90" spans="1:5" x14ac:dyDescent="0.2">
      <c r="A90" s="553">
        <v>50</v>
      </c>
      <c r="B90" s="317" t="s">
        <v>953</v>
      </c>
      <c r="C90" s="412">
        <v>0</v>
      </c>
      <c r="D90" s="399" t="s">
        <v>954</v>
      </c>
      <c r="E90" s="399" t="s">
        <v>819</v>
      </c>
    </row>
    <row r="91" spans="1:5" x14ac:dyDescent="0.2">
      <c r="A91" s="553">
        <v>51</v>
      </c>
      <c r="B91" s="556" t="s">
        <v>955</v>
      </c>
      <c r="C91" s="412">
        <f>SUM(C85:C88)+C90</f>
        <v>2706804</v>
      </c>
      <c r="D91" s="326" t="s">
        <v>956</v>
      </c>
      <c r="E91" s="399" t="s">
        <v>819</v>
      </c>
    </row>
    <row r="92" spans="1:5" x14ac:dyDescent="0.2">
      <c r="A92" s="553"/>
      <c r="B92" s="556"/>
      <c r="C92" s="412"/>
      <c r="D92" s="515"/>
      <c r="E92" s="105"/>
    </row>
    <row r="93" spans="1:5" ht="13.5" thickBot="1" x14ac:dyDescent="0.25">
      <c r="A93" s="549"/>
      <c r="B93" s="524" t="s">
        <v>957</v>
      </c>
      <c r="C93" s="618"/>
      <c r="D93" s="524"/>
      <c r="E93" s="524"/>
    </row>
    <row r="94" spans="1:5" ht="12.75" customHeight="1" x14ac:dyDescent="0.2">
      <c r="A94" s="553">
        <v>52</v>
      </c>
      <c r="B94" s="317" t="s">
        <v>958</v>
      </c>
      <c r="C94" s="412">
        <v>-14472</v>
      </c>
      <c r="D94" s="555" t="s">
        <v>959</v>
      </c>
      <c r="E94" s="399" t="s">
        <v>819</v>
      </c>
    </row>
    <row r="95" spans="1:5" ht="12.75" customHeight="1" x14ac:dyDescent="0.2">
      <c r="A95" s="553">
        <v>53</v>
      </c>
      <c r="B95" s="317" t="s">
        <v>960</v>
      </c>
      <c r="C95" s="412">
        <v>0</v>
      </c>
      <c r="D95" s="554" t="s">
        <v>961</v>
      </c>
      <c r="E95" s="399" t="s">
        <v>819</v>
      </c>
    </row>
    <row r="96" spans="1:5" ht="25.5" customHeight="1" x14ac:dyDescent="0.2">
      <c r="A96" s="553">
        <v>54</v>
      </c>
      <c r="B96" s="557" t="s">
        <v>962</v>
      </c>
      <c r="C96" s="412">
        <v>0</v>
      </c>
      <c r="D96" s="326" t="s">
        <v>963</v>
      </c>
      <c r="E96" s="399" t="s">
        <v>819</v>
      </c>
    </row>
    <row r="97" spans="1:5" ht="12.75" customHeight="1" x14ac:dyDescent="0.2">
      <c r="A97" s="558" t="s">
        <v>964</v>
      </c>
      <c r="B97" s="317" t="s">
        <v>965</v>
      </c>
      <c r="C97" s="412">
        <v>0</v>
      </c>
      <c r="D97" s="554"/>
      <c r="E97" s="105"/>
    </row>
    <row r="98" spans="1:5" ht="12.75" customHeight="1" x14ac:dyDescent="0.2">
      <c r="A98" s="558" t="s">
        <v>966</v>
      </c>
      <c r="B98" s="317" t="s">
        <v>967</v>
      </c>
      <c r="C98" s="412">
        <v>0</v>
      </c>
      <c r="D98" s="554"/>
      <c r="E98" s="105"/>
    </row>
    <row r="99" spans="1:5" ht="25.5" customHeight="1" x14ac:dyDescent="0.2">
      <c r="A99" s="553">
        <v>55</v>
      </c>
      <c r="B99" s="317" t="s">
        <v>968</v>
      </c>
      <c r="C99" s="412">
        <v>-60473</v>
      </c>
      <c r="D99" s="326" t="s">
        <v>969</v>
      </c>
      <c r="E99" s="399" t="s">
        <v>819</v>
      </c>
    </row>
    <row r="100" spans="1:5" ht="12.75" customHeight="1" x14ac:dyDescent="0.2">
      <c r="A100" s="553">
        <v>56</v>
      </c>
      <c r="B100" s="317" t="s">
        <v>970</v>
      </c>
      <c r="C100" s="412">
        <f>C101+C103+C105</f>
        <v>0</v>
      </c>
      <c r="D100" s="555" t="s">
        <v>971</v>
      </c>
      <c r="E100" s="399" t="s">
        <v>819</v>
      </c>
    </row>
    <row r="101" spans="1:5" ht="12.75" customHeight="1" x14ac:dyDescent="0.2">
      <c r="A101" s="553" t="s">
        <v>972</v>
      </c>
      <c r="B101" s="317" t="s">
        <v>973</v>
      </c>
      <c r="C101" s="412">
        <v>0</v>
      </c>
      <c r="D101" s="555" t="s">
        <v>930</v>
      </c>
      <c r="E101" s="399" t="s">
        <v>819</v>
      </c>
    </row>
    <row r="102" spans="1:5" x14ac:dyDescent="0.2">
      <c r="A102" s="558"/>
      <c r="B102" s="317" t="s">
        <v>931</v>
      </c>
      <c r="C102" s="412"/>
      <c r="D102" s="554"/>
      <c r="E102" s="105"/>
    </row>
    <row r="103" spans="1:5" ht="12.75" customHeight="1" x14ac:dyDescent="0.2">
      <c r="A103" s="553" t="s">
        <v>974</v>
      </c>
      <c r="B103" s="317" t="s">
        <v>975</v>
      </c>
      <c r="C103" s="412">
        <v>0</v>
      </c>
      <c r="D103" s="554"/>
      <c r="E103" s="105"/>
    </row>
    <row r="104" spans="1:5" x14ac:dyDescent="0.2">
      <c r="A104" s="558"/>
      <c r="B104" s="317" t="s">
        <v>931</v>
      </c>
      <c r="C104" s="412"/>
      <c r="D104" s="554"/>
      <c r="E104" s="105"/>
    </row>
    <row r="105" spans="1:5" ht="12.75" customHeight="1" x14ac:dyDescent="0.2">
      <c r="A105" s="553" t="s">
        <v>976</v>
      </c>
      <c r="B105" s="317" t="s">
        <v>977</v>
      </c>
      <c r="C105" s="412">
        <v>0</v>
      </c>
      <c r="D105" s="554">
        <v>468</v>
      </c>
      <c r="E105" s="399" t="s">
        <v>819</v>
      </c>
    </row>
    <row r="106" spans="1:5" x14ac:dyDescent="0.2">
      <c r="A106" s="553"/>
      <c r="B106" s="317" t="s">
        <v>936</v>
      </c>
      <c r="C106" s="412"/>
      <c r="D106" s="554"/>
      <c r="E106" s="105"/>
    </row>
    <row r="107" spans="1:5" x14ac:dyDescent="0.2">
      <c r="A107" s="553"/>
      <c r="B107" s="317" t="s">
        <v>978</v>
      </c>
      <c r="C107" s="412"/>
      <c r="D107" s="554">
        <v>468</v>
      </c>
      <c r="E107" s="399" t="s">
        <v>819</v>
      </c>
    </row>
    <row r="108" spans="1:5" x14ac:dyDescent="0.2">
      <c r="A108" s="553"/>
      <c r="B108" s="317" t="s">
        <v>899</v>
      </c>
      <c r="C108" s="412"/>
      <c r="D108" s="554"/>
      <c r="E108" s="105"/>
    </row>
    <row r="109" spans="1:5" ht="12.75" customHeight="1" x14ac:dyDescent="0.2">
      <c r="A109" s="553">
        <v>57</v>
      </c>
      <c r="B109" s="556" t="s">
        <v>979</v>
      </c>
      <c r="C109" s="412">
        <f>SUM(C94:C96)+C99</f>
        <v>-74945</v>
      </c>
      <c r="D109" s="555" t="s">
        <v>980</v>
      </c>
      <c r="E109" s="399" t="s">
        <v>819</v>
      </c>
    </row>
    <row r="110" spans="1:5" ht="12.75" customHeight="1" x14ac:dyDescent="0.2">
      <c r="A110" s="553">
        <v>58</v>
      </c>
      <c r="B110" s="556" t="s">
        <v>981</v>
      </c>
      <c r="C110" s="412">
        <f>C91+C109</f>
        <v>2631859</v>
      </c>
      <c r="D110" s="555" t="s">
        <v>982</v>
      </c>
      <c r="E110" s="399" t="s">
        <v>819</v>
      </c>
    </row>
    <row r="111" spans="1:5" x14ac:dyDescent="0.2">
      <c r="A111" s="553">
        <v>59</v>
      </c>
      <c r="B111" s="556" t="s">
        <v>983</v>
      </c>
      <c r="C111" s="412">
        <f>C82+C110</f>
        <v>17837952</v>
      </c>
      <c r="D111" s="555" t="s">
        <v>984</v>
      </c>
      <c r="E111" s="399" t="s">
        <v>819</v>
      </c>
    </row>
    <row r="112" spans="1:5" ht="12" customHeight="1" x14ac:dyDescent="0.2">
      <c r="A112" s="553" t="s">
        <v>985</v>
      </c>
      <c r="B112" s="317" t="s">
        <v>986</v>
      </c>
      <c r="C112" s="412">
        <f>C113</f>
        <v>0</v>
      </c>
      <c r="D112" s="554" t="s">
        <v>987</v>
      </c>
      <c r="E112" s="399" t="s">
        <v>819</v>
      </c>
    </row>
    <row r="113" spans="1:5" x14ac:dyDescent="0.2">
      <c r="A113" s="558"/>
      <c r="B113" s="317" t="s">
        <v>988</v>
      </c>
      <c r="C113" s="412">
        <v>0</v>
      </c>
      <c r="D113" s="554" t="s">
        <v>989</v>
      </c>
      <c r="E113" s="399" t="s">
        <v>819</v>
      </c>
    </row>
    <row r="114" spans="1:5" ht="12.75" customHeight="1" x14ac:dyDescent="0.2">
      <c r="A114" s="558"/>
      <c r="B114" s="317" t="s">
        <v>990</v>
      </c>
      <c r="C114" s="412"/>
      <c r="D114" s="554"/>
      <c r="E114" s="105"/>
    </row>
    <row r="115" spans="1:5" x14ac:dyDescent="0.2">
      <c r="A115" s="558"/>
      <c r="B115" s="317" t="s">
        <v>991</v>
      </c>
      <c r="C115" s="412"/>
      <c r="D115" s="553"/>
      <c r="E115" s="105"/>
    </row>
    <row r="116" spans="1:5" x14ac:dyDescent="0.2">
      <c r="A116" s="553">
        <v>60</v>
      </c>
      <c r="B116" s="561" t="s">
        <v>992</v>
      </c>
      <c r="C116" s="412">
        <v>117588578</v>
      </c>
      <c r="D116" s="553"/>
      <c r="E116" s="105"/>
    </row>
    <row r="117" spans="1:5" x14ac:dyDescent="0.2">
      <c r="A117" s="553"/>
      <c r="B117" s="561"/>
      <c r="C117" s="412"/>
      <c r="D117" s="553"/>
      <c r="E117" s="105"/>
    </row>
    <row r="118" spans="1:5" ht="12.75" customHeight="1" thickBot="1" x14ac:dyDescent="0.25">
      <c r="A118" s="549"/>
      <c r="B118" s="524" t="s">
        <v>993</v>
      </c>
      <c r="C118" s="524"/>
      <c r="D118" s="524"/>
      <c r="E118" s="524"/>
    </row>
    <row r="119" spans="1:5" x14ac:dyDescent="0.2">
      <c r="A119" s="553">
        <v>61</v>
      </c>
      <c r="B119" s="561" t="s">
        <v>994</v>
      </c>
      <c r="C119" s="562">
        <f>C54/C116</f>
        <v>0.1207127957615067</v>
      </c>
      <c r="D119" s="554" t="s">
        <v>995</v>
      </c>
      <c r="E119" s="399" t="s">
        <v>819</v>
      </c>
    </row>
    <row r="120" spans="1:5" x14ac:dyDescent="0.2">
      <c r="A120" s="553">
        <v>62</v>
      </c>
      <c r="B120" s="561" t="s">
        <v>996</v>
      </c>
      <c r="C120" s="562">
        <f>C82/C116:D116</f>
        <v>0.12931607183820185</v>
      </c>
      <c r="D120" s="554" t="s">
        <v>997</v>
      </c>
      <c r="E120" s="399" t="s">
        <v>819</v>
      </c>
    </row>
    <row r="121" spans="1:5" x14ac:dyDescent="0.2">
      <c r="A121" s="553">
        <v>63</v>
      </c>
      <c r="B121" s="561" t="s">
        <v>998</v>
      </c>
      <c r="C121" s="562">
        <f>C111/C116</f>
        <v>0.15169799910328025</v>
      </c>
      <c r="D121" s="554" t="s">
        <v>999</v>
      </c>
      <c r="E121" s="399" t="s">
        <v>819</v>
      </c>
    </row>
    <row r="122" spans="1:5" x14ac:dyDescent="0.2">
      <c r="A122" s="553">
        <v>64</v>
      </c>
      <c r="B122" s="556" t="s">
        <v>1000</v>
      </c>
      <c r="C122" s="562">
        <f>0.045+0.025+0.03</f>
        <v>0.1</v>
      </c>
      <c r="D122" s="555" t="s">
        <v>1001</v>
      </c>
      <c r="E122" s="399" t="s">
        <v>819</v>
      </c>
    </row>
    <row r="123" spans="1:5" x14ac:dyDescent="0.2">
      <c r="A123" s="553">
        <v>65</v>
      </c>
      <c r="B123" s="561" t="s">
        <v>1002</v>
      </c>
      <c r="C123" s="562">
        <v>2.5000000000000001E-2</v>
      </c>
      <c r="D123" s="554"/>
      <c r="E123" s="105"/>
    </row>
    <row r="124" spans="1:5" x14ac:dyDescent="0.2">
      <c r="A124" s="553">
        <v>66</v>
      </c>
      <c r="B124" s="561" t="s">
        <v>1003</v>
      </c>
      <c r="C124" s="562"/>
      <c r="D124" s="554"/>
      <c r="E124" s="105"/>
    </row>
    <row r="125" spans="1:5" x14ac:dyDescent="0.2">
      <c r="A125" s="553">
        <v>67</v>
      </c>
      <c r="B125" s="561" t="s">
        <v>1004</v>
      </c>
      <c r="C125" s="562">
        <v>0.03</v>
      </c>
      <c r="D125" s="554"/>
      <c r="E125" s="105"/>
    </row>
    <row r="126" spans="1:5" x14ac:dyDescent="0.2">
      <c r="A126" s="553" t="s">
        <v>1005</v>
      </c>
      <c r="B126" s="561" t="s">
        <v>1006</v>
      </c>
      <c r="C126" s="562">
        <v>0</v>
      </c>
      <c r="D126" s="554" t="s">
        <v>1007</v>
      </c>
      <c r="E126" s="399" t="s">
        <v>819</v>
      </c>
    </row>
    <row r="127" spans="1:5" x14ac:dyDescent="0.2">
      <c r="A127" s="553">
        <v>68</v>
      </c>
      <c r="B127" s="561" t="s">
        <v>1008</v>
      </c>
      <c r="C127" s="562">
        <f>C119-C122</f>
        <v>2.0712795761506697E-2</v>
      </c>
      <c r="D127" s="554" t="s">
        <v>1009</v>
      </c>
      <c r="E127" s="399" t="s">
        <v>819</v>
      </c>
    </row>
    <row r="128" spans="1:5" x14ac:dyDescent="0.2">
      <c r="A128" s="553">
        <v>69</v>
      </c>
      <c r="B128" s="561" t="s">
        <v>1010</v>
      </c>
      <c r="C128" s="105"/>
      <c r="D128" s="554"/>
      <c r="E128" s="105"/>
    </row>
    <row r="129" spans="1:5" x14ac:dyDescent="0.2">
      <c r="A129" s="553">
        <v>70</v>
      </c>
      <c r="B129" s="561" t="s">
        <v>1010</v>
      </c>
      <c r="C129" s="105"/>
      <c r="D129" s="554"/>
      <c r="E129" s="105"/>
    </row>
    <row r="130" spans="1:5" x14ac:dyDescent="0.2">
      <c r="A130" s="553">
        <v>71</v>
      </c>
      <c r="B130" s="561" t="s">
        <v>1010</v>
      </c>
      <c r="C130" s="105"/>
      <c r="D130" s="554"/>
      <c r="E130" s="105"/>
    </row>
    <row r="131" spans="1:5" x14ac:dyDescent="0.2">
      <c r="A131" s="553"/>
      <c r="B131" s="561"/>
      <c r="C131" s="105"/>
      <c r="D131" s="554"/>
      <c r="E131" s="105"/>
    </row>
    <row r="132" spans="1:5" ht="13.5" thickBot="1" x14ac:dyDescent="0.25">
      <c r="A132" s="549"/>
      <c r="B132" s="524" t="s">
        <v>993</v>
      </c>
      <c r="C132" s="524"/>
      <c r="D132" s="524"/>
      <c r="E132" s="524"/>
    </row>
    <row r="133" spans="1:5" ht="25.5" customHeight="1" x14ac:dyDescent="0.2">
      <c r="A133" s="553">
        <v>72</v>
      </c>
      <c r="B133" s="317" t="s">
        <v>1011</v>
      </c>
      <c r="C133" s="563">
        <v>143261</v>
      </c>
      <c r="D133" s="555" t="s">
        <v>1012</v>
      </c>
      <c r="E133" s="554" t="s">
        <v>819</v>
      </c>
    </row>
    <row r="134" spans="1:5" ht="25.5" customHeight="1" x14ac:dyDescent="0.2">
      <c r="A134" s="553">
        <v>73</v>
      </c>
      <c r="B134" s="317" t="s">
        <v>1013</v>
      </c>
      <c r="C134" s="563">
        <v>1456261</v>
      </c>
      <c r="D134" s="555" t="s">
        <v>1014</v>
      </c>
      <c r="E134" s="554" t="s">
        <v>819</v>
      </c>
    </row>
    <row r="135" spans="1:5" x14ac:dyDescent="0.2">
      <c r="A135" s="553">
        <v>74</v>
      </c>
      <c r="B135" s="107" t="s">
        <v>843</v>
      </c>
      <c r="C135" s="107"/>
      <c r="D135" s="399"/>
      <c r="E135" s="105"/>
    </row>
    <row r="136" spans="1:5" ht="12.75" customHeight="1" x14ac:dyDescent="0.2">
      <c r="A136" s="553">
        <v>75</v>
      </c>
      <c r="B136" s="317" t="s">
        <v>1015</v>
      </c>
      <c r="C136" s="107"/>
      <c r="D136" s="326" t="s">
        <v>1016</v>
      </c>
      <c r="E136" s="554" t="s">
        <v>819</v>
      </c>
    </row>
    <row r="137" spans="1:5" x14ac:dyDescent="0.2">
      <c r="A137" s="553"/>
      <c r="B137" s="317"/>
      <c r="C137" s="105"/>
      <c r="D137" s="555"/>
      <c r="E137" s="105"/>
    </row>
    <row r="138" spans="1:5" ht="12.75" customHeight="1" thickBot="1" x14ac:dyDescent="0.25">
      <c r="A138" s="549"/>
      <c r="B138" s="524" t="s">
        <v>1017</v>
      </c>
      <c r="C138" s="618"/>
      <c r="D138" s="524"/>
      <c r="E138" s="524"/>
    </row>
    <row r="139" spans="1:5" x14ac:dyDescent="0.2">
      <c r="A139" s="553">
        <v>76</v>
      </c>
      <c r="B139" s="105" t="s">
        <v>1018</v>
      </c>
      <c r="C139" s="399">
        <v>0</v>
      </c>
      <c r="D139" s="399">
        <v>62</v>
      </c>
      <c r="E139" s="554" t="s">
        <v>819</v>
      </c>
    </row>
    <row r="140" spans="1:5" ht="12.75" customHeight="1" x14ac:dyDescent="0.2">
      <c r="A140" s="553">
        <v>77</v>
      </c>
      <c r="B140" s="317" t="s">
        <v>1019</v>
      </c>
      <c r="C140" s="399"/>
      <c r="D140" s="399">
        <v>62</v>
      </c>
      <c r="E140" s="554" t="s">
        <v>819</v>
      </c>
    </row>
    <row r="141" spans="1:5" x14ac:dyDescent="0.2">
      <c r="A141" s="553">
        <v>78</v>
      </c>
      <c r="B141" s="105" t="s">
        <v>953</v>
      </c>
      <c r="C141" s="399">
        <v>0</v>
      </c>
      <c r="D141" s="399">
        <v>62</v>
      </c>
      <c r="E141" s="554" t="s">
        <v>819</v>
      </c>
    </row>
    <row r="142" spans="1:5" ht="12.75" customHeight="1" x14ac:dyDescent="0.2">
      <c r="A142" s="553">
        <v>79</v>
      </c>
      <c r="B142" s="317" t="s">
        <v>1020</v>
      </c>
      <c r="C142" s="399"/>
      <c r="D142" s="399">
        <v>62</v>
      </c>
      <c r="E142" s="554" t="s">
        <v>819</v>
      </c>
    </row>
    <row r="143" spans="1:5" x14ac:dyDescent="0.2">
      <c r="A143" s="553"/>
      <c r="B143" s="317"/>
      <c r="C143" s="399"/>
      <c r="D143" s="554"/>
      <c r="E143" s="105"/>
    </row>
    <row r="144" spans="1:5" ht="12.75" customHeight="1" thickBot="1" x14ac:dyDescent="0.25">
      <c r="A144" s="549"/>
      <c r="B144" s="524" t="s">
        <v>1021</v>
      </c>
      <c r="C144" s="524"/>
      <c r="D144" s="524"/>
      <c r="E144" s="524"/>
    </row>
    <row r="145" spans="1:5" ht="12.75" customHeight="1" x14ac:dyDescent="0.2">
      <c r="A145" s="553">
        <v>80</v>
      </c>
      <c r="B145" s="317" t="s">
        <v>1022</v>
      </c>
      <c r="C145" s="399"/>
      <c r="D145" s="326" t="s">
        <v>1023</v>
      </c>
      <c r="E145" s="554" t="s">
        <v>819</v>
      </c>
    </row>
    <row r="146" spans="1:5" ht="12.75" customHeight="1" x14ac:dyDescent="0.2">
      <c r="A146" s="553">
        <v>81</v>
      </c>
      <c r="B146" s="317" t="s">
        <v>1024</v>
      </c>
      <c r="C146" s="399">
        <v>0</v>
      </c>
      <c r="D146" s="326" t="s">
        <v>1023</v>
      </c>
      <c r="E146" s="554" t="s">
        <v>819</v>
      </c>
    </row>
    <row r="147" spans="1:5" ht="12.75" customHeight="1" x14ac:dyDescent="0.2">
      <c r="A147" s="553">
        <v>82</v>
      </c>
      <c r="B147" s="317" t="s">
        <v>1025</v>
      </c>
      <c r="C147" s="564">
        <v>1621200</v>
      </c>
      <c r="D147" s="326" t="s">
        <v>1026</v>
      </c>
      <c r="E147" s="554" t="s">
        <v>819</v>
      </c>
    </row>
    <row r="148" spans="1:5" ht="12.75" customHeight="1" x14ac:dyDescent="0.2">
      <c r="A148" s="553">
        <v>83</v>
      </c>
      <c r="B148" s="317" t="s">
        <v>1027</v>
      </c>
      <c r="C148" s="564">
        <v>0</v>
      </c>
      <c r="D148" s="326" t="s">
        <v>1026</v>
      </c>
      <c r="E148" s="554" t="s">
        <v>819</v>
      </c>
    </row>
    <row r="149" spans="1:5" ht="12.75" customHeight="1" x14ac:dyDescent="0.2">
      <c r="A149" s="553">
        <v>84</v>
      </c>
      <c r="B149" s="317" t="s">
        <v>1028</v>
      </c>
      <c r="C149" s="564">
        <v>746000</v>
      </c>
      <c r="D149" s="326" t="s">
        <v>1029</v>
      </c>
      <c r="E149" s="554" t="s">
        <v>819</v>
      </c>
    </row>
    <row r="150" spans="1:5" ht="12.75" customHeight="1" x14ac:dyDescent="0.2">
      <c r="A150" s="553">
        <v>85</v>
      </c>
      <c r="B150" s="317" t="s">
        <v>1030</v>
      </c>
      <c r="C150" s="564">
        <v>0</v>
      </c>
      <c r="D150" s="326" t="s">
        <v>1029</v>
      </c>
      <c r="E150" s="554" t="s">
        <v>819</v>
      </c>
    </row>
    <row r="151" spans="1:5" x14ac:dyDescent="0.2">
      <c r="A151" s="105"/>
      <c r="B151" s="105"/>
      <c r="C151" s="105"/>
      <c r="D151" s="105"/>
      <c r="E151" s="105"/>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election activeCell="A25" sqref="A25"/>
    </sheetView>
  </sheetViews>
  <sheetFormatPr baseColWidth="10" defaultRowHeight="12" x14ac:dyDescent="0.2"/>
  <cols>
    <col min="1" max="1" width="50.5" style="448" customWidth="1"/>
    <col min="2" max="2" width="17.375" style="448" customWidth="1"/>
    <col min="3" max="5" width="17.25" style="448" customWidth="1"/>
    <col min="6" max="6" width="11" style="448"/>
    <col min="7" max="7" width="19" style="448" customWidth="1"/>
    <col min="8" max="8" width="11.875" style="448" customWidth="1"/>
    <col min="9" max="16384" width="11" style="448"/>
  </cols>
  <sheetData>
    <row r="1" spans="1:8" x14ac:dyDescent="0.2">
      <c r="A1" s="565" t="s">
        <v>1189</v>
      </c>
    </row>
    <row r="4" spans="1:8" ht="48.75" customHeight="1" x14ac:dyDescent="0.2">
      <c r="A4" s="528"/>
      <c r="B4" s="619" t="s">
        <v>1269</v>
      </c>
      <c r="C4" s="515" t="s">
        <v>774</v>
      </c>
      <c r="D4" s="515" t="s">
        <v>775</v>
      </c>
      <c r="E4" s="515" t="s">
        <v>776</v>
      </c>
      <c r="F4" s="515" t="s">
        <v>777</v>
      </c>
      <c r="G4" s="619" t="s">
        <v>1270</v>
      </c>
      <c r="H4" s="515" t="s">
        <v>778</v>
      </c>
    </row>
    <row r="5" spans="1:8" ht="12.75" customHeight="1" thickBot="1" x14ac:dyDescent="0.25">
      <c r="A5" s="524" t="s">
        <v>779</v>
      </c>
      <c r="B5" s="519"/>
      <c r="C5" s="519"/>
      <c r="D5" s="519"/>
      <c r="E5" s="519"/>
      <c r="F5" s="519"/>
      <c r="G5" s="525"/>
      <c r="H5" s="519"/>
    </row>
    <row r="6" spans="1:8" ht="12.75" customHeight="1" x14ac:dyDescent="0.2">
      <c r="A6" s="529" t="s">
        <v>780</v>
      </c>
      <c r="B6" s="530">
        <v>2400</v>
      </c>
      <c r="C6" s="530">
        <v>0</v>
      </c>
      <c r="D6" s="530">
        <v>0</v>
      </c>
      <c r="E6" s="530">
        <v>0</v>
      </c>
      <c r="F6" s="530"/>
      <c r="G6" s="531">
        <f>SUM(B6:F6)</f>
        <v>2400</v>
      </c>
      <c r="H6" s="532"/>
    </row>
    <row r="7" spans="1:8" ht="12.75" customHeight="1" x14ac:dyDescent="0.2">
      <c r="A7" s="529" t="s">
        <v>781</v>
      </c>
      <c r="B7" s="530">
        <v>2533</v>
      </c>
      <c r="C7" s="530">
        <v>3171</v>
      </c>
      <c r="D7" s="530">
        <v>144</v>
      </c>
      <c r="E7" s="530">
        <v>70</v>
      </c>
      <c r="F7" s="530"/>
      <c r="G7" s="531">
        <f t="shared" ref="G7:G15" si="0">SUM(B7:F7)</f>
        <v>5918</v>
      </c>
      <c r="H7" s="532"/>
    </row>
    <row r="8" spans="1:8" ht="12.75" customHeight="1" x14ac:dyDescent="0.2">
      <c r="A8" s="529" t="s">
        <v>782</v>
      </c>
      <c r="B8" s="530">
        <v>143937</v>
      </c>
      <c r="C8" s="530">
        <v>35061</v>
      </c>
      <c r="D8" s="530">
        <v>4130</v>
      </c>
      <c r="E8" s="530">
        <v>6658</v>
      </c>
      <c r="F8" s="530"/>
      <c r="G8" s="531">
        <f t="shared" si="0"/>
        <v>189786</v>
      </c>
      <c r="H8" s="532"/>
    </row>
    <row r="9" spans="1:8" ht="12.75" customHeight="1" x14ac:dyDescent="0.2">
      <c r="A9" s="529" t="s">
        <v>783</v>
      </c>
      <c r="B9" s="530">
        <v>14789</v>
      </c>
      <c r="C9" s="530">
        <v>4263</v>
      </c>
      <c r="D9" s="530">
        <v>361</v>
      </c>
      <c r="E9" s="530">
        <v>1790</v>
      </c>
      <c r="F9" s="530"/>
      <c r="G9" s="531">
        <f t="shared" si="0"/>
        <v>21203</v>
      </c>
      <c r="H9" s="532"/>
    </row>
    <row r="10" spans="1:8" ht="12.75" customHeight="1" x14ac:dyDescent="0.2">
      <c r="A10" s="529" t="s">
        <v>784</v>
      </c>
      <c r="B10" s="530">
        <v>5760</v>
      </c>
      <c r="C10" s="530">
        <v>6407</v>
      </c>
      <c r="D10" s="530">
        <v>187.21783199999999</v>
      </c>
      <c r="E10" s="530">
        <v>165</v>
      </c>
      <c r="F10" s="530"/>
      <c r="G10" s="531">
        <f t="shared" si="0"/>
        <v>12519.217832</v>
      </c>
      <c r="H10" s="532"/>
    </row>
    <row r="11" spans="1:8" ht="12.75" customHeight="1" x14ac:dyDescent="0.2">
      <c r="A11" s="529" t="s">
        <v>785</v>
      </c>
      <c r="B11" s="530">
        <v>631</v>
      </c>
      <c r="C11" s="530">
        <v>0</v>
      </c>
      <c r="D11" s="530">
        <v>0</v>
      </c>
      <c r="E11" s="530">
        <v>0</v>
      </c>
      <c r="F11" s="530"/>
      <c r="G11" s="531">
        <f t="shared" si="0"/>
        <v>631</v>
      </c>
      <c r="H11" s="532"/>
    </row>
    <row r="12" spans="1:8" ht="12.75" customHeight="1" x14ac:dyDescent="0.2">
      <c r="A12" s="529" t="s">
        <v>786</v>
      </c>
      <c r="B12" s="530">
        <v>4886</v>
      </c>
      <c r="C12" s="530">
        <v>0</v>
      </c>
      <c r="D12" s="530">
        <v>0</v>
      </c>
      <c r="E12" s="530">
        <v>0</v>
      </c>
      <c r="F12" s="530">
        <v>-3173</v>
      </c>
      <c r="G12" s="531">
        <f t="shared" si="0"/>
        <v>1713</v>
      </c>
      <c r="H12" s="531" t="s">
        <v>787</v>
      </c>
    </row>
    <row r="13" spans="1:8" ht="12.75" customHeight="1" x14ac:dyDescent="0.2">
      <c r="A13" s="529" t="s">
        <v>788</v>
      </c>
      <c r="B13" s="530">
        <v>22</v>
      </c>
      <c r="C13" s="530">
        <v>0</v>
      </c>
      <c r="D13" s="530">
        <v>0</v>
      </c>
      <c r="E13" s="530">
        <v>7.0554708000000002</v>
      </c>
      <c r="F13" s="530"/>
      <c r="G13" s="531">
        <f t="shared" si="0"/>
        <v>29.055470800000002</v>
      </c>
      <c r="H13" s="532"/>
    </row>
    <row r="14" spans="1:8" ht="12.75" customHeight="1" x14ac:dyDescent="0.2">
      <c r="A14" s="529" t="s">
        <v>789</v>
      </c>
      <c r="B14" s="530">
        <v>50</v>
      </c>
      <c r="C14" s="530">
        <v>0.621</v>
      </c>
      <c r="D14" s="530">
        <v>1.044932</v>
      </c>
      <c r="E14" s="530">
        <v>2</v>
      </c>
      <c r="F14" s="530"/>
      <c r="G14" s="531">
        <f t="shared" si="0"/>
        <v>53.665932000000005</v>
      </c>
      <c r="H14" s="532"/>
    </row>
    <row r="15" spans="1:8" ht="12.75" customHeight="1" x14ac:dyDescent="0.2">
      <c r="A15" s="533" t="s">
        <v>790</v>
      </c>
      <c r="B15" s="530">
        <v>1905</v>
      </c>
      <c r="C15" s="530">
        <v>0.33500000000000002</v>
      </c>
      <c r="D15" s="530">
        <v>0</v>
      </c>
      <c r="E15" s="530">
        <v>31</v>
      </c>
      <c r="F15" s="530"/>
      <c r="G15" s="531">
        <f t="shared" si="0"/>
        <v>1936.335</v>
      </c>
      <c r="H15" s="532"/>
    </row>
    <row r="16" spans="1:8" ht="12.75" customHeight="1" x14ac:dyDescent="0.2">
      <c r="A16" s="100" t="s">
        <v>791</v>
      </c>
      <c r="B16" s="534">
        <f>SUM(B6:B14,B15)</f>
        <v>176913</v>
      </c>
      <c r="C16" s="534">
        <f>SUM(C6:C15)</f>
        <v>48902.955999999998</v>
      </c>
      <c r="D16" s="534">
        <f>SUM(D6:D15)</f>
        <v>4823.2627640000001</v>
      </c>
      <c r="E16" s="534">
        <f>SUM(E6:E15)</f>
        <v>8723.0554708</v>
      </c>
      <c r="F16" s="534"/>
      <c r="G16" s="534">
        <f>SUM(G6:G14,G15)</f>
        <v>236189.27423479999</v>
      </c>
      <c r="H16" s="535"/>
    </row>
    <row r="17" spans="1:8" ht="12.75" customHeight="1" x14ac:dyDescent="0.2">
      <c r="A17" s="14"/>
      <c r="B17" s="364"/>
      <c r="C17" s="364"/>
      <c r="D17" s="364"/>
      <c r="E17" s="364"/>
      <c r="F17" s="364"/>
      <c r="G17" s="364"/>
      <c r="H17" s="364"/>
    </row>
    <row r="18" spans="1:8" ht="12.75" customHeight="1" thickBot="1" x14ac:dyDescent="0.25">
      <c r="A18" s="524" t="s">
        <v>792</v>
      </c>
      <c r="B18" s="519"/>
      <c r="C18" s="519"/>
      <c r="D18" s="519"/>
      <c r="E18" s="519"/>
      <c r="F18" s="519"/>
      <c r="G18" s="525"/>
      <c r="H18" s="519"/>
    </row>
    <row r="19" spans="1:8" ht="12.75" customHeight="1" x14ac:dyDescent="0.2">
      <c r="A19" s="529" t="s">
        <v>793</v>
      </c>
      <c r="B19" s="530">
        <v>4803</v>
      </c>
      <c r="C19" s="530">
        <v>0</v>
      </c>
      <c r="D19" s="530">
        <v>37</v>
      </c>
      <c r="E19" s="530">
        <v>126</v>
      </c>
      <c r="F19" s="530"/>
      <c r="G19" s="531">
        <f>SUM(B19:F19)</f>
        <v>4966</v>
      </c>
      <c r="H19" s="532"/>
    </row>
    <row r="20" spans="1:8" ht="12.75" customHeight="1" x14ac:dyDescent="0.2">
      <c r="A20" s="529" t="s">
        <v>794</v>
      </c>
      <c r="B20" s="530">
        <v>85984</v>
      </c>
      <c r="C20" s="530">
        <v>0</v>
      </c>
      <c r="D20" s="530">
        <v>0</v>
      </c>
      <c r="E20" s="530">
        <v>3561</v>
      </c>
      <c r="F20" s="530"/>
      <c r="G20" s="531">
        <f t="shared" ref="G20:G29" si="1">SUM(B20:F20)</f>
        <v>89545</v>
      </c>
      <c r="H20" s="532"/>
    </row>
    <row r="21" spans="1:8" ht="12.75" customHeight="1" x14ac:dyDescent="0.2">
      <c r="A21" s="529" t="s">
        <v>795</v>
      </c>
      <c r="B21" s="530">
        <v>60198</v>
      </c>
      <c r="C21" s="530">
        <v>40867</v>
      </c>
      <c r="D21" s="530">
        <v>4096</v>
      </c>
      <c r="E21" s="530">
        <v>3579</v>
      </c>
      <c r="F21" s="530"/>
      <c r="G21" s="531">
        <f t="shared" si="1"/>
        <v>108740</v>
      </c>
      <c r="H21" s="532"/>
    </row>
    <row r="22" spans="1:8" ht="12.75" customHeight="1" x14ac:dyDescent="0.2">
      <c r="A22" s="529" t="s">
        <v>784</v>
      </c>
      <c r="B22" s="530">
        <v>3916</v>
      </c>
      <c r="C22" s="530">
        <v>5645</v>
      </c>
      <c r="D22" s="530">
        <v>0</v>
      </c>
      <c r="E22" s="530">
        <v>122</v>
      </c>
      <c r="F22" s="530"/>
      <c r="G22" s="531">
        <f t="shared" si="1"/>
        <v>9683</v>
      </c>
      <c r="H22" s="532"/>
    </row>
    <row r="23" spans="1:8" ht="12.75" customHeight="1" x14ac:dyDescent="0.2">
      <c r="A23" s="529" t="s">
        <v>796</v>
      </c>
      <c r="B23" s="105">
        <v>829</v>
      </c>
      <c r="C23" s="530">
        <v>50</v>
      </c>
      <c r="D23" s="536">
        <v>10</v>
      </c>
      <c r="E23" s="105">
        <v>0</v>
      </c>
      <c r="F23" s="105"/>
      <c r="G23" s="531">
        <f t="shared" si="1"/>
        <v>889</v>
      </c>
      <c r="H23" s="107"/>
    </row>
    <row r="24" spans="1:8" ht="13.5" customHeight="1" x14ac:dyDescent="0.2">
      <c r="A24" s="529" t="s">
        <v>797</v>
      </c>
      <c r="B24" s="530">
        <f>3093-829</f>
        <v>2264</v>
      </c>
      <c r="C24" s="530">
        <v>60</v>
      </c>
      <c r="D24" s="530">
        <v>13</v>
      </c>
      <c r="E24" s="530">
        <v>64</v>
      </c>
      <c r="F24" s="530"/>
      <c r="G24" s="531">
        <f t="shared" si="1"/>
        <v>2401</v>
      </c>
      <c r="H24" s="532"/>
    </row>
    <row r="25" spans="1:8" ht="12.75" customHeight="1" x14ac:dyDescent="0.2">
      <c r="A25" s="529" t="s">
        <v>798</v>
      </c>
      <c r="B25" s="530">
        <v>2975</v>
      </c>
      <c r="C25" s="530">
        <v>418.0166418</v>
      </c>
      <c r="D25" s="530">
        <v>139.96701999999999</v>
      </c>
      <c r="E25" s="530">
        <v>379</v>
      </c>
      <c r="F25" s="530"/>
      <c r="G25" s="531">
        <f t="shared" si="1"/>
        <v>3911.9836617999999</v>
      </c>
      <c r="H25" s="532"/>
    </row>
    <row r="26" spans="1:8" ht="12.75" customHeight="1" x14ac:dyDescent="0.2">
      <c r="A26" s="537" t="s">
        <v>799</v>
      </c>
      <c r="B26" s="620">
        <v>794</v>
      </c>
      <c r="C26" s="620">
        <v>75</v>
      </c>
      <c r="D26" s="620">
        <v>47</v>
      </c>
      <c r="E26" s="620">
        <v>96</v>
      </c>
      <c r="F26" s="620"/>
      <c r="G26" s="531">
        <f t="shared" si="1"/>
        <v>1012</v>
      </c>
      <c r="H26" s="532"/>
    </row>
    <row r="27" spans="1:8" ht="12.75" customHeight="1" x14ac:dyDescent="0.2">
      <c r="A27" s="537" t="s">
        <v>800</v>
      </c>
      <c r="B27" s="620">
        <v>2069</v>
      </c>
      <c r="C27" s="620">
        <v>342</v>
      </c>
      <c r="D27" s="620">
        <v>93</v>
      </c>
      <c r="E27" s="620">
        <v>193</v>
      </c>
      <c r="F27" s="620"/>
      <c r="G27" s="531">
        <f t="shared" si="1"/>
        <v>2697</v>
      </c>
      <c r="H27" s="532"/>
    </row>
    <row r="28" spans="1:8" ht="12.75" customHeight="1" x14ac:dyDescent="0.2">
      <c r="A28" s="537" t="s">
        <v>801</v>
      </c>
      <c r="B28" s="620">
        <v>-5</v>
      </c>
      <c r="C28" s="620"/>
      <c r="D28" s="620"/>
      <c r="E28" s="620"/>
      <c r="F28" s="620"/>
      <c r="G28" s="531">
        <f t="shared" si="1"/>
        <v>-5</v>
      </c>
      <c r="H28" s="538"/>
    </row>
    <row r="29" spans="1:8" ht="12.75" customHeight="1" x14ac:dyDescent="0.2">
      <c r="A29" s="537" t="s">
        <v>802</v>
      </c>
      <c r="B29" s="620"/>
      <c r="C29" s="620"/>
      <c r="D29" s="620"/>
      <c r="E29" s="620"/>
      <c r="F29" s="620"/>
      <c r="G29" s="531">
        <f t="shared" si="1"/>
        <v>0</v>
      </c>
      <c r="H29" s="538"/>
    </row>
    <row r="30" spans="1:8" ht="12.75" customHeight="1" x14ac:dyDescent="0.2">
      <c r="A30" s="100" t="s">
        <v>803</v>
      </c>
      <c r="B30" s="534">
        <f>SUM(B19:B25)</f>
        <v>160969</v>
      </c>
      <c r="C30" s="534">
        <f t="shared" ref="C30:E30" si="2">SUM(C19:C25)</f>
        <v>47040.016641800001</v>
      </c>
      <c r="D30" s="534">
        <f t="shared" si="2"/>
        <v>4295.96702</v>
      </c>
      <c r="E30" s="534">
        <f t="shared" si="2"/>
        <v>7831</v>
      </c>
      <c r="F30" s="534"/>
      <c r="G30" s="534">
        <f>SUM(G19:G25)</f>
        <v>220135.98366180001</v>
      </c>
      <c r="H30" s="535"/>
    </row>
    <row r="31" spans="1:8" ht="12.75" customHeight="1" x14ac:dyDescent="0.2">
      <c r="A31" s="14"/>
      <c r="B31" s="364"/>
      <c r="C31" s="364"/>
      <c r="D31" s="364"/>
      <c r="E31" s="364"/>
      <c r="F31" s="364"/>
      <c r="G31" s="364"/>
      <c r="H31" s="364"/>
    </row>
    <row r="32" spans="1:8" ht="12.75" customHeight="1" thickBot="1" x14ac:dyDescent="0.25">
      <c r="A32" s="524" t="s">
        <v>804</v>
      </c>
      <c r="B32" s="519"/>
      <c r="C32" s="519"/>
      <c r="D32" s="519"/>
      <c r="E32" s="519"/>
      <c r="F32" s="519"/>
      <c r="G32" s="525"/>
      <c r="H32" s="519"/>
    </row>
    <row r="33" spans="1:8" ht="12.75" customHeight="1" x14ac:dyDescent="0.2">
      <c r="A33" s="529" t="s">
        <v>805</v>
      </c>
      <c r="B33" s="530">
        <f>6394+1587</f>
        <v>7981</v>
      </c>
      <c r="C33" s="539">
        <v>1768.6257330000001</v>
      </c>
      <c r="D33" s="539">
        <v>489.1</v>
      </c>
      <c r="E33" s="539">
        <v>170.45469682499998</v>
      </c>
      <c r="F33" s="539">
        <v>-2428</v>
      </c>
      <c r="G33" s="539">
        <f t="shared" ref="G33:G37" si="3">SUM(B33:F33)</f>
        <v>7981.1804298250008</v>
      </c>
      <c r="H33" s="539" t="s">
        <v>1265</v>
      </c>
    </row>
    <row r="34" spans="1:8" ht="12.75" customHeight="1" x14ac:dyDescent="0.2">
      <c r="A34" s="529" t="s">
        <v>806</v>
      </c>
      <c r="B34" s="530">
        <v>59</v>
      </c>
      <c r="C34" s="539">
        <v>0</v>
      </c>
      <c r="D34" s="539">
        <v>0</v>
      </c>
      <c r="E34" s="539">
        <v>0</v>
      </c>
      <c r="F34" s="539">
        <v>0</v>
      </c>
      <c r="G34" s="539">
        <f t="shared" si="3"/>
        <v>59</v>
      </c>
      <c r="H34" s="540"/>
    </row>
    <row r="35" spans="1:8" ht="12.75" customHeight="1" x14ac:dyDescent="0.2">
      <c r="A35" s="529" t="s">
        <v>807</v>
      </c>
      <c r="B35" s="530">
        <v>512</v>
      </c>
      <c r="C35" s="539">
        <v>44.201999999999998</v>
      </c>
      <c r="D35" s="539">
        <v>31.693999999999999</v>
      </c>
      <c r="E35" s="539">
        <v>63.756</v>
      </c>
      <c r="F35" s="539">
        <v>-31</v>
      </c>
      <c r="G35" s="539">
        <f t="shared" si="3"/>
        <v>620.65199999999993</v>
      </c>
      <c r="H35" s="539" t="s">
        <v>366</v>
      </c>
    </row>
    <row r="36" spans="1:8" ht="12.75" customHeight="1" x14ac:dyDescent="0.2">
      <c r="A36" s="529" t="s">
        <v>808</v>
      </c>
      <c r="B36" s="530">
        <f>6896</f>
        <v>6896</v>
      </c>
      <c r="C36" s="539">
        <v>0</v>
      </c>
      <c r="D36" s="539">
        <v>0</v>
      </c>
      <c r="E36" s="539">
        <v>645</v>
      </c>
      <c r="F36" s="539">
        <v>-645</v>
      </c>
      <c r="G36" s="539">
        <f t="shared" si="3"/>
        <v>6896</v>
      </c>
      <c r="H36" s="539"/>
    </row>
    <row r="37" spans="1:8" s="608" customFormat="1" ht="12.75" customHeight="1" x14ac:dyDescent="0.2">
      <c r="A37" s="529" t="s">
        <v>1264</v>
      </c>
      <c r="B37" s="530">
        <v>496</v>
      </c>
      <c r="C37" s="539">
        <v>50</v>
      </c>
      <c r="D37" s="539">
        <v>6</v>
      </c>
      <c r="E37" s="539">
        <v>13</v>
      </c>
      <c r="F37" s="539">
        <v>-69</v>
      </c>
      <c r="G37" s="539">
        <f t="shared" si="3"/>
        <v>496</v>
      </c>
      <c r="H37" s="539" t="s">
        <v>1265</v>
      </c>
    </row>
    <row r="38" spans="1:8" ht="12.75" customHeight="1" x14ac:dyDescent="0.2">
      <c r="A38" s="100" t="s">
        <v>809</v>
      </c>
      <c r="B38" s="534">
        <f>SUM(B33:B37)</f>
        <v>15944</v>
      </c>
      <c r="C38" s="534">
        <f t="shared" ref="C38:E38" si="4">SUM(C33:C37)</f>
        <v>1862.8277330000001</v>
      </c>
      <c r="D38" s="534">
        <f t="shared" si="4"/>
        <v>526.79399999999998</v>
      </c>
      <c r="E38" s="534">
        <f t="shared" si="4"/>
        <v>892.21069682500001</v>
      </c>
      <c r="F38" s="534"/>
      <c r="G38" s="534">
        <f>SUM(G33:G37)</f>
        <v>16052.832429825001</v>
      </c>
      <c r="H38" s="541"/>
    </row>
    <row r="39" spans="1:8" ht="12.75" customHeight="1" x14ac:dyDescent="0.2">
      <c r="A39" s="542"/>
      <c r="B39" s="543"/>
      <c r="C39" s="543"/>
      <c r="D39" s="543"/>
      <c r="E39" s="543"/>
      <c r="F39" s="543"/>
      <c r="G39" s="543"/>
      <c r="H39" s="544"/>
    </row>
    <row r="40" spans="1:8" ht="12.75" customHeight="1" thickBot="1" x14ac:dyDescent="0.25">
      <c r="A40" s="524" t="s">
        <v>810</v>
      </c>
      <c r="B40" s="545">
        <f>B30+B38</f>
        <v>176913</v>
      </c>
      <c r="C40" s="546">
        <f>C30+C38</f>
        <v>48902.844374799999</v>
      </c>
      <c r="D40" s="546">
        <f>D30+D38</f>
        <v>4822.7610199999999</v>
      </c>
      <c r="E40" s="546">
        <f>E30+E38</f>
        <v>8723.2106968250009</v>
      </c>
      <c r="F40" s="546"/>
      <c r="G40" s="546">
        <f>G30+G38</f>
        <v>236188.81609162502</v>
      </c>
      <c r="H40" s="547"/>
    </row>
    <row r="41" spans="1:8" x14ac:dyDescent="0.2">
      <c r="G41" s="548"/>
    </row>
    <row r="43" spans="1:8" x14ac:dyDescent="0.2">
      <c r="A43" s="448" t="s">
        <v>811</v>
      </c>
    </row>
    <row r="44" spans="1:8" x14ac:dyDescent="0.2">
      <c r="A44" s="607" t="s">
        <v>1266</v>
      </c>
    </row>
  </sheetData>
  <pageMargins left="0.7" right="0.7" top="0.75" bottom="0.75" header="0.3" footer="0.3"/>
  <pageSetup paperSize="9" scale="72" fitToHeight="0" orientation="landscape" r:id="rId1"/>
  <ignoredErrors>
    <ignoredError sqref="C30: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C4" sqref="C4"/>
    </sheetView>
  </sheetViews>
  <sheetFormatPr baseColWidth="10" defaultRowHeight="12" x14ac:dyDescent="0.2"/>
  <cols>
    <col min="1" max="1" width="95.25" style="448" customWidth="1"/>
    <col min="2" max="2" width="11.25" style="448" bestFit="1" customWidth="1"/>
    <col min="3" max="16384" width="11" style="448"/>
  </cols>
  <sheetData>
    <row r="1" spans="1:3" x14ac:dyDescent="0.2">
      <c r="A1" s="590" t="s">
        <v>1190</v>
      </c>
    </row>
    <row r="3" spans="1:3" ht="12.75" thickBot="1" x14ac:dyDescent="0.25">
      <c r="A3" s="519"/>
      <c r="B3" s="487">
        <v>42094</v>
      </c>
      <c r="C3" s="488">
        <v>42004</v>
      </c>
    </row>
    <row r="4" spans="1:3" x14ac:dyDescent="0.2">
      <c r="A4" s="514" t="s">
        <v>753</v>
      </c>
      <c r="B4" s="621"/>
      <c r="C4" s="621"/>
    </row>
    <row r="5" spans="1:3" x14ac:dyDescent="0.2">
      <c r="A5" s="514" t="s">
        <v>754</v>
      </c>
      <c r="B5" s="621"/>
      <c r="C5" s="621"/>
    </row>
    <row r="6" spans="1:3" x14ac:dyDescent="0.2">
      <c r="A6" s="514" t="s">
        <v>755</v>
      </c>
      <c r="B6" s="520">
        <v>3371982</v>
      </c>
      <c r="C6" s="520">
        <v>2848765</v>
      </c>
    </row>
    <row r="7" spans="1:3" x14ac:dyDescent="0.2">
      <c r="A7" s="514" t="s">
        <v>756</v>
      </c>
      <c r="B7" s="520">
        <v>2602805</v>
      </c>
      <c r="C7" s="520">
        <v>1762034</v>
      </c>
    </row>
    <row r="8" spans="1:3" x14ac:dyDescent="0.2">
      <c r="A8" s="514" t="s">
        <v>757</v>
      </c>
      <c r="B8" s="621"/>
      <c r="C8" s="621"/>
    </row>
    <row r="9" spans="1:3" ht="12.75" customHeight="1" x14ac:dyDescent="0.2">
      <c r="A9" s="514" t="s">
        <v>758</v>
      </c>
      <c r="B9" s="520">
        <v>889513</v>
      </c>
      <c r="C9" s="520">
        <v>952554.9</v>
      </c>
    </row>
    <row r="10" spans="1:3" x14ac:dyDescent="0.2">
      <c r="A10" s="514" t="s">
        <v>759</v>
      </c>
      <c r="B10" s="520">
        <v>2745</v>
      </c>
      <c r="C10" s="520">
        <v>3308.6000000000004</v>
      </c>
    </row>
    <row r="11" spans="1:3" ht="12.75" customHeight="1" x14ac:dyDescent="0.2">
      <c r="A11" s="514" t="s">
        <v>760</v>
      </c>
      <c r="B11" s="520">
        <v>9348053</v>
      </c>
      <c r="C11" s="520">
        <v>9020226</v>
      </c>
    </row>
    <row r="12" spans="1:3" x14ac:dyDescent="0.2">
      <c r="A12" s="514" t="s">
        <v>761</v>
      </c>
      <c r="B12" s="520">
        <v>8193416</v>
      </c>
      <c r="C12" s="520">
        <v>8068818</v>
      </c>
    </row>
    <row r="13" spans="1:3" x14ac:dyDescent="0.2">
      <c r="A13" s="514" t="s">
        <v>762</v>
      </c>
      <c r="B13" s="521">
        <v>224527356</v>
      </c>
      <c r="C13" s="521">
        <v>221081392</v>
      </c>
    </row>
    <row r="14" spans="1:3" x14ac:dyDescent="0.2">
      <c r="A14" s="522"/>
      <c r="B14" s="523"/>
      <c r="C14" s="523"/>
    </row>
    <row r="15" spans="1:3" ht="12.75" thickBot="1" x14ac:dyDescent="0.25">
      <c r="A15" s="524" t="s">
        <v>763</v>
      </c>
      <c r="B15" s="622"/>
      <c r="C15" s="622"/>
    </row>
    <row r="16" spans="1:3" x14ac:dyDescent="0.2">
      <c r="A16" s="514" t="s">
        <v>764</v>
      </c>
      <c r="B16" s="520">
        <v>15206093</v>
      </c>
      <c r="C16" s="520">
        <v>14828222</v>
      </c>
    </row>
    <row r="17" spans="1:3" x14ac:dyDescent="0.2">
      <c r="A17" s="514" t="s">
        <v>765</v>
      </c>
      <c r="B17" s="520">
        <v>15206093</v>
      </c>
      <c r="C17" s="520">
        <v>14828222</v>
      </c>
    </row>
    <row r="18" spans="1:3" x14ac:dyDescent="0.2">
      <c r="A18" s="514" t="s">
        <v>766</v>
      </c>
      <c r="B18" s="520">
        <v>0</v>
      </c>
      <c r="C18" s="520">
        <v>0</v>
      </c>
    </row>
    <row r="19" spans="1:3" x14ac:dyDescent="0.2">
      <c r="A19" s="514" t="s">
        <v>767</v>
      </c>
      <c r="B19" s="520">
        <v>0</v>
      </c>
      <c r="C19" s="520">
        <v>0</v>
      </c>
    </row>
    <row r="20" spans="1:3" x14ac:dyDescent="0.2">
      <c r="A20" s="526" t="s">
        <v>768</v>
      </c>
      <c r="B20" s="520">
        <f>-995544-7236</f>
        <v>-1002780</v>
      </c>
      <c r="C20" s="520">
        <v>-1074668</v>
      </c>
    </row>
    <row r="21" spans="1:3" x14ac:dyDescent="0.2">
      <c r="A21" s="514" t="s">
        <v>769</v>
      </c>
      <c r="B21" s="520">
        <v>0</v>
      </c>
      <c r="C21" s="520">
        <v>0</v>
      </c>
    </row>
    <row r="22" spans="1:3" x14ac:dyDescent="0.2">
      <c r="A22" s="514" t="s">
        <v>770</v>
      </c>
      <c r="B22" s="520">
        <f>-995544-7236</f>
        <v>-1002780</v>
      </c>
      <c r="C22" s="520">
        <v>-1074668</v>
      </c>
    </row>
    <row r="23" spans="1:3" x14ac:dyDescent="0.2">
      <c r="A23" s="522"/>
      <c r="B23" s="623"/>
      <c r="C23" s="623"/>
    </row>
    <row r="24" spans="1:3" ht="12.75" thickBot="1" x14ac:dyDescent="0.25">
      <c r="A24" s="524" t="s">
        <v>771</v>
      </c>
      <c r="B24" s="622"/>
      <c r="C24" s="622"/>
    </row>
    <row r="25" spans="1:3" x14ac:dyDescent="0.2">
      <c r="A25" s="514" t="s">
        <v>772</v>
      </c>
      <c r="B25" s="527">
        <v>6.13E-2</v>
      </c>
      <c r="C25" s="527">
        <v>6.1106377157134753E-2</v>
      </c>
    </row>
    <row r="26" spans="1:3" ht="12.75" customHeight="1" x14ac:dyDescent="0.2">
      <c r="A26" s="514" t="s">
        <v>773</v>
      </c>
      <c r="B26" s="527">
        <v>6.13E-2</v>
      </c>
      <c r="C26" s="527">
        <v>6.1106377157134753E-2</v>
      </c>
    </row>
  </sheetData>
  <conditionalFormatting sqref="B4:B5 B14 B8 B25:B26">
    <cfRule type="cellIs" dxfId="3" priority="4" operator="lessThan">
      <formula>0</formula>
    </cfRule>
  </conditionalFormatting>
  <conditionalFormatting sqref="B23">
    <cfRule type="cellIs" dxfId="2" priority="3" operator="lessThan">
      <formula>B21</formula>
    </cfRule>
  </conditionalFormatting>
  <conditionalFormatting sqref="C4:C5 C14 C8 C25:C26">
    <cfRule type="cellIs" dxfId="1" priority="2" operator="lessThan">
      <formula>0</formula>
    </cfRule>
  </conditionalFormatting>
  <conditionalFormatting sqref="C23">
    <cfRule type="cellIs" dxfId="0" priority="1" operator="lessThan">
      <formula>C21</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E5" sqref="E5"/>
    </sheetView>
  </sheetViews>
  <sheetFormatPr baseColWidth="10" defaultColWidth="11" defaultRowHeight="12" x14ac:dyDescent="0.2"/>
  <cols>
    <col min="1" max="1" width="26" style="17" customWidth="1"/>
    <col min="2" max="2" width="11.25" style="393" customWidth="1"/>
    <col min="3" max="3" width="11.25" style="17" customWidth="1"/>
    <col min="4" max="4" width="11.25" style="393" customWidth="1"/>
    <col min="5" max="5" width="11.25" style="17" customWidth="1"/>
    <col min="6" max="6" width="16.375" style="17" customWidth="1"/>
    <col min="7" max="16384" width="11" style="17"/>
  </cols>
  <sheetData>
    <row r="1" spans="1:7" x14ac:dyDescent="0.2">
      <c r="A1" s="495" t="s">
        <v>1184</v>
      </c>
      <c r="B1" s="90"/>
    </row>
    <row r="3" spans="1:7" x14ac:dyDescent="0.2">
      <c r="A3" s="15"/>
      <c r="B3" s="113" t="s">
        <v>4</v>
      </c>
      <c r="C3" s="113" t="s">
        <v>5</v>
      </c>
      <c r="D3" s="114" t="s">
        <v>6</v>
      </c>
      <c r="E3" s="114" t="s">
        <v>7</v>
      </c>
      <c r="F3" s="15"/>
      <c r="G3" s="15"/>
    </row>
    <row r="4" spans="1:7" ht="12.75" thickBot="1" x14ac:dyDescent="0.25">
      <c r="A4" s="454" t="s">
        <v>8</v>
      </c>
      <c r="B4" s="485" t="s">
        <v>1234</v>
      </c>
      <c r="C4" s="485" t="s">
        <v>1234</v>
      </c>
      <c r="D4" s="486" t="s">
        <v>9</v>
      </c>
      <c r="E4" s="486" t="s">
        <v>9</v>
      </c>
      <c r="F4" s="75"/>
    </row>
    <row r="5" spans="1:7" s="393" customFormat="1" x14ac:dyDescent="0.2">
      <c r="A5" s="106" t="s">
        <v>10</v>
      </c>
      <c r="B5" s="432">
        <v>0.19500000000000001</v>
      </c>
      <c r="C5" s="336">
        <v>1589</v>
      </c>
      <c r="D5" s="432">
        <v>0.19500000000000001</v>
      </c>
      <c r="E5" s="336">
        <v>1505</v>
      </c>
      <c r="F5" s="75"/>
    </row>
    <row r="6" spans="1:7" x14ac:dyDescent="0.2">
      <c r="A6" s="79" t="s">
        <v>11</v>
      </c>
      <c r="B6" s="433">
        <v>1</v>
      </c>
      <c r="C6" s="87">
        <v>35</v>
      </c>
      <c r="D6" s="433">
        <v>1</v>
      </c>
      <c r="E6" s="87">
        <v>35</v>
      </c>
      <c r="F6" s="97"/>
      <c r="G6" s="115"/>
    </row>
    <row r="7" spans="1:7" x14ac:dyDescent="0.2">
      <c r="A7" s="17" t="s">
        <v>12</v>
      </c>
      <c r="B7" s="171">
        <v>4.8000000000000001E-2</v>
      </c>
      <c r="C7" s="85">
        <v>140</v>
      </c>
      <c r="D7" s="171">
        <v>4.8000000000000001E-2</v>
      </c>
      <c r="E7" s="85">
        <v>137</v>
      </c>
      <c r="F7" s="97"/>
      <c r="G7" s="115"/>
    </row>
    <row r="8" spans="1:7" s="319" customFormat="1" x14ac:dyDescent="0.2">
      <c r="A8" s="79" t="s">
        <v>13</v>
      </c>
      <c r="B8" s="433">
        <v>0.13900000000000001</v>
      </c>
      <c r="C8" s="87">
        <v>98</v>
      </c>
      <c r="D8" s="433">
        <v>0.13900000000000001</v>
      </c>
      <c r="E8" s="87">
        <v>102</v>
      </c>
      <c r="F8" s="97"/>
      <c r="G8" s="115"/>
    </row>
    <row r="9" spans="1:7" s="391" customFormat="1" x14ac:dyDescent="0.2">
      <c r="A9" s="392" t="s">
        <v>14</v>
      </c>
      <c r="B9" s="433">
        <v>0.17899999999999999</v>
      </c>
      <c r="C9" s="87">
        <v>163</v>
      </c>
      <c r="D9" s="433">
        <v>0.17899999999999999</v>
      </c>
      <c r="E9" s="87">
        <v>158</v>
      </c>
      <c r="F9" s="97"/>
      <c r="G9" s="115"/>
    </row>
    <row r="10" spans="1:7" x14ac:dyDescent="0.2">
      <c r="A10" s="453" t="s">
        <v>15</v>
      </c>
      <c r="B10" s="517"/>
      <c r="C10" s="336">
        <v>3</v>
      </c>
      <c r="D10" s="517"/>
      <c r="E10" s="336">
        <v>29</v>
      </c>
      <c r="F10" s="97"/>
      <c r="G10" s="115"/>
    </row>
    <row r="11" spans="1:7" x14ac:dyDescent="0.2">
      <c r="A11" s="116" t="s">
        <v>16</v>
      </c>
      <c r="B11" s="116"/>
      <c r="C11" s="101">
        <f>SUM(C5:C10)</f>
        <v>2028</v>
      </c>
      <c r="D11" s="101"/>
      <c r="E11" s="400">
        <f>SUM(E5:E10)</f>
        <v>1966</v>
      </c>
      <c r="F11" s="75"/>
      <c r="G11" s="115"/>
    </row>
    <row r="13" spans="1:7" x14ac:dyDescent="0.2">
      <c r="A13" s="596" t="s">
        <v>1211</v>
      </c>
    </row>
    <row r="14" spans="1:7" x14ac:dyDescent="0.2">
      <c r="A14" s="596" t="s">
        <v>1212</v>
      </c>
    </row>
    <row r="15" spans="1:7" x14ac:dyDescent="0.2">
      <c r="A15" s="596" t="s">
        <v>1185</v>
      </c>
    </row>
    <row r="16" spans="1:7" x14ac:dyDescent="0.2">
      <c r="A16" s="596" t="s">
        <v>1213</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ignoredErrors>
    <ignoredError sqref="E11 C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2"/>
  <sheetViews>
    <sheetView showGridLines="0" zoomScaleNormal="100" workbookViewId="0">
      <selection activeCell="B1" sqref="B1"/>
    </sheetView>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5" ht="14.25" customHeight="1" x14ac:dyDescent="0.2">
      <c r="A1" s="30" t="s">
        <v>17</v>
      </c>
    </row>
    <row r="2" spans="1:5" s="393" customFormat="1" x14ac:dyDescent="0.2">
      <c r="A2" s="597" t="s">
        <v>1186</v>
      </c>
    </row>
    <row r="3" spans="1:5" s="393" customFormat="1" x14ac:dyDescent="0.2">
      <c r="A3" s="31" t="s">
        <v>1168</v>
      </c>
    </row>
    <row r="6" spans="1:5" ht="12.75" thickBot="1" x14ac:dyDescent="0.25">
      <c r="A6" s="1" t="s">
        <v>18</v>
      </c>
      <c r="B6" s="487">
        <v>42094</v>
      </c>
      <c r="C6" s="488">
        <v>42004</v>
      </c>
    </row>
    <row r="7" spans="1:5" x14ac:dyDescent="0.2">
      <c r="A7" s="2" t="s">
        <v>19</v>
      </c>
      <c r="B7" s="3">
        <v>6394</v>
      </c>
      <c r="C7" s="4">
        <v>6394</v>
      </c>
    </row>
    <row r="8" spans="1:5" x14ac:dyDescent="0.2">
      <c r="A8" s="2" t="s">
        <v>20</v>
      </c>
      <c r="B8" s="3">
        <v>1587</v>
      </c>
      <c r="C8" s="4">
        <v>1587</v>
      </c>
    </row>
    <row r="9" spans="1:5" x14ac:dyDescent="0.2">
      <c r="A9" s="2" t="s">
        <v>21</v>
      </c>
      <c r="B9" s="3">
        <v>512</v>
      </c>
      <c r="C9" s="4">
        <v>512</v>
      </c>
    </row>
    <row r="10" spans="1:5" x14ac:dyDescent="0.2">
      <c r="A10" s="2" t="s">
        <v>22</v>
      </c>
      <c r="B10" s="3">
        <v>59</v>
      </c>
      <c r="C10" s="4">
        <v>59</v>
      </c>
    </row>
    <row r="11" spans="1:5" x14ac:dyDescent="0.2">
      <c r="A11" s="5" t="s">
        <v>23</v>
      </c>
      <c r="B11" s="3">
        <v>6896</v>
      </c>
      <c r="C11" s="4">
        <v>6851</v>
      </c>
    </row>
    <row r="12" spans="1:5" s="393" customFormat="1" x14ac:dyDescent="0.2">
      <c r="A12" s="5" t="s">
        <v>1235</v>
      </c>
      <c r="B12" s="3">
        <v>496</v>
      </c>
      <c r="C12" s="4"/>
    </row>
    <row r="13" spans="1:5" x14ac:dyDescent="0.2">
      <c r="A13" s="6" t="s">
        <v>24</v>
      </c>
      <c r="B13" s="7">
        <f>SUM(B7:B12)</f>
        <v>15944</v>
      </c>
      <c r="C13" s="8">
        <f>SUM(C7:C12)</f>
        <v>15403</v>
      </c>
    </row>
    <row r="14" spans="1:5" x14ac:dyDescent="0.2">
      <c r="A14" s="2"/>
      <c r="B14" s="3"/>
      <c r="C14" s="4"/>
    </row>
    <row r="15" spans="1:5" x14ac:dyDescent="0.2">
      <c r="A15" s="9" t="s">
        <v>25</v>
      </c>
      <c r="B15" s="3"/>
      <c r="C15" s="4"/>
      <c r="E15" s="9"/>
    </row>
    <row r="16" spans="1:5" x14ac:dyDescent="0.2">
      <c r="A16" s="2" t="s">
        <v>26</v>
      </c>
      <c r="B16" s="3">
        <v>-55</v>
      </c>
      <c r="C16" s="4">
        <v>-24</v>
      </c>
      <c r="E16" s="2"/>
    </row>
    <row r="17" spans="1:5" x14ac:dyDescent="0.2">
      <c r="A17" s="2" t="s">
        <v>27</v>
      </c>
      <c r="B17" s="3">
        <v>0</v>
      </c>
      <c r="C17" s="4">
        <v>0</v>
      </c>
      <c r="E17" s="2"/>
    </row>
    <row r="18" spans="1:5" x14ac:dyDescent="0.2">
      <c r="A18" s="2" t="s">
        <v>28</v>
      </c>
      <c r="B18" s="3">
        <v>-512</v>
      </c>
      <c r="C18" s="4">
        <v>-512</v>
      </c>
      <c r="E18" s="2"/>
    </row>
    <row r="19" spans="1:5" x14ac:dyDescent="0.2">
      <c r="A19" s="489" t="s">
        <v>1236</v>
      </c>
      <c r="B19" s="3">
        <v>-519</v>
      </c>
      <c r="C19" s="4">
        <v>-676</v>
      </c>
      <c r="E19" s="2"/>
    </row>
    <row r="20" spans="1:5" x14ac:dyDescent="0.2">
      <c r="A20" s="17" t="s">
        <v>1237</v>
      </c>
      <c r="B20" s="3">
        <v>-248</v>
      </c>
      <c r="C20" s="4"/>
      <c r="E20" s="2"/>
    </row>
    <row r="21" spans="1:5" s="393" customFormat="1" x14ac:dyDescent="0.2">
      <c r="A21" s="2" t="s">
        <v>29</v>
      </c>
      <c r="B21" s="3">
        <v>-368</v>
      </c>
      <c r="C21" s="4">
        <v>-326</v>
      </c>
      <c r="E21" s="2"/>
    </row>
    <row r="22" spans="1:5" s="393" customFormat="1" x14ac:dyDescent="0.2">
      <c r="A22" s="146" t="s">
        <v>30</v>
      </c>
      <c r="B22" s="3">
        <v>-48</v>
      </c>
      <c r="C22" s="4">
        <v>-48</v>
      </c>
      <c r="E22" s="2"/>
    </row>
    <row r="23" spans="1:5" s="314" customFormat="1" x14ac:dyDescent="0.2">
      <c r="A23" s="6" t="s">
        <v>31</v>
      </c>
      <c r="B23" s="409">
        <f>SUM(B13:B22)</f>
        <v>14194</v>
      </c>
      <c r="C23" s="410">
        <f>SUM(C13:C22)</f>
        <v>13817</v>
      </c>
    </row>
    <row r="24" spans="1:5" ht="14.25" x14ac:dyDescent="0.2">
      <c r="A24" s="5" t="s">
        <v>32</v>
      </c>
      <c r="B24" s="3">
        <v>1012</v>
      </c>
      <c r="C24" s="4">
        <v>1011</v>
      </c>
      <c r="E24" s="2"/>
    </row>
    <row r="25" spans="1:5" x14ac:dyDescent="0.2">
      <c r="A25" s="6" t="s">
        <v>33</v>
      </c>
      <c r="B25" s="7">
        <f>B23+B24</f>
        <v>15206</v>
      </c>
      <c r="C25" s="8">
        <f>C23+C24</f>
        <v>14828</v>
      </c>
      <c r="E25" s="2"/>
    </row>
    <row r="26" spans="1:5" x14ac:dyDescent="0.2">
      <c r="A26" s="2"/>
      <c r="B26" s="3"/>
      <c r="C26" s="4"/>
    </row>
    <row r="27" spans="1:5" x14ac:dyDescent="0.2">
      <c r="A27" s="9" t="s">
        <v>34</v>
      </c>
      <c r="B27" s="3"/>
      <c r="C27" s="4"/>
    </row>
    <row r="28" spans="1:5" x14ac:dyDescent="0.2">
      <c r="A28" s="2" t="s">
        <v>35</v>
      </c>
      <c r="B28" s="3">
        <v>2692</v>
      </c>
      <c r="C28" s="4">
        <v>2697</v>
      </c>
    </row>
    <row r="29" spans="1:5" s="393" customFormat="1" x14ac:dyDescent="0.2">
      <c r="A29" s="2" t="s">
        <v>36</v>
      </c>
      <c r="B29" s="3">
        <v>-60</v>
      </c>
      <c r="C29" s="4">
        <v>-60</v>
      </c>
    </row>
    <row r="30" spans="1:5" x14ac:dyDescent="0.2">
      <c r="A30" s="6" t="s">
        <v>37</v>
      </c>
      <c r="B30" s="7">
        <f>SUM(B28:B29)</f>
        <v>2632</v>
      </c>
      <c r="C30" s="8">
        <f>SUM(C28:C29)</f>
        <v>2637</v>
      </c>
    </row>
    <row r="31" spans="1:5" x14ac:dyDescent="0.2">
      <c r="A31" s="5"/>
      <c r="B31" s="3"/>
      <c r="C31" s="4"/>
    </row>
    <row r="32" spans="1:5" x14ac:dyDescent="0.2">
      <c r="A32" s="6" t="s">
        <v>38</v>
      </c>
      <c r="B32" s="7">
        <f>+B30+B25</f>
        <v>17838</v>
      </c>
      <c r="C32" s="8">
        <f>+C30+C25</f>
        <v>17465</v>
      </c>
    </row>
    <row r="33" spans="1:3" ht="14.25" x14ac:dyDescent="0.2">
      <c r="A33" s="10" t="s">
        <v>39</v>
      </c>
      <c r="B33" s="11"/>
      <c r="C33" s="12"/>
    </row>
    <row r="34" spans="1:3" x14ac:dyDescent="0.2">
      <c r="A34" s="13"/>
      <c r="B34" s="14"/>
      <c r="C34" s="15"/>
    </row>
    <row r="35" spans="1:3" ht="12.75" thickBot="1" x14ac:dyDescent="0.25">
      <c r="A35" s="16" t="s">
        <v>40</v>
      </c>
      <c r="B35" s="487">
        <v>42094</v>
      </c>
      <c r="C35" s="488">
        <v>42004</v>
      </c>
    </row>
    <row r="36" spans="1:3" x14ac:dyDescent="0.2">
      <c r="A36" s="393" t="s">
        <v>41</v>
      </c>
      <c r="B36" s="385">
        <v>93293</v>
      </c>
      <c r="C36" s="18">
        <v>103397</v>
      </c>
    </row>
    <row r="37" spans="1:3" s="393" customFormat="1" x14ac:dyDescent="0.2">
      <c r="A37" s="393" t="s">
        <v>42</v>
      </c>
      <c r="B37" s="385">
        <v>1175</v>
      </c>
      <c r="C37" s="18">
        <v>1127</v>
      </c>
    </row>
    <row r="38" spans="1:3" x14ac:dyDescent="0.2">
      <c r="A38" s="393" t="s">
        <v>43</v>
      </c>
      <c r="B38" s="385">
        <v>9680</v>
      </c>
      <c r="C38" s="18">
        <v>9445</v>
      </c>
    </row>
    <row r="39" spans="1:3" x14ac:dyDescent="0.2">
      <c r="A39" s="393" t="s">
        <v>44</v>
      </c>
      <c r="B39" s="385">
        <v>6811</v>
      </c>
      <c r="C39" s="18">
        <v>6220</v>
      </c>
    </row>
    <row r="40" spans="1:3" x14ac:dyDescent="0.2">
      <c r="A40" s="20" t="s">
        <v>45</v>
      </c>
      <c r="B40" s="21">
        <v>6630</v>
      </c>
      <c r="C40" s="315">
        <v>0</v>
      </c>
    </row>
    <row r="41" spans="1:3" x14ac:dyDescent="0.2">
      <c r="A41" s="23" t="s">
        <v>46</v>
      </c>
      <c r="B41" s="24">
        <f>B36+B37+B38+B39+B40</f>
        <v>117589</v>
      </c>
      <c r="C41" s="316">
        <f>C36+C37+C38+C39+C40</f>
        <v>120189</v>
      </c>
    </row>
    <row r="42" spans="1:3" x14ac:dyDescent="0.2">
      <c r="A42" s="25"/>
      <c r="B42" s="26"/>
      <c r="C42" s="27"/>
    </row>
    <row r="43" spans="1:3" s="393" customFormat="1" x14ac:dyDescent="0.2">
      <c r="A43" s="434" t="s">
        <v>47</v>
      </c>
      <c r="B43" s="385">
        <v>5292</v>
      </c>
      <c r="C43" s="18">
        <v>5408.5050000000001</v>
      </c>
    </row>
    <row r="44" spans="1:3" s="393" customFormat="1" x14ac:dyDescent="0.2">
      <c r="A44" s="434" t="s">
        <v>48</v>
      </c>
      <c r="B44" s="385"/>
      <c r="C44" s="18"/>
    </row>
    <row r="45" spans="1:3" s="393" customFormat="1" x14ac:dyDescent="0.2">
      <c r="A45" s="434" t="s">
        <v>1214</v>
      </c>
      <c r="B45" s="385">
        <v>2940</v>
      </c>
      <c r="C45" s="18">
        <v>3004.7250000000004</v>
      </c>
    </row>
    <row r="46" spans="1:3" s="393" customFormat="1" x14ac:dyDescent="0.2">
      <c r="A46" s="434" t="s">
        <v>49</v>
      </c>
      <c r="B46" s="385">
        <v>3528</v>
      </c>
      <c r="C46" s="18">
        <v>3605.67</v>
      </c>
    </row>
    <row r="47" spans="1:3" s="393" customFormat="1" x14ac:dyDescent="0.2">
      <c r="A47" s="434" t="s">
        <v>50</v>
      </c>
      <c r="B47" s="385">
        <v>6467</v>
      </c>
      <c r="C47" s="18">
        <v>6610.3950000000004</v>
      </c>
    </row>
    <row r="48" spans="1:3" s="393" customFormat="1" x14ac:dyDescent="0.2">
      <c r="A48" s="434" t="s">
        <v>51</v>
      </c>
      <c r="B48" s="385">
        <v>2435</v>
      </c>
      <c r="C48" s="18">
        <v>1798.0999999999985</v>
      </c>
    </row>
    <row r="49" spans="1:17" s="393" customFormat="1" x14ac:dyDescent="0.2">
      <c r="A49" s="25"/>
      <c r="B49" s="26"/>
      <c r="C49" s="27"/>
    </row>
    <row r="50" spans="1:17" x14ac:dyDescent="0.2">
      <c r="A50" s="9" t="s">
        <v>52</v>
      </c>
      <c r="B50" s="28">
        <v>0.1517</v>
      </c>
      <c r="C50" s="29">
        <v>0.14530000000000001</v>
      </c>
    </row>
    <row r="51" spans="1:17" x14ac:dyDescent="0.2">
      <c r="A51" s="2" t="s">
        <v>53</v>
      </c>
      <c r="B51" s="28">
        <v>0.1293</v>
      </c>
      <c r="C51" s="29">
        <v>0.1234</v>
      </c>
    </row>
    <row r="52" spans="1:17" x14ac:dyDescent="0.2">
      <c r="A52" s="2" t="s">
        <v>54</v>
      </c>
      <c r="B52" s="28">
        <v>2.24E-2</v>
      </c>
      <c r="C52" s="29">
        <v>2.1899999999999999E-2</v>
      </c>
    </row>
    <row r="53" spans="1:17" x14ac:dyDescent="0.2">
      <c r="A53" s="490" t="s">
        <v>55</v>
      </c>
      <c r="B53" s="28">
        <v>0.1207</v>
      </c>
      <c r="C53" s="29">
        <v>0.115</v>
      </c>
    </row>
    <row r="54" spans="1:17" x14ac:dyDescent="0.2">
      <c r="A54" s="15"/>
      <c r="B54" s="15"/>
    </row>
    <row r="55" spans="1:17" s="31" customFormat="1" x14ac:dyDescent="0.2">
      <c r="A55" s="404"/>
      <c r="B55" s="404"/>
      <c r="C55" s="404"/>
      <c r="L55" s="17"/>
      <c r="M55" s="17"/>
      <c r="N55" s="17"/>
      <c r="O55" s="17"/>
      <c r="P55" s="17"/>
      <c r="Q55" s="17"/>
    </row>
    <row r="56" spans="1:17" s="31" customFormat="1" x14ac:dyDescent="0.2">
      <c r="L56" s="17"/>
      <c r="M56" s="17"/>
      <c r="N56" s="17"/>
      <c r="O56" s="17"/>
      <c r="P56" s="17"/>
      <c r="Q56" s="17"/>
    </row>
    <row r="57" spans="1:17" s="31" customFormat="1" x14ac:dyDescent="0.2">
      <c r="L57" s="17"/>
      <c r="M57" s="17"/>
      <c r="N57" s="17"/>
      <c r="O57" s="17"/>
      <c r="P57" s="17"/>
      <c r="Q57" s="17"/>
    </row>
    <row r="58" spans="1:17" x14ac:dyDescent="0.2">
      <c r="C58" s="32"/>
      <c r="D58" s="32"/>
      <c r="E58" s="32"/>
      <c r="F58" s="32"/>
    </row>
    <row r="59" spans="1:17" x14ac:dyDescent="0.2">
      <c r="A59" s="33"/>
      <c r="B59" s="34"/>
      <c r="C59" s="34"/>
      <c r="D59" s="35"/>
      <c r="E59" s="35"/>
      <c r="F59" s="35"/>
      <c r="G59" s="15"/>
      <c r="H59" s="15"/>
      <c r="I59" s="15"/>
    </row>
    <row r="60" spans="1:17" x14ac:dyDescent="0.2">
      <c r="A60" s="15"/>
      <c r="B60" s="15"/>
      <c r="C60" s="34"/>
      <c r="D60" s="36"/>
      <c r="E60" s="36"/>
      <c r="F60" s="34"/>
      <c r="G60" s="15"/>
      <c r="H60" s="15"/>
      <c r="I60" s="15"/>
    </row>
    <row r="61" spans="1:17" x14ac:dyDescent="0.2">
      <c r="A61" s="37"/>
      <c r="B61" s="37"/>
      <c r="C61" s="38"/>
      <c r="D61" s="36"/>
      <c r="E61" s="36"/>
      <c r="F61" s="37"/>
      <c r="G61" s="37"/>
      <c r="H61" s="15"/>
      <c r="I61" s="15"/>
    </row>
    <row r="62" spans="1:17" x14ac:dyDescent="0.2">
      <c r="A62" s="39"/>
      <c r="B62" s="40"/>
      <c r="C62" s="36"/>
      <c r="D62" s="36"/>
      <c r="E62" s="36"/>
      <c r="F62" s="41"/>
      <c r="G62" s="41"/>
      <c r="H62" s="15"/>
      <c r="I62" s="15"/>
    </row>
    <row r="63" spans="1:17" x14ac:dyDescent="0.2">
      <c r="A63" s="41"/>
      <c r="B63" s="40"/>
      <c r="C63" s="36"/>
      <c r="D63" s="36"/>
      <c r="E63" s="36"/>
      <c r="F63" s="41"/>
      <c r="G63" s="42"/>
      <c r="H63" s="15"/>
      <c r="I63" s="15"/>
    </row>
    <row r="64" spans="1:17" x14ac:dyDescent="0.2">
      <c r="A64" s="43"/>
      <c r="B64" s="44"/>
      <c r="C64" s="45"/>
      <c r="D64" s="45"/>
      <c r="E64" s="45"/>
      <c r="F64" s="46"/>
      <c r="G64" s="47"/>
      <c r="H64" s="15"/>
      <c r="I64" s="15"/>
    </row>
    <row r="65" spans="1:9" x14ac:dyDescent="0.2">
      <c r="A65" s="48"/>
      <c r="B65" s="44"/>
      <c r="C65" s="45"/>
      <c r="D65" s="45"/>
      <c r="E65" s="45"/>
      <c r="F65" s="49"/>
      <c r="G65" s="49"/>
      <c r="H65" s="15"/>
      <c r="I65" s="15"/>
    </row>
    <row r="66" spans="1:9" x14ac:dyDescent="0.2">
      <c r="A66" s="48"/>
      <c r="B66" s="44"/>
      <c r="C66" s="45"/>
      <c r="D66" s="45"/>
      <c r="E66" s="45"/>
      <c r="F66" s="49"/>
      <c r="G66" s="49"/>
      <c r="H66" s="15"/>
      <c r="I66" s="15"/>
    </row>
    <row r="67" spans="1:9" x14ac:dyDescent="0.2">
      <c r="A67" s="48"/>
      <c r="B67" s="44"/>
      <c r="C67" s="45"/>
      <c r="D67" s="45"/>
      <c r="E67" s="45"/>
      <c r="F67" s="49"/>
      <c r="G67" s="49"/>
      <c r="H67" s="15"/>
      <c r="I67" s="15"/>
    </row>
    <row r="68" spans="1:9" x14ac:dyDescent="0.2">
      <c r="A68" s="50"/>
      <c r="B68" s="44"/>
      <c r="C68" s="45"/>
      <c r="D68" s="45"/>
      <c r="E68" s="45"/>
      <c r="F68" s="51"/>
      <c r="G68" s="47"/>
      <c r="H68" s="15"/>
      <c r="I68" s="15"/>
    </row>
    <row r="69" spans="1:9" x14ac:dyDescent="0.2">
      <c r="A69" s="52"/>
      <c r="B69" s="53"/>
      <c r="C69" s="54"/>
      <c r="D69" s="54"/>
      <c r="E69" s="54"/>
      <c r="F69" s="55"/>
      <c r="G69" s="55"/>
      <c r="H69" s="15"/>
      <c r="I69" s="15"/>
    </row>
    <row r="70" spans="1:9" x14ac:dyDescent="0.2">
      <c r="A70" s="56"/>
      <c r="B70" s="44"/>
      <c r="C70" s="54"/>
      <c r="D70" s="54"/>
      <c r="E70" s="54"/>
      <c r="F70" s="46"/>
      <c r="G70" s="47"/>
      <c r="H70" s="15"/>
      <c r="I70" s="15"/>
    </row>
    <row r="71" spans="1:9" x14ac:dyDescent="0.2">
      <c r="A71" s="57"/>
      <c r="B71" s="37"/>
      <c r="C71" s="54"/>
      <c r="D71" s="54"/>
      <c r="E71" s="54"/>
      <c r="F71" s="46"/>
      <c r="G71" s="47"/>
      <c r="H71" s="15"/>
      <c r="I71" s="15"/>
    </row>
    <row r="72" spans="1:9" x14ac:dyDescent="0.2">
      <c r="A72" s="48"/>
      <c r="B72" s="44"/>
      <c r="C72" s="54"/>
      <c r="D72" s="54"/>
      <c r="E72" s="54"/>
      <c r="F72" s="49"/>
      <c r="G72" s="49"/>
      <c r="H72" s="15"/>
      <c r="I72" s="15"/>
    </row>
    <row r="73" spans="1:9" x14ac:dyDescent="0.2">
      <c r="A73" s="48"/>
      <c r="B73" s="44"/>
      <c r="C73" s="54"/>
      <c r="D73" s="54"/>
      <c r="E73" s="54"/>
      <c r="F73" s="49"/>
      <c r="G73" s="49"/>
      <c r="H73" s="15"/>
      <c r="I73" s="15"/>
    </row>
    <row r="74" spans="1:9" x14ac:dyDescent="0.2">
      <c r="A74" s="48"/>
      <c r="B74" s="44"/>
      <c r="C74" s="54"/>
      <c r="D74" s="54"/>
      <c r="E74" s="54"/>
      <c r="F74" s="49"/>
      <c r="G74" s="49"/>
      <c r="H74" s="15"/>
      <c r="I74" s="15"/>
    </row>
    <row r="75" spans="1:9" x14ac:dyDescent="0.2">
      <c r="A75" s="52"/>
      <c r="B75" s="53"/>
      <c r="C75" s="58"/>
      <c r="D75" s="58"/>
      <c r="E75" s="58"/>
      <c r="F75" s="55"/>
      <c r="G75" s="55"/>
      <c r="H75" s="15"/>
      <c r="I75" s="15"/>
    </row>
    <row r="76" spans="1:9" ht="14.25" x14ac:dyDescent="0.2">
      <c r="A76" s="59"/>
      <c r="B76" s="10"/>
      <c r="C76" s="54"/>
      <c r="D76" s="54"/>
      <c r="E76" s="54"/>
      <c r="F76" s="60"/>
      <c r="G76" s="61"/>
      <c r="H76" s="15"/>
      <c r="I76" s="15"/>
    </row>
    <row r="77" spans="1:9" ht="14.25" x14ac:dyDescent="0.2">
      <c r="A77" s="57"/>
      <c r="B77" s="62"/>
      <c r="C77" s="10"/>
      <c r="D77" s="10"/>
      <c r="E77" s="10"/>
      <c r="F77" s="63"/>
      <c r="G77" s="64"/>
      <c r="H77" s="15"/>
      <c r="I77" s="15"/>
    </row>
    <row r="78" spans="1:9" x14ac:dyDescent="0.2">
      <c r="A78" s="48"/>
      <c r="B78" s="65"/>
      <c r="C78" s="65"/>
      <c r="D78" s="65"/>
      <c r="E78" s="65"/>
      <c r="F78" s="49"/>
      <c r="G78" s="49"/>
      <c r="H78" s="15"/>
      <c r="I78" s="15"/>
    </row>
    <row r="79" spans="1:9" x14ac:dyDescent="0.2">
      <c r="A79" s="48"/>
      <c r="B79" s="44"/>
      <c r="C79" s="65"/>
      <c r="D79" s="65"/>
      <c r="E79" s="65"/>
      <c r="F79" s="49"/>
      <c r="G79" s="49"/>
      <c r="H79" s="15"/>
      <c r="I79" s="15"/>
    </row>
    <row r="80" spans="1:9" x14ac:dyDescent="0.2">
      <c r="A80" s="48"/>
      <c r="B80" s="44"/>
      <c r="C80" s="65"/>
      <c r="D80" s="65"/>
      <c r="E80" s="65"/>
      <c r="F80" s="49"/>
      <c r="G80" s="49"/>
      <c r="H80" s="15"/>
      <c r="I80" s="15"/>
    </row>
    <row r="81" spans="1:12" x14ac:dyDescent="0.2">
      <c r="A81" s="48"/>
      <c r="B81" s="44"/>
      <c r="C81" s="65"/>
      <c r="D81" s="65"/>
      <c r="E81" s="65"/>
      <c r="F81" s="49"/>
      <c r="G81" s="47"/>
      <c r="H81" s="15"/>
      <c r="I81" s="15"/>
    </row>
    <row r="82" spans="1:12" x14ac:dyDescent="0.2">
      <c r="A82" s="52"/>
      <c r="B82" s="66"/>
      <c r="C82" s="65"/>
      <c r="D82" s="65"/>
      <c r="E82" s="65"/>
      <c r="F82" s="55"/>
      <c r="G82" s="55"/>
      <c r="H82" s="15"/>
      <c r="I82" s="15"/>
    </row>
    <row r="83" spans="1:12" x14ac:dyDescent="0.2">
      <c r="A83" s="56"/>
      <c r="B83" s="44"/>
      <c r="C83" s="44"/>
      <c r="D83" s="44"/>
      <c r="E83" s="44"/>
      <c r="F83" s="53"/>
      <c r="G83" s="44"/>
      <c r="H83" s="15"/>
      <c r="I83" s="15"/>
    </row>
    <row r="84" spans="1:12" x14ac:dyDescent="0.2">
      <c r="A84" s="56"/>
      <c r="B84" s="44"/>
      <c r="C84" s="44"/>
      <c r="D84" s="44"/>
      <c r="E84" s="44"/>
      <c r="F84" s="49"/>
      <c r="G84" s="49"/>
      <c r="H84" s="15"/>
      <c r="I84" s="15"/>
    </row>
    <row r="85" spans="1:12" x14ac:dyDescent="0.2">
      <c r="A85" s="52"/>
      <c r="B85" s="53"/>
      <c r="C85" s="58"/>
      <c r="D85" s="58"/>
      <c r="E85" s="58"/>
      <c r="F85" s="55"/>
      <c r="G85" s="55"/>
      <c r="H85" s="15"/>
      <c r="I85" s="15"/>
    </row>
    <row r="86" spans="1:12" x14ac:dyDescent="0.2">
      <c r="A86" s="15"/>
      <c r="B86" s="15"/>
      <c r="C86" s="15"/>
      <c r="D86" s="15"/>
      <c r="E86" s="15"/>
      <c r="F86" s="15"/>
      <c r="G86" s="15"/>
      <c r="H86" s="15"/>
      <c r="I86" s="15"/>
    </row>
    <row r="87" spans="1:12" x14ac:dyDescent="0.2">
      <c r="A87" s="15"/>
      <c r="B87" s="15"/>
      <c r="C87" s="15"/>
      <c r="D87" s="15"/>
      <c r="E87" s="15"/>
      <c r="F87" s="15"/>
      <c r="G87" s="15"/>
      <c r="H87" s="15"/>
      <c r="I87" s="15"/>
    </row>
    <row r="88" spans="1:12" x14ac:dyDescent="0.2">
      <c r="A88" s="67"/>
      <c r="B88" s="67"/>
      <c r="C88" s="67"/>
      <c r="D88" s="67"/>
      <c r="E88" s="67"/>
      <c r="F88" s="67"/>
      <c r="G88" s="67"/>
      <c r="H88" s="37"/>
      <c r="I88" s="37"/>
      <c r="J88" s="68"/>
      <c r="K88" s="68"/>
      <c r="L88" s="68"/>
    </row>
    <row r="89" spans="1:12" x14ac:dyDescent="0.2">
      <c r="A89" s="67"/>
      <c r="B89" s="67"/>
      <c r="C89" s="67"/>
      <c r="D89" s="67"/>
      <c r="E89" s="67"/>
      <c r="F89" s="67"/>
      <c r="G89" s="67"/>
      <c r="H89" s="37"/>
      <c r="I89" s="37"/>
      <c r="J89" s="68"/>
      <c r="K89" s="68"/>
      <c r="L89" s="68"/>
    </row>
    <row r="90" spans="1:12" x14ac:dyDescent="0.2">
      <c r="A90" s="67"/>
      <c r="B90" s="67"/>
      <c r="C90" s="67"/>
      <c r="D90" s="67"/>
      <c r="E90" s="67"/>
      <c r="F90" s="67"/>
      <c r="G90" s="67"/>
      <c r="H90" s="37"/>
      <c r="I90" s="37"/>
      <c r="J90" s="68"/>
      <c r="K90" s="68"/>
      <c r="L90" s="68"/>
    </row>
    <row r="91" spans="1:12" x14ac:dyDescent="0.2">
      <c r="A91" s="67"/>
      <c r="B91" s="67"/>
      <c r="C91" s="67"/>
      <c r="D91" s="67"/>
      <c r="E91" s="67"/>
      <c r="F91" s="67"/>
      <c r="G91" s="67"/>
      <c r="H91" s="37"/>
      <c r="I91" s="37"/>
      <c r="J91" s="68"/>
      <c r="K91" s="68"/>
      <c r="L91" s="68"/>
    </row>
    <row r="92" spans="1:12" x14ac:dyDescent="0.2">
      <c r="A92" s="15"/>
      <c r="B92" s="15"/>
      <c r="C92" s="15"/>
      <c r="D92" s="15"/>
      <c r="E92" s="15"/>
      <c r="F92" s="15"/>
      <c r="G92" s="15"/>
      <c r="H92" s="15"/>
      <c r="I92" s="15"/>
    </row>
    <row r="93" spans="1:12" x14ac:dyDescent="0.2">
      <c r="A93" s="15"/>
      <c r="B93" s="15"/>
      <c r="C93" s="15"/>
      <c r="D93" s="15"/>
      <c r="E93" s="15"/>
      <c r="F93" s="15"/>
      <c r="G93" s="1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1"/>
  <sheetViews>
    <sheetView zoomScaleNormal="100" workbookViewId="0">
      <selection activeCell="C7" sqref="C7"/>
    </sheetView>
  </sheetViews>
  <sheetFormatPr baseColWidth="10" defaultColWidth="11" defaultRowHeight="12" x14ac:dyDescent="0.2"/>
  <cols>
    <col min="1" max="1" width="12.1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93" customFormat="1" x14ac:dyDescent="0.2">
      <c r="A1" s="593" t="s">
        <v>56</v>
      </c>
      <c r="B1" s="448"/>
      <c r="C1" s="320"/>
      <c r="D1" s="320"/>
      <c r="E1" s="320"/>
      <c r="F1" s="320"/>
      <c r="G1" s="69"/>
      <c r="H1" s="69"/>
      <c r="J1" s="69"/>
    </row>
    <row r="2" spans="1:11" s="393" customFormat="1" x14ac:dyDescent="0.2">
      <c r="A2" s="594"/>
      <c r="B2" s="448"/>
      <c r="C2" s="320"/>
      <c r="D2" s="320"/>
      <c r="E2" s="320"/>
      <c r="F2" s="320"/>
      <c r="G2" s="69"/>
      <c r="H2" s="69"/>
      <c r="J2" s="69"/>
    </row>
    <row r="3" spans="1:11" s="393" customFormat="1" x14ac:dyDescent="0.2">
      <c r="A3" s="321"/>
      <c r="B3" s="321"/>
      <c r="C3" s="321"/>
      <c r="D3" s="321"/>
      <c r="E3" s="322"/>
      <c r="F3" s="448"/>
      <c r="J3" s="452"/>
    </row>
    <row r="4" spans="1:11" s="393" customFormat="1" x14ac:dyDescent="0.2">
      <c r="A4" s="514"/>
      <c r="B4" s="514"/>
      <c r="C4" s="514"/>
      <c r="D4" s="514"/>
      <c r="E4" s="515"/>
      <c r="F4" s="515"/>
      <c r="G4" s="72"/>
    </row>
    <row r="5" spans="1:11" s="393" customFormat="1" ht="24" x14ac:dyDescent="0.2">
      <c r="A5" s="318"/>
      <c r="B5" s="324"/>
      <c r="C5" s="75" t="s">
        <v>1158</v>
      </c>
      <c r="D5" s="75" t="s">
        <v>1158</v>
      </c>
      <c r="E5" s="515" t="s">
        <v>57</v>
      </c>
      <c r="F5" s="326" t="s">
        <v>58</v>
      </c>
      <c r="G5" s="76"/>
    </row>
    <row r="6" spans="1:11" s="393" customFormat="1" x14ac:dyDescent="0.2">
      <c r="A6" s="318"/>
      <c r="B6" s="324"/>
      <c r="C6" s="325"/>
      <c r="D6" s="325" t="s">
        <v>59</v>
      </c>
      <c r="E6" s="515" t="s">
        <v>60</v>
      </c>
      <c r="F6" s="326" t="s">
        <v>61</v>
      </c>
      <c r="G6" s="72"/>
    </row>
    <row r="7" spans="1:11" s="393" customFormat="1" ht="12.75" thickBot="1" x14ac:dyDescent="0.25">
      <c r="A7" s="327"/>
      <c r="B7" s="328"/>
      <c r="C7" s="487">
        <v>42094</v>
      </c>
      <c r="D7" s="487">
        <v>42094</v>
      </c>
      <c r="E7" s="487">
        <v>42094</v>
      </c>
      <c r="F7" s="488">
        <v>42004</v>
      </c>
      <c r="G7" s="78"/>
      <c r="I7" s="14"/>
    </row>
    <row r="8" spans="1:11" s="393" customFormat="1" x14ac:dyDescent="0.2">
      <c r="A8" s="106" t="s">
        <v>62</v>
      </c>
      <c r="B8" s="71" t="s">
        <v>1159</v>
      </c>
      <c r="C8" s="329">
        <v>40883</v>
      </c>
      <c r="D8" s="329">
        <v>38669</v>
      </c>
      <c r="E8" s="329">
        <v>25696</v>
      </c>
      <c r="F8" s="329">
        <v>32685</v>
      </c>
      <c r="G8" s="80"/>
      <c r="I8" s="14"/>
    </row>
    <row r="9" spans="1:11" s="393" customFormat="1" x14ac:dyDescent="0.2">
      <c r="A9" s="106"/>
      <c r="B9" s="514" t="s">
        <v>1191</v>
      </c>
      <c r="C9" s="329">
        <f>27441+8</f>
        <v>27449</v>
      </c>
      <c r="D9" s="329">
        <f>24427+8</f>
        <v>24435</v>
      </c>
      <c r="E9" s="329">
        <f>14646+11</f>
        <v>14657</v>
      </c>
      <c r="F9" s="329">
        <v>21789</v>
      </c>
      <c r="G9" s="80"/>
      <c r="I9" s="14"/>
    </row>
    <row r="10" spans="1:11" s="393" customFormat="1" x14ac:dyDescent="0.2">
      <c r="A10" s="330"/>
      <c r="B10" s="491" t="s">
        <v>1160</v>
      </c>
      <c r="C10" s="332">
        <v>10909</v>
      </c>
      <c r="D10" s="332">
        <v>9104</v>
      </c>
      <c r="E10" s="332">
        <v>6496</v>
      </c>
      <c r="F10" s="332">
        <f>8789</f>
        <v>8789</v>
      </c>
      <c r="G10" s="80"/>
      <c r="I10" s="81"/>
    </row>
    <row r="11" spans="1:11" s="393" customFormat="1" x14ac:dyDescent="0.2">
      <c r="A11" s="317" t="s">
        <v>63</v>
      </c>
      <c r="B11" s="82" t="s">
        <v>1161</v>
      </c>
      <c r="C11" s="329">
        <v>5477</v>
      </c>
      <c r="D11" s="329">
        <v>5475</v>
      </c>
      <c r="E11" s="329">
        <v>1178</v>
      </c>
      <c r="F11" s="329">
        <v>1144</v>
      </c>
      <c r="G11" s="80"/>
      <c r="I11" s="81"/>
    </row>
    <row r="12" spans="1:11" s="393" customFormat="1" ht="12" customHeight="1" x14ac:dyDescent="0.2">
      <c r="A12" s="317"/>
      <c r="B12" s="82" t="s">
        <v>1162</v>
      </c>
      <c r="C12" s="329">
        <v>120100</v>
      </c>
      <c r="D12" s="329">
        <v>120093</v>
      </c>
      <c r="E12" s="329">
        <v>25733</v>
      </c>
      <c r="F12" s="329">
        <v>20661</v>
      </c>
      <c r="G12" s="80"/>
      <c r="I12" s="81"/>
    </row>
    <row r="13" spans="1:11" s="393" customFormat="1" ht="14.25" customHeight="1" x14ac:dyDescent="0.2">
      <c r="A13" s="333"/>
      <c r="B13" s="492" t="s">
        <v>1163</v>
      </c>
      <c r="C13" s="332">
        <f>337+1831</f>
        <v>2168</v>
      </c>
      <c r="D13" s="332">
        <f>335+1828</f>
        <v>2163</v>
      </c>
      <c r="E13" s="332">
        <f>120+882</f>
        <v>1002</v>
      </c>
      <c r="F13" s="332">
        <v>845</v>
      </c>
      <c r="G13" s="80"/>
      <c r="I13" s="629"/>
      <c r="J13" s="629"/>
      <c r="K13" s="629"/>
    </row>
    <row r="14" spans="1:11" s="393" customFormat="1" x14ac:dyDescent="0.2">
      <c r="A14" s="630" t="s">
        <v>64</v>
      </c>
      <c r="B14" s="630"/>
      <c r="C14" s="334">
        <f>SUM(C8:C13)</f>
        <v>206986</v>
      </c>
      <c r="D14" s="334">
        <f>SUM(D8:D13)</f>
        <v>199939</v>
      </c>
      <c r="E14" s="334">
        <f>SUM(E8:E13)</f>
        <v>74762</v>
      </c>
      <c r="F14" s="334">
        <f>SUM(F8:F13)</f>
        <v>85913</v>
      </c>
      <c r="G14" s="83"/>
    </row>
    <row r="15" spans="1:11" s="393" customFormat="1" x14ac:dyDescent="0.2">
      <c r="A15" s="324"/>
      <c r="B15" s="324"/>
      <c r="C15" s="335"/>
      <c r="D15" s="335"/>
      <c r="E15" s="335"/>
      <c r="F15" s="335"/>
      <c r="G15" s="84"/>
    </row>
    <row r="16" spans="1:11" s="393" customFormat="1" x14ac:dyDescent="0.2">
      <c r="A16" s="71" t="s">
        <v>1164</v>
      </c>
      <c r="B16" s="514"/>
      <c r="C16" s="329">
        <f>7377+196+197</f>
        <v>7770</v>
      </c>
      <c r="D16" s="329"/>
      <c r="E16" s="329">
        <f>72+39+111</f>
        <v>222</v>
      </c>
      <c r="F16" s="329">
        <v>287</v>
      </c>
      <c r="G16" s="80"/>
      <c r="H16" s="85"/>
    </row>
    <row r="17" spans="1:8" s="393" customFormat="1" x14ac:dyDescent="0.2">
      <c r="A17" s="71" t="s">
        <v>1165</v>
      </c>
      <c r="B17" s="514"/>
      <c r="C17" s="329">
        <f>25693-13559-667</f>
        <v>11467</v>
      </c>
      <c r="D17" s="329"/>
      <c r="E17" s="329">
        <f>5872-3227-543</f>
        <v>2102</v>
      </c>
      <c r="F17" s="329">
        <v>1550</v>
      </c>
      <c r="G17" s="80"/>
      <c r="H17" s="85"/>
    </row>
    <row r="18" spans="1:8" s="393" customFormat="1" x14ac:dyDescent="0.2">
      <c r="A18" s="71" t="s">
        <v>1166</v>
      </c>
      <c r="B18" s="514"/>
      <c r="C18" s="329">
        <f>7379+130-485</f>
        <v>7024</v>
      </c>
      <c r="D18" s="329"/>
      <c r="E18" s="329">
        <f>6642+115-485</f>
        <v>6272</v>
      </c>
      <c r="F18" s="329">
        <v>1575</v>
      </c>
      <c r="G18" s="80"/>
      <c r="H18" s="85"/>
    </row>
    <row r="19" spans="1:8" s="393" customFormat="1" x14ac:dyDescent="0.2">
      <c r="A19" s="71" t="s">
        <v>1167</v>
      </c>
      <c r="B19" s="514"/>
      <c r="C19" s="329">
        <f>1937+7644</f>
        <v>9581</v>
      </c>
      <c r="D19" s="329"/>
      <c r="E19" s="329">
        <f>1257+5612</f>
        <v>6869</v>
      </c>
      <c r="F19" s="329">
        <v>150</v>
      </c>
      <c r="G19" s="80"/>
      <c r="H19" s="85"/>
    </row>
    <row r="20" spans="1:8" s="393" customFormat="1" x14ac:dyDescent="0.2">
      <c r="A20" s="491" t="s">
        <v>790</v>
      </c>
      <c r="B20" s="331"/>
      <c r="C20" s="332">
        <v>3783</v>
      </c>
      <c r="D20" s="332"/>
      <c r="E20" s="332">
        <f>1866+153</f>
        <v>2019</v>
      </c>
      <c r="F20" s="332">
        <v>1950</v>
      </c>
      <c r="G20" s="80"/>
      <c r="H20" s="85"/>
    </row>
    <row r="21" spans="1:8" s="393" customFormat="1" x14ac:dyDescent="0.2">
      <c r="A21" s="630" t="s">
        <v>65</v>
      </c>
      <c r="B21" s="630"/>
      <c r="C21" s="334">
        <f>SUM(C16:C20)</f>
        <v>39625</v>
      </c>
      <c r="D21" s="334"/>
      <c r="E21" s="334">
        <f>SUM(E16:E20)</f>
        <v>17484</v>
      </c>
      <c r="F21" s="334">
        <f>SUM(F16:F20)</f>
        <v>5512</v>
      </c>
      <c r="G21" s="83"/>
      <c r="H21" s="85"/>
    </row>
    <row r="22" spans="1:8" s="393" customFormat="1" x14ac:dyDescent="0.2">
      <c r="A22" s="324"/>
      <c r="B22" s="324"/>
      <c r="C22" s="334"/>
      <c r="D22" s="334"/>
      <c r="E22" s="334"/>
      <c r="F22" s="334"/>
      <c r="G22" s="83"/>
      <c r="H22" s="85"/>
    </row>
    <row r="23" spans="1:8" s="393" customFormat="1" x14ac:dyDescent="0.2">
      <c r="A23" s="337" t="s">
        <v>66</v>
      </c>
      <c r="B23" s="338"/>
      <c r="C23" s="339"/>
      <c r="D23" s="403"/>
      <c r="E23" s="339">
        <f>E14+E21</f>
        <v>92246</v>
      </c>
      <c r="F23" s="339">
        <f>F14+F21</f>
        <v>91425</v>
      </c>
      <c r="G23" s="89"/>
    </row>
    <row r="24" spans="1:8" s="393" customFormat="1" x14ac:dyDescent="0.2"/>
    <row r="25" spans="1:8" s="393" customFormat="1" x14ac:dyDescent="0.2">
      <c r="A25" s="600"/>
      <c r="B25" s="448"/>
      <c r="C25" s="448"/>
      <c r="D25" s="18"/>
      <c r="E25" s="448"/>
      <c r="F25" s="448"/>
      <c r="G25" s="448"/>
    </row>
    <row r="26" spans="1:8" s="393" customFormat="1" x14ac:dyDescent="0.2">
      <c r="A26" s="448"/>
      <c r="B26" s="448"/>
      <c r="C26" s="448"/>
      <c r="D26" s="448"/>
      <c r="E26" s="448"/>
      <c r="F26" s="448"/>
      <c r="G26" s="448"/>
    </row>
    <row r="27" spans="1:8" s="393" customFormat="1" x14ac:dyDescent="0.2">
      <c r="E27" s="85"/>
    </row>
    <row r="28" spans="1:8" s="393" customFormat="1" x14ac:dyDescent="0.2"/>
    <row r="29" spans="1:8" x14ac:dyDescent="0.2">
      <c r="A29" s="19"/>
      <c r="B29" s="19"/>
      <c r="C29" s="19"/>
      <c r="D29" s="19"/>
      <c r="E29" s="19"/>
      <c r="F29" s="19"/>
      <c r="G29" s="19"/>
    </row>
    <row r="30" spans="1:8" x14ac:dyDescent="0.2">
      <c r="A30" s="19"/>
      <c r="B30" s="19"/>
      <c r="C30" s="19"/>
      <c r="D30" s="19"/>
      <c r="E30" s="19"/>
      <c r="F30" s="19"/>
      <c r="G30" s="19"/>
    </row>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sheetData>
  <mergeCells count="3">
    <mergeCell ref="I13:K13"/>
    <mergeCell ref="A14:B14"/>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D14:F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5"/>
  <sheetViews>
    <sheetView zoomScaleNormal="100" workbookViewId="0">
      <selection activeCell="B7" sqref="B7"/>
    </sheetView>
  </sheetViews>
  <sheetFormatPr baseColWidth="10" defaultColWidth="11" defaultRowHeight="12" x14ac:dyDescent="0.2"/>
  <cols>
    <col min="1" max="1" width="47.25" style="17" customWidth="1"/>
    <col min="2" max="2" width="13" style="17" customWidth="1"/>
    <col min="3" max="3" width="11" style="17"/>
    <col min="4" max="4" width="12.75" style="17" bestFit="1" customWidth="1"/>
    <col min="5" max="5" width="30.5" style="17" customWidth="1"/>
    <col min="6" max="16384" width="11" style="17"/>
  </cols>
  <sheetData>
    <row r="1" spans="1:5" x14ac:dyDescent="0.2">
      <c r="A1" s="495" t="s">
        <v>668</v>
      </c>
    </row>
    <row r="2" spans="1:5" x14ac:dyDescent="0.2">
      <c r="A2" s="90" t="s">
        <v>669</v>
      </c>
    </row>
    <row r="3" spans="1:5" ht="12.75" customHeight="1" x14ac:dyDescent="0.2">
      <c r="A3" s="90"/>
    </row>
    <row r="4" spans="1:5" ht="12.75" customHeight="1" x14ac:dyDescent="0.2">
      <c r="A4" s="90"/>
      <c r="E4" s="117"/>
    </row>
    <row r="5" spans="1:5" ht="12.75" customHeight="1" x14ac:dyDescent="0.2">
      <c r="A5" s="90"/>
    </row>
    <row r="6" spans="1:5" x14ac:dyDescent="0.2">
      <c r="A6" s="118"/>
      <c r="B6" s="631"/>
      <c r="C6" s="631"/>
      <c r="D6" s="119"/>
    </row>
    <row r="7" spans="1:5" ht="24.75" thickBot="1" x14ac:dyDescent="0.25">
      <c r="A7" s="120"/>
      <c r="B7" s="493" t="s">
        <v>1238</v>
      </c>
      <c r="C7" s="494" t="s">
        <v>670</v>
      </c>
      <c r="D7" s="98"/>
    </row>
    <row r="8" spans="1:5" ht="12.75" customHeight="1" x14ac:dyDescent="0.2">
      <c r="A8" s="74" t="s">
        <v>671</v>
      </c>
      <c r="B8" s="334">
        <f>SUM(B9:B12)</f>
        <v>6223</v>
      </c>
      <c r="C8" s="329">
        <f>SUM(C9:C12)</f>
        <v>6218</v>
      </c>
      <c r="D8" s="98"/>
    </row>
    <row r="9" spans="1:5" ht="12.75" customHeight="1" x14ac:dyDescent="0.2">
      <c r="A9" s="122" t="s">
        <v>672</v>
      </c>
      <c r="B9" s="411">
        <v>595</v>
      </c>
      <c r="C9" s="335">
        <v>598</v>
      </c>
      <c r="D9" s="81"/>
    </row>
    <row r="10" spans="1:5" ht="12.75" customHeight="1" x14ac:dyDescent="0.2">
      <c r="A10" s="122" t="s">
        <v>673</v>
      </c>
      <c r="B10" s="411">
        <v>3763</v>
      </c>
      <c r="C10" s="335">
        <v>3642</v>
      </c>
      <c r="D10" s="81"/>
    </row>
    <row r="11" spans="1:5" ht="12.75" customHeight="1" x14ac:dyDescent="0.2">
      <c r="A11" s="122" t="s">
        <v>674</v>
      </c>
      <c r="B11" s="411">
        <v>1865</v>
      </c>
      <c r="C11" s="335">
        <v>1978</v>
      </c>
      <c r="D11" s="81"/>
    </row>
    <row r="12" spans="1:5" ht="12.75" customHeight="1" x14ac:dyDescent="0.2">
      <c r="A12" s="122" t="s">
        <v>675</v>
      </c>
      <c r="B12" s="411">
        <v>0</v>
      </c>
      <c r="C12" s="335">
        <v>0</v>
      </c>
      <c r="D12" s="81"/>
    </row>
    <row r="13" spans="1:5" ht="12.75" customHeight="1" x14ac:dyDescent="0.2">
      <c r="A13" s="74" t="s">
        <v>676</v>
      </c>
      <c r="B13" s="334">
        <v>3457</v>
      </c>
      <c r="C13" s="329">
        <v>3227</v>
      </c>
      <c r="D13" s="98"/>
    </row>
    <row r="14" spans="1:5" x14ac:dyDescent="0.2">
      <c r="A14" s="74" t="s">
        <v>677</v>
      </c>
      <c r="B14" s="89">
        <v>0</v>
      </c>
      <c r="C14" s="87">
        <v>0</v>
      </c>
      <c r="D14" s="98"/>
    </row>
    <row r="15" spans="1:5" x14ac:dyDescent="0.2">
      <c r="A15" s="88" t="s">
        <v>678</v>
      </c>
      <c r="B15" s="101">
        <f>+B8+B13+B14</f>
        <v>9680</v>
      </c>
      <c r="C15" s="400">
        <f>+C8+C13+C14</f>
        <v>9445</v>
      </c>
      <c r="D15" s="23"/>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6"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election activeCell="C23" sqref="C23"/>
    </sheetView>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94" t="s">
        <v>67</v>
      </c>
      <c r="B1" s="19"/>
      <c r="C1" s="19"/>
      <c r="D1" s="19"/>
      <c r="E1" s="19"/>
      <c r="F1" s="19"/>
      <c r="G1" s="19"/>
      <c r="H1" s="393"/>
    </row>
    <row r="2" spans="1:8" x14ac:dyDescent="0.2">
      <c r="A2" s="393" t="s">
        <v>68</v>
      </c>
      <c r="B2" s="19"/>
      <c r="C2" s="19"/>
      <c r="D2" s="19"/>
      <c r="E2" s="19"/>
      <c r="F2" s="19"/>
      <c r="G2" s="19"/>
      <c r="H2" s="393"/>
    </row>
    <row r="3" spans="1:8" x14ac:dyDescent="0.2">
      <c r="A3" s="107"/>
      <c r="B3" s="107"/>
      <c r="C3" s="325"/>
      <c r="D3" s="632" t="s">
        <v>69</v>
      </c>
      <c r="E3" s="325"/>
      <c r="F3" s="325"/>
      <c r="G3" s="325"/>
      <c r="H3" s="393"/>
    </row>
    <row r="4" spans="1:8" ht="12.75" thickBot="1" x14ac:dyDescent="0.25">
      <c r="A4" s="610">
        <v>2015</v>
      </c>
      <c r="B4" s="395"/>
      <c r="C4" s="381" t="s">
        <v>70</v>
      </c>
      <c r="D4" s="633"/>
      <c r="E4" s="288" t="s">
        <v>71</v>
      </c>
      <c r="F4" s="288" t="s">
        <v>72</v>
      </c>
      <c r="G4" s="323"/>
      <c r="H4" s="393"/>
    </row>
    <row r="5" spans="1:8" x14ac:dyDescent="0.2">
      <c r="A5" s="636" t="s">
        <v>73</v>
      </c>
      <c r="B5" s="636"/>
      <c r="C5" s="287">
        <v>3789</v>
      </c>
      <c r="D5" s="287"/>
      <c r="E5" s="287"/>
      <c r="F5" s="287"/>
      <c r="G5" s="396"/>
      <c r="H5" s="125"/>
    </row>
    <row r="6" spans="1:8" x14ac:dyDescent="0.2">
      <c r="A6" s="636" t="s">
        <v>74</v>
      </c>
      <c r="B6" s="636"/>
      <c r="C6" s="287">
        <v>2832</v>
      </c>
      <c r="D6" s="287"/>
      <c r="E6" s="287"/>
      <c r="F6" s="287"/>
      <c r="G6" s="396"/>
      <c r="H6" s="125"/>
    </row>
    <row r="7" spans="1:8" x14ac:dyDescent="0.2">
      <c r="A7" s="636" t="s">
        <v>75</v>
      </c>
      <c r="B7" s="636"/>
      <c r="C7" s="287">
        <v>-241</v>
      </c>
      <c r="D7" s="287"/>
      <c r="E7" s="287"/>
      <c r="F7" s="287"/>
      <c r="G7" s="396"/>
      <c r="H7" s="125"/>
    </row>
    <row r="8" spans="1:8" s="393" customFormat="1" x14ac:dyDescent="0.2">
      <c r="A8" s="636" t="s">
        <v>1156</v>
      </c>
      <c r="B8" s="636"/>
      <c r="C8" s="287">
        <v>431</v>
      </c>
      <c r="D8" s="287">
        <v>111</v>
      </c>
      <c r="E8" s="287">
        <v>46</v>
      </c>
      <c r="F8" s="287">
        <v>274</v>
      </c>
      <c r="G8" s="396"/>
      <c r="H8" s="125"/>
    </row>
    <row r="9" spans="1:8" x14ac:dyDescent="0.2">
      <c r="A9" s="337" t="s">
        <v>76</v>
      </c>
      <c r="B9" s="337"/>
      <c r="C9" s="397">
        <f>SUM(C5:C8)</f>
        <v>6811</v>
      </c>
      <c r="D9" s="397">
        <f t="shared" ref="D9:F9" si="0">SUM(D5:D8)</f>
        <v>111</v>
      </c>
      <c r="E9" s="397">
        <f t="shared" si="0"/>
        <v>46</v>
      </c>
      <c r="F9" s="397">
        <f t="shared" si="0"/>
        <v>274</v>
      </c>
      <c r="G9" s="398"/>
      <c r="H9" s="125"/>
    </row>
    <row r="10" spans="1:8" x14ac:dyDescent="0.2">
      <c r="A10" s="448"/>
      <c r="B10" s="448"/>
      <c r="C10" s="399"/>
      <c r="D10" s="399"/>
      <c r="E10" s="399"/>
      <c r="F10" s="399"/>
      <c r="G10" s="399"/>
      <c r="H10" s="125"/>
    </row>
    <row r="11" spans="1:8" s="393" customFormat="1" ht="12" customHeight="1" x14ac:dyDescent="0.2">
      <c r="A11" s="107"/>
      <c r="B11" s="107"/>
      <c r="C11" s="325"/>
      <c r="D11" s="632" t="s">
        <v>77</v>
      </c>
      <c r="E11" s="325"/>
      <c r="F11" s="325"/>
      <c r="G11" s="399"/>
      <c r="H11" s="125"/>
    </row>
    <row r="12" spans="1:8" s="393" customFormat="1" ht="12.75" thickBot="1" x14ac:dyDescent="0.25">
      <c r="A12" s="610">
        <v>2014</v>
      </c>
      <c r="B12" s="395"/>
      <c r="C12" s="516" t="s">
        <v>60</v>
      </c>
      <c r="D12" s="633"/>
      <c r="E12" s="516" t="s">
        <v>78</v>
      </c>
      <c r="F12" s="516" t="s">
        <v>79</v>
      </c>
      <c r="G12" s="399"/>
      <c r="H12" s="125"/>
    </row>
    <row r="13" spans="1:8" s="393" customFormat="1" x14ac:dyDescent="0.2">
      <c r="A13" s="636" t="s">
        <v>80</v>
      </c>
      <c r="B13" s="636"/>
      <c r="C13" s="287">
        <v>3398</v>
      </c>
      <c r="D13" s="287"/>
      <c r="E13" s="287"/>
      <c r="F13" s="287"/>
      <c r="G13" s="399"/>
      <c r="H13" s="125"/>
    </row>
    <row r="14" spans="1:8" s="393" customFormat="1" x14ac:dyDescent="0.2">
      <c r="A14" s="636" t="s">
        <v>81</v>
      </c>
      <c r="B14" s="636"/>
      <c r="C14" s="287">
        <v>2533</v>
      </c>
      <c r="D14" s="287"/>
      <c r="E14" s="287"/>
      <c r="F14" s="287"/>
      <c r="G14" s="399"/>
      <c r="H14" s="125"/>
    </row>
    <row r="15" spans="1:8" s="393" customFormat="1" x14ac:dyDescent="0.2">
      <c r="A15" s="636" t="s">
        <v>82</v>
      </c>
      <c r="B15" s="636"/>
      <c r="C15" s="287">
        <v>-83</v>
      </c>
      <c r="D15" s="287"/>
      <c r="E15" s="287"/>
      <c r="F15" s="287"/>
      <c r="G15" s="399"/>
      <c r="H15" s="125"/>
    </row>
    <row r="16" spans="1:8" s="393" customFormat="1" x14ac:dyDescent="0.2">
      <c r="A16" s="636" t="s">
        <v>1156</v>
      </c>
      <c r="B16" s="636"/>
      <c r="C16" s="287">
        <v>372</v>
      </c>
      <c r="D16" s="287">
        <v>95</v>
      </c>
      <c r="E16" s="287">
        <v>25</v>
      </c>
      <c r="F16" s="287">
        <v>252</v>
      </c>
      <c r="G16" s="399"/>
      <c r="H16" s="125"/>
    </row>
    <row r="17" spans="1:8" x14ac:dyDescent="0.2">
      <c r="A17" s="337" t="s">
        <v>83</v>
      </c>
      <c r="B17" s="337"/>
      <c r="C17" s="397">
        <f>SUM(C13:C16)</f>
        <v>6220</v>
      </c>
      <c r="D17" s="397">
        <f>SUM(D16)</f>
        <v>95</v>
      </c>
      <c r="E17" s="397">
        <f t="shared" ref="E17:F17" si="1">SUM(E16)</f>
        <v>25</v>
      </c>
      <c r="F17" s="397">
        <f t="shared" si="1"/>
        <v>252</v>
      </c>
      <c r="G17" s="399"/>
      <c r="H17" s="125"/>
    </row>
    <row r="18" spans="1:8" x14ac:dyDescent="0.2">
      <c r="A18" s="448"/>
      <c r="B18" s="448"/>
      <c r="C18" s="399"/>
      <c r="D18" s="399"/>
      <c r="E18" s="399"/>
      <c r="F18" s="399"/>
      <c r="G18" s="399"/>
      <c r="H18" s="125"/>
    </row>
    <row r="19" spans="1:8" x14ac:dyDescent="0.2">
      <c r="A19" s="448"/>
      <c r="B19" s="448"/>
      <c r="C19" s="399"/>
      <c r="D19" s="399"/>
      <c r="E19" s="399"/>
      <c r="F19" s="399"/>
      <c r="G19" s="399"/>
      <c r="H19" s="125"/>
    </row>
    <row r="20" spans="1:8" x14ac:dyDescent="0.2">
      <c r="A20" s="634" t="s">
        <v>1208</v>
      </c>
      <c r="B20" s="635"/>
      <c r="C20" s="635"/>
      <c r="D20" s="635"/>
      <c r="E20" s="635"/>
      <c r="F20" s="635"/>
      <c r="G20" s="635"/>
      <c r="H20" s="393"/>
    </row>
    <row r="21" spans="1:8" x14ac:dyDescent="0.2">
      <c r="A21" s="634" t="s">
        <v>1216</v>
      </c>
      <c r="B21" s="635"/>
      <c r="C21" s="635"/>
      <c r="D21" s="635"/>
      <c r="E21" s="635"/>
      <c r="F21" s="635"/>
      <c r="G21" s="635"/>
      <c r="H21" s="393"/>
    </row>
    <row r="22" spans="1:8" x14ac:dyDescent="0.2">
      <c r="A22" s="600" t="s">
        <v>1215</v>
      </c>
      <c r="B22" s="448"/>
      <c r="C22" s="448"/>
      <c r="D22" s="448"/>
      <c r="E22" s="448"/>
      <c r="F22" s="448"/>
      <c r="G22" s="448"/>
      <c r="H22" s="393"/>
    </row>
    <row r="23" spans="1:8" x14ac:dyDescent="0.2">
      <c r="A23" s="448"/>
      <c r="B23" s="448"/>
      <c r="C23" s="448"/>
      <c r="D23" s="448"/>
      <c r="E23" s="448"/>
      <c r="F23" s="448"/>
      <c r="G23" s="448"/>
      <c r="H23" s="393"/>
    </row>
    <row r="24" spans="1:8" ht="14.25" x14ac:dyDescent="0.2">
      <c r="A24" s="592" t="s">
        <v>1157</v>
      </c>
      <c r="B24" s="448"/>
      <c r="C24" s="448"/>
      <c r="D24" s="448"/>
      <c r="E24" s="448"/>
      <c r="F24" s="448"/>
      <c r="G24" s="448"/>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showGridLines="0" zoomScaleNormal="100" workbookViewId="0">
      <selection activeCell="C7" sqref="C7"/>
    </sheetView>
  </sheetViews>
  <sheetFormatPr baseColWidth="10" defaultColWidth="11" defaultRowHeight="12" x14ac:dyDescent="0.2"/>
  <cols>
    <col min="1" max="1" width="20.375" style="17" customWidth="1"/>
    <col min="2" max="2" width="2.75" style="17" customWidth="1"/>
    <col min="3" max="3" width="22.375" style="17"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98" t="s">
        <v>1187</v>
      </c>
      <c r="B1" s="32"/>
      <c r="C1" s="32"/>
      <c r="D1" s="127"/>
      <c r="E1" s="127"/>
    </row>
    <row r="2" spans="1:7" x14ac:dyDescent="0.2">
      <c r="C2" s="32"/>
      <c r="D2" s="36"/>
      <c r="E2" s="32"/>
    </row>
    <row r="3" spans="1:7" x14ac:dyDescent="0.2">
      <c r="A3" s="68"/>
      <c r="B3" s="68"/>
      <c r="C3" s="68"/>
      <c r="D3" s="128"/>
      <c r="E3" s="36"/>
      <c r="F3" s="68"/>
      <c r="G3" s="68"/>
    </row>
    <row r="4" spans="1:7" ht="24" x14ac:dyDescent="0.2">
      <c r="A4" s="637" t="s">
        <v>573</v>
      </c>
      <c r="B4" s="637"/>
      <c r="C4" s="129" t="s">
        <v>574</v>
      </c>
      <c r="D4" s="130" t="s">
        <v>575</v>
      </c>
      <c r="E4" s="599" t="s">
        <v>1188</v>
      </c>
      <c r="F4" s="131">
        <v>2014</v>
      </c>
      <c r="G4" s="132">
        <v>2013</v>
      </c>
    </row>
    <row r="5" spans="1:7" x14ac:dyDescent="0.2">
      <c r="A5" s="41"/>
      <c r="B5" s="133"/>
      <c r="C5" s="40"/>
      <c r="D5" s="36"/>
      <c r="E5" s="36"/>
      <c r="F5" s="41"/>
      <c r="G5" s="42"/>
    </row>
    <row r="6" spans="1:7" x14ac:dyDescent="0.2">
      <c r="A6" s="638" t="s">
        <v>576</v>
      </c>
      <c r="B6" s="638"/>
      <c r="C6" s="2"/>
      <c r="D6" s="134"/>
      <c r="E6" s="134"/>
      <c r="F6" s="135"/>
      <c r="G6" s="136"/>
    </row>
    <row r="7" spans="1:7" x14ac:dyDescent="0.2">
      <c r="A7" s="137" t="s">
        <v>577</v>
      </c>
      <c r="B7" s="138"/>
      <c r="C7" s="489" t="s">
        <v>578</v>
      </c>
      <c r="D7" s="134">
        <v>2021</v>
      </c>
      <c r="E7" s="134">
        <v>2016</v>
      </c>
      <c r="F7" s="139">
        <v>745</v>
      </c>
      <c r="G7" s="140">
        <v>745</v>
      </c>
    </row>
    <row r="8" spans="1:7" x14ac:dyDescent="0.2">
      <c r="A8" s="137" t="s">
        <v>579</v>
      </c>
      <c r="B8" s="138"/>
      <c r="C8" s="489" t="s">
        <v>580</v>
      </c>
      <c r="D8" s="134">
        <v>2023</v>
      </c>
      <c r="E8" s="134">
        <v>2018</v>
      </c>
      <c r="F8" s="139">
        <v>499</v>
      </c>
      <c r="G8" s="140">
        <v>455</v>
      </c>
    </row>
    <row r="9" spans="1:7" x14ac:dyDescent="0.2">
      <c r="A9" s="137" t="s">
        <v>581</v>
      </c>
      <c r="B9" s="138"/>
      <c r="C9" s="489" t="s">
        <v>582</v>
      </c>
      <c r="D9" s="134"/>
      <c r="E9" s="134"/>
      <c r="F9" s="139">
        <v>0</v>
      </c>
      <c r="G9" s="140">
        <v>78</v>
      </c>
    </row>
    <row r="10" spans="1:7" x14ac:dyDescent="0.2">
      <c r="A10" s="137" t="s">
        <v>583</v>
      </c>
      <c r="B10" s="138"/>
      <c r="C10" s="489" t="s">
        <v>584</v>
      </c>
      <c r="D10" s="134">
        <v>2022</v>
      </c>
      <c r="E10" s="134">
        <v>2017</v>
      </c>
      <c r="F10" s="139">
        <v>825</v>
      </c>
      <c r="G10" s="140">
        <v>825</v>
      </c>
    </row>
    <row r="11" spans="1:7" x14ac:dyDescent="0.2">
      <c r="A11" s="496" t="s">
        <v>585</v>
      </c>
      <c r="B11" s="141"/>
      <c r="C11" s="142"/>
      <c r="D11" s="143"/>
      <c r="E11" s="143"/>
      <c r="F11" s="144">
        <f>SUM(F7:F10)</f>
        <v>2069</v>
      </c>
      <c r="G11" s="145">
        <f>SUM(G7:G10)</f>
        <v>2103</v>
      </c>
    </row>
    <row r="12" spans="1:7" x14ac:dyDescent="0.2">
      <c r="A12" s="137"/>
      <c r="B12" s="138"/>
      <c r="C12" s="2"/>
      <c r="D12" s="146"/>
      <c r="E12" s="146"/>
      <c r="F12" s="135"/>
      <c r="G12" s="136"/>
    </row>
    <row r="13" spans="1:7" ht="14.25" x14ac:dyDescent="0.2">
      <c r="A13" s="147"/>
      <c r="B13" s="148"/>
      <c r="C13" s="5"/>
      <c r="D13" s="146"/>
      <c r="E13" s="146"/>
      <c r="F13" s="149"/>
      <c r="G13" s="150"/>
    </row>
    <row r="14" spans="1:7" ht="14.25" x14ac:dyDescent="0.2">
      <c r="A14" s="638" t="s">
        <v>586</v>
      </c>
      <c r="B14" s="638"/>
      <c r="C14" s="151"/>
      <c r="D14" s="5"/>
      <c r="E14" s="5"/>
      <c r="F14" s="152"/>
      <c r="G14" s="153"/>
    </row>
    <row r="15" spans="1:7" x14ac:dyDescent="0.2">
      <c r="A15" s="154" t="s">
        <v>587</v>
      </c>
      <c r="B15" s="147"/>
      <c r="C15" s="489" t="s">
        <v>588</v>
      </c>
      <c r="D15" s="5"/>
      <c r="E15" s="5"/>
      <c r="F15" s="139">
        <v>0</v>
      </c>
      <c r="G15" s="140">
        <v>992</v>
      </c>
    </row>
    <row r="16" spans="1:7" x14ac:dyDescent="0.2">
      <c r="A16" s="154" t="s">
        <v>589</v>
      </c>
      <c r="B16" s="138"/>
      <c r="C16" s="489" t="s">
        <v>590</v>
      </c>
      <c r="D16" s="65"/>
      <c r="E16" s="447">
        <v>2019</v>
      </c>
      <c r="F16" s="139">
        <v>767</v>
      </c>
      <c r="G16" s="140">
        <v>734</v>
      </c>
    </row>
    <row r="17" spans="1:12" x14ac:dyDescent="0.2">
      <c r="A17" s="154" t="s">
        <v>591</v>
      </c>
      <c r="B17" s="155"/>
      <c r="C17" s="489" t="s">
        <v>592</v>
      </c>
      <c r="D17" s="65"/>
      <c r="E17" s="447">
        <v>2019</v>
      </c>
      <c r="F17" s="55">
        <v>116</v>
      </c>
      <c r="G17" s="49">
        <v>115</v>
      </c>
    </row>
    <row r="18" spans="1:12" x14ac:dyDescent="0.2">
      <c r="A18" s="156" t="s">
        <v>593</v>
      </c>
      <c r="B18" s="157"/>
      <c r="C18" s="158" t="s">
        <v>594</v>
      </c>
      <c r="D18" s="158"/>
      <c r="E18" s="158"/>
      <c r="F18" s="139">
        <v>0</v>
      </c>
      <c r="G18" s="140">
        <v>39</v>
      </c>
    </row>
    <row r="19" spans="1:12" x14ac:dyDescent="0.2">
      <c r="A19" s="159" t="s">
        <v>595</v>
      </c>
      <c r="B19" s="157"/>
      <c r="C19" s="160"/>
      <c r="D19" s="158"/>
      <c r="E19" s="158"/>
      <c r="F19" s="144">
        <f>SUM(F15:F18)</f>
        <v>883</v>
      </c>
      <c r="G19" s="145">
        <f>SUM(G15:G18)</f>
        <v>1880</v>
      </c>
    </row>
    <row r="20" spans="1:12" x14ac:dyDescent="0.2">
      <c r="A20" s="137"/>
      <c r="B20" s="161"/>
      <c r="C20" s="2"/>
      <c r="D20" s="2"/>
      <c r="E20" s="2"/>
      <c r="F20" s="9"/>
      <c r="G20" s="2"/>
    </row>
    <row r="21" spans="1:12" x14ac:dyDescent="0.2">
      <c r="A21" s="137" t="s">
        <v>596</v>
      </c>
      <c r="B21" s="161"/>
      <c r="C21" s="2"/>
      <c r="D21" s="2"/>
      <c r="E21" s="2"/>
      <c r="F21" s="139">
        <v>12</v>
      </c>
      <c r="G21" s="140">
        <v>21</v>
      </c>
    </row>
    <row r="22" spans="1:12" x14ac:dyDescent="0.2">
      <c r="A22" s="137"/>
      <c r="B22" s="161"/>
      <c r="C22" s="2"/>
      <c r="D22" s="2"/>
      <c r="E22" s="2"/>
      <c r="F22" s="9"/>
      <c r="G22" s="2"/>
    </row>
    <row r="23" spans="1:12" x14ac:dyDescent="0.2">
      <c r="A23" s="497" t="s">
        <v>597</v>
      </c>
      <c r="B23" s="162"/>
      <c r="C23" s="142"/>
      <c r="D23" s="163"/>
      <c r="E23" s="163"/>
      <c r="F23" s="144">
        <f>+F21+F19+F11</f>
        <v>2964</v>
      </c>
      <c r="G23" s="145">
        <f>+G21+G19+G11</f>
        <v>4004</v>
      </c>
    </row>
    <row r="25" spans="1:12" x14ac:dyDescent="0.2">
      <c r="A25" s="449" t="s">
        <v>598</v>
      </c>
      <c r="B25" s="68"/>
      <c r="C25" s="164"/>
      <c r="D25" s="164"/>
      <c r="E25" s="164"/>
      <c r="F25" s="164"/>
      <c r="G25" s="164"/>
      <c r="H25" s="68"/>
      <c r="I25" s="68"/>
    </row>
    <row r="26" spans="1:12" x14ac:dyDescent="0.2">
      <c r="A26" s="498" t="s">
        <v>599</v>
      </c>
      <c r="B26" s="68"/>
      <c r="C26" s="164"/>
      <c r="D26" s="164"/>
      <c r="E26" s="164"/>
      <c r="F26" s="164"/>
      <c r="G26" s="164"/>
      <c r="H26" s="68"/>
      <c r="I26" s="68"/>
    </row>
    <row r="27" spans="1:12" x14ac:dyDescent="0.2">
      <c r="A27" s="449" t="s">
        <v>600</v>
      </c>
      <c r="B27" s="68"/>
      <c r="C27" s="164"/>
      <c r="D27" s="164"/>
      <c r="E27" s="164"/>
      <c r="F27" s="164"/>
      <c r="G27" s="164"/>
      <c r="H27" s="68"/>
      <c r="I27" s="68"/>
    </row>
    <row r="28" spans="1:12" x14ac:dyDescent="0.2">
      <c r="A28" s="449" t="s">
        <v>601</v>
      </c>
      <c r="B28" s="68"/>
      <c r="C28" s="164"/>
      <c r="D28" s="164"/>
      <c r="E28" s="164"/>
      <c r="F28" s="164"/>
      <c r="G28" s="164"/>
      <c r="H28" s="68"/>
      <c r="I28" s="68"/>
      <c r="J28" s="68"/>
      <c r="K28" s="68"/>
      <c r="L28" s="68"/>
    </row>
    <row r="29" spans="1:12" x14ac:dyDescent="0.2">
      <c r="A29" s="449" t="s">
        <v>602</v>
      </c>
      <c r="B29" s="68"/>
      <c r="C29" s="164"/>
      <c r="D29" s="164"/>
      <c r="E29" s="164"/>
      <c r="F29" s="164"/>
      <c r="G29" s="164"/>
      <c r="H29" s="68"/>
      <c r="I29" s="68"/>
      <c r="J29" s="68"/>
      <c r="K29" s="68"/>
      <c r="L29" s="68"/>
    </row>
    <row r="30" spans="1:12" x14ac:dyDescent="0.2">
      <c r="A30" s="641"/>
      <c r="B30" s="641"/>
      <c r="C30" s="641"/>
      <c r="D30" s="641"/>
      <c r="E30" s="641"/>
      <c r="F30" s="641"/>
      <c r="G30" s="68"/>
      <c r="H30" s="68"/>
      <c r="I30" s="68"/>
      <c r="J30" s="68"/>
      <c r="K30" s="68"/>
      <c r="L30" s="68"/>
    </row>
    <row r="31" spans="1:12" x14ac:dyDescent="0.2">
      <c r="A31" s="449"/>
    </row>
    <row r="34" spans="2:7" ht="12.75" x14ac:dyDescent="0.2">
      <c r="B34" s="165"/>
      <c r="C34" s="165"/>
      <c r="D34" s="165"/>
      <c r="E34" s="165"/>
      <c r="F34" s="165"/>
      <c r="G34" s="165"/>
    </row>
    <row r="35" spans="2:7" x14ac:dyDescent="0.2">
      <c r="B35" s="166"/>
      <c r="C35" s="166"/>
      <c r="D35" s="166"/>
      <c r="E35" s="166"/>
      <c r="F35" s="639"/>
      <c r="G35" s="640"/>
    </row>
    <row r="61" spans="10:12" ht="12.75" x14ac:dyDescent="0.2">
      <c r="J61" s="68"/>
      <c r="K61" s="165"/>
      <c r="L61" s="165"/>
    </row>
    <row r="62" spans="10:12" ht="12.75" x14ac:dyDescent="0.2">
      <c r="J62" s="68"/>
      <c r="K62" s="165"/>
      <c r="L62" s="165"/>
    </row>
    <row r="63" spans="10:12" ht="12.75" x14ac:dyDescent="0.2">
      <c r="J63" s="68"/>
      <c r="K63" s="165"/>
      <c r="L63" s="165"/>
    </row>
    <row r="64" spans="10:12" ht="12.75" x14ac:dyDescent="0.2">
      <c r="J64" s="68"/>
      <c r="K64" s="165"/>
      <c r="L64" s="165"/>
    </row>
    <row r="65" spans="10:12" ht="12.75" x14ac:dyDescent="0.2">
      <c r="J65" s="68"/>
      <c r="K65" s="165"/>
      <c r="L65" s="165"/>
    </row>
  </sheetData>
  <mergeCells count="5">
    <mergeCell ref="A4:B4"/>
    <mergeCell ref="A6:B6"/>
    <mergeCell ref="A14:B14"/>
    <mergeCell ref="F35:G35"/>
    <mergeCell ref="A30:F30"/>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Ruth Siri Espedal Lycke</cp:lastModifiedBy>
  <cp:lastPrinted>2015-03-25T08:27:20Z</cp:lastPrinted>
  <dcterms:created xsi:type="dcterms:W3CDTF">2008-04-01T14:46:24Z</dcterms:created>
  <dcterms:modified xsi:type="dcterms:W3CDTF">2016-03-01T13:11:26Z</dcterms:modified>
</cp:coreProperties>
</file>