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7\Q2 2017\"/>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'1'!$A$1:$G$43</definedName>
    <definedName name="_xlnm.Print_Area" localSheetId="10">'10'!$A$1:$E$38</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'23'!$A$1:$D$23</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'3'!$A$1:$H$16</definedName>
    <definedName name="_xlnm.Print_Area" localSheetId="4">'4'!$A$1:$E$67</definedName>
    <definedName name="_xlnm.Print_Area" localSheetId="5">'5'!$A$1:$F$28</definedName>
    <definedName name="_xlnm.Print_Area" localSheetId="6">'6'!#REF!</definedName>
    <definedName name="_xlnm.Print_Area" localSheetId="7">'7'!$A$1:$I$26</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M9" i="45" l="1"/>
  <c r="J9" i="45"/>
  <c r="I9" i="45"/>
  <c r="H9" i="45"/>
  <c r="G9" i="45"/>
  <c r="F9" i="45"/>
  <c r="E9" i="45"/>
  <c r="D9" i="45"/>
  <c r="C9" i="45"/>
  <c r="B9" i="45"/>
  <c r="K8" i="45"/>
  <c r="K9" i="45" s="1"/>
  <c r="C33" i="41"/>
  <c r="C32" i="41"/>
  <c r="H37" i="39"/>
  <c r="G36" i="39"/>
  <c r="C36" i="39"/>
  <c r="H36" i="39" s="1"/>
  <c r="H35" i="39"/>
  <c r="H34" i="39"/>
  <c r="H33" i="39"/>
  <c r="H28" i="39"/>
  <c r="H27" i="39"/>
  <c r="H26" i="39"/>
  <c r="H25" i="39"/>
  <c r="F24" i="39"/>
  <c r="E24" i="39"/>
  <c r="H24" i="39" s="1"/>
  <c r="H23" i="39"/>
  <c r="C22" i="39"/>
  <c r="H22" i="39" s="1"/>
  <c r="H21" i="39"/>
  <c r="H20" i="39"/>
  <c r="G19" i="39"/>
  <c r="H19" i="39" s="1"/>
  <c r="H15" i="39"/>
  <c r="F15" i="39"/>
  <c r="E15" i="39"/>
  <c r="C15" i="39"/>
  <c r="H14" i="39"/>
  <c r="E14" i="39"/>
  <c r="H13" i="39"/>
  <c r="G12" i="39"/>
  <c r="H12" i="39" s="1"/>
  <c r="H11" i="39"/>
  <c r="H10" i="39"/>
  <c r="G9" i="39"/>
  <c r="H9" i="39" s="1"/>
  <c r="D9" i="39"/>
  <c r="C9" i="39"/>
  <c r="F8" i="39"/>
  <c r="H8" i="39" s="1"/>
  <c r="G7" i="39"/>
  <c r="H7" i="39" s="1"/>
  <c r="H6" i="39"/>
  <c r="C8" i="6"/>
  <c r="C7" i="6"/>
  <c r="C6" i="6"/>
  <c r="C5" i="6"/>
  <c r="C22" i="14"/>
  <c r="E19" i="14"/>
  <c r="C19" i="14"/>
  <c r="E18" i="14"/>
  <c r="C18" i="14"/>
  <c r="E17" i="14"/>
  <c r="E16" i="14"/>
  <c r="C16" i="14"/>
  <c r="C9" i="6"/>
  <c r="E13" i="14"/>
  <c r="D13" i="14"/>
  <c r="C13" i="14"/>
  <c r="C47" i="4"/>
  <c r="C36" i="4"/>
  <c r="B36" i="4"/>
  <c r="C23" i="4"/>
  <c r="B23" i="4"/>
  <c r="D16" i="39" l="1"/>
  <c r="H30" i="39" l="1"/>
  <c r="G30" i="39"/>
  <c r="F30" i="39"/>
  <c r="E30" i="39"/>
  <c r="D30" i="39"/>
  <c r="C30" i="39"/>
  <c r="B30" i="39"/>
  <c r="H38" i="39"/>
  <c r="G38" i="39"/>
  <c r="F38" i="39"/>
  <c r="E38" i="39"/>
  <c r="D38" i="39"/>
  <c r="C38" i="39"/>
  <c r="B38" i="39"/>
  <c r="F16" i="39"/>
  <c r="B16" i="39"/>
  <c r="C16" i="39"/>
  <c r="G16" i="39" l="1"/>
  <c r="H40" i="39"/>
  <c r="C40" i="39"/>
  <c r="H16" i="39"/>
  <c r="E16" i="39"/>
  <c r="B40" i="39"/>
  <c r="F40" i="39"/>
  <c r="G40" i="39"/>
  <c r="D40" i="39"/>
  <c r="E40" i="39"/>
  <c r="C16" i="6"/>
  <c r="G9" i="6"/>
  <c r="F19" i="14"/>
  <c r="F16" i="14"/>
  <c r="B28" i="21" l="1"/>
  <c r="B14" i="21"/>
  <c r="C123" i="13" l="1"/>
  <c r="C124" i="13" s="1"/>
  <c r="D81" i="13"/>
  <c r="C81" i="13"/>
  <c r="D69" i="13"/>
  <c r="C69" i="13"/>
  <c r="D56" i="13"/>
  <c r="C56" i="13"/>
  <c r="D43" i="13"/>
  <c r="C43" i="13"/>
  <c r="D30" i="13"/>
  <c r="C30" i="13"/>
  <c r="D17" i="13"/>
  <c r="C17" i="13"/>
  <c r="C4" i="25" l="1"/>
  <c r="D13" i="5"/>
  <c r="C13" i="5"/>
  <c r="F10" i="10"/>
  <c r="D10" i="10"/>
  <c r="H9" i="10"/>
  <c r="F9" i="10"/>
  <c r="D9" i="10"/>
  <c r="H8" i="10"/>
  <c r="F8" i="10"/>
  <c r="D8" i="10"/>
  <c r="H7" i="10"/>
  <c r="E7" i="10"/>
  <c r="E4" i="10" s="1"/>
  <c r="F4" i="10" s="1"/>
  <c r="D7" i="10"/>
  <c r="H6" i="10"/>
  <c r="F6" i="10"/>
  <c r="D6" i="10"/>
  <c r="H5" i="10"/>
  <c r="F5" i="10"/>
  <c r="D5" i="10"/>
  <c r="H4" i="10"/>
  <c r="C4" i="10"/>
  <c r="F14" i="8"/>
  <c r="F13" i="8"/>
  <c r="D4" i="10" l="1"/>
  <c r="F7" i="10"/>
  <c r="E12" i="15" l="1"/>
  <c r="E11" i="15"/>
  <c r="E10" i="15"/>
  <c r="E6" i="15"/>
  <c r="E5" i="15"/>
  <c r="D4" i="15"/>
  <c r="E4" i="15" s="1"/>
  <c r="F20" i="18"/>
  <c r="F19" i="18"/>
  <c r="F16" i="18"/>
  <c r="F15" i="18"/>
  <c r="F14" i="18"/>
  <c r="F11" i="18"/>
  <c r="F10" i="18"/>
  <c r="F7" i="18"/>
  <c r="F6" i="18"/>
  <c r="F5" i="18"/>
  <c r="B35" i="19"/>
  <c r="D35" i="19"/>
  <c r="C35" i="19"/>
  <c r="B34" i="19"/>
  <c r="C36" i="19"/>
  <c r="D34" i="19"/>
  <c r="C33" i="19"/>
  <c r="C32" i="19"/>
  <c r="C31" i="19"/>
  <c r="C30" i="19"/>
  <c r="C29" i="19"/>
  <c r="C28" i="19"/>
  <c r="C27" i="19"/>
  <c r="C26" i="19"/>
  <c r="C25" i="19"/>
  <c r="C24" i="19"/>
  <c r="D18" i="19"/>
  <c r="C17" i="19"/>
  <c r="B17" i="19"/>
  <c r="D17" i="19"/>
  <c r="C14" i="21"/>
  <c r="C13" i="21"/>
  <c r="C12" i="21"/>
  <c r="C9" i="21"/>
  <c r="C8" i="21"/>
  <c r="C7" i="21"/>
  <c r="C5" i="21"/>
  <c r="C6" i="21"/>
  <c r="C4" i="21"/>
  <c r="E8" i="20"/>
  <c r="E7" i="20"/>
  <c r="E6" i="20"/>
  <c r="E5" i="20"/>
  <c r="B51" i="4"/>
  <c r="C51" i="4"/>
  <c r="B33" i="4"/>
  <c r="C55" i="4" l="1"/>
  <c r="C56" i="4"/>
  <c r="C53" i="4"/>
  <c r="C57" i="4"/>
  <c r="B57" i="4"/>
  <c r="B55" i="4"/>
  <c r="B58" i="4" s="1"/>
  <c r="B53" i="4"/>
  <c r="B59" i="4" s="1"/>
  <c r="B56" i="4"/>
  <c r="E15" i="17"/>
  <c r="D15" i="17"/>
  <c r="C15" i="17"/>
  <c r="B15" i="17"/>
  <c r="C58" i="4" l="1"/>
  <c r="E38" i="17"/>
  <c r="D38" i="17"/>
  <c r="C38" i="17"/>
  <c r="B38" i="17"/>
  <c r="E18" i="17"/>
  <c r="D18" i="17"/>
  <c r="C18" i="17"/>
  <c r="B18" i="17"/>
  <c r="F17" i="6"/>
  <c r="E17" i="6"/>
  <c r="D17" i="6"/>
  <c r="C17" i="6"/>
  <c r="F9" i="6"/>
  <c r="E9" i="6"/>
  <c r="D9" i="6"/>
  <c r="E23" i="14"/>
  <c r="C23" i="14"/>
  <c r="F23" i="14"/>
  <c r="E14" i="14"/>
  <c r="D14" i="14"/>
  <c r="C14" i="14"/>
  <c r="F14" i="14"/>
  <c r="F25" i="14" s="1"/>
  <c r="E25" i="14" l="1"/>
  <c r="C41" i="4" l="1"/>
  <c r="B41" i="4"/>
  <c r="C33" i="4" l="1"/>
  <c r="E10" i="31"/>
  <c r="C10" i="31"/>
  <c r="C43" i="4" l="1"/>
  <c r="C59" i="4"/>
  <c r="B43" i="4"/>
  <c r="D19" i="5"/>
  <c r="C19" i="5"/>
  <c r="C14" i="8"/>
  <c r="D37" i="19" l="1"/>
  <c r="C37" i="19"/>
  <c r="B37" i="19"/>
  <c r="C14" i="32" l="1"/>
  <c r="E17" i="18" l="1"/>
  <c r="D17" i="18"/>
  <c r="C17" i="18"/>
  <c r="B17" i="18"/>
  <c r="F8" i="18"/>
  <c r="E8" i="18"/>
  <c r="D8" i="18"/>
  <c r="C8" i="18"/>
  <c r="B8" i="18"/>
  <c r="F17" i="18" l="1"/>
  <c r="D7" i="15" l="1"/>
  <c r="C7" i="15"/>
  <c r="B7" i="15"/>
  <c r="C20" i="21"/>
  <c r="C24" i="21" s="1"/>
  <c r="B20" i="21"/>
  <c r="B24" i="21" s="1"/>
  <c r="B6" i="21"/>
  <c r="B10" i="21" s="1"/>
  <c r="D17" i="20"/>
  <c r="C17" i="20"/>
  <c r="B17" i="20"/>
  <c r="B9" i="20"/>
  <c r="D9" i="20"/>
  <c r="C10" i="21" l="1"/>
  <c r="E7" i="15"/>
  <c r="E9" i="20"/>
  <c r="C9" i="20"/>
  <c r="E17" i="20"/>
  <c r="D7" i="23" l="1"/>
  <c r="B10" i="11" l="1"/>
  <c r="C10" i="11"/>
  <c r="C29" i="11"/>
  <c r="C21" i="11"/>
  <c r="G17" i="28"/>
  <c r="G11" i="28"/>
  <c r="G21" i="28" l="1"/>
  <c r="C11" i="10" l="1"/>
  <c r="E11" i="10"/>
  <c r="G11" i="10"/>
  <c r="C7" i="25"/>
  <c r="F11" i="10" l="1"/>
  <c r="D11" i="10"/>
  <c r="I11" i="10"/>
  <c r="H11" i="10" s="1"/>
  <c r="D16" i="5" l="1"/>
  <c r="D20" i="5" s="1"/>
  <c r="C16" i="5" l="1"/>
  <c r="D11" i="16" l="1"/>
  <c r="C11" i="16"/>
  <c r="B11" i="16"/>
  <c r="B29" i="11" l="1"/>
  <c r="B21" i="11"/>
  <c r="D13" i="15" l="1"/>
  <c r="C13" i="15"/>
  <c r="B13" i="15"/>
  <c r="D19" i="16"/>
  <c r="C19" i="16"/>
  <c r="B19" i="16"/>
  <c r="D16" i="9"/>
  <c r="C16" i="9"/>
  <c r="B19" i="19"/>
  <c r="C19" i="19"/>
  <c r="E13" i="15" l="1"/>
  <c r="D19" i="19"/>
  <c r="C27" i="32" l="1"/>
  <c r="F17" i="28" l="1"/>
  <c r="F11" i="28"/>
  <c r="F21" i="28" l="1"/>
  <c r="E7" i="23" l="1"/>
  <c r="C7" i="23"/>
  <c r="F8" i="26" l="1"/>
  <c r="C8" i="26"/>
  <c r="B8" i="26"/>
  <c r="E8" i="26"/>
  <c r="D8" i="26"/>
  <c r="B7" i="25" l="1"/>
  <c r="C20" i="5"/>
  <c r="F15" i="26"/>
  <c r="E15" i="26"/>
  <c r="D15" i="26"/>
  <c r="C15" i="26"/>
  <c r="B15" i="26"/>
</calcChain>
</file>

<file path=xl/sharedStrings.xml><?xml version="1.0" encoding="utf-8"?>
<sst xmlns="http://schemas.openxmlformats.org/spreadsheetml/2006/main" count="2038" uniqueCount="1180">
  <si>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</si>
  <si>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</si>
  <si>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</si>
  <si>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</si>
  <si>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</si>
  <si>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</si>
  <si>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</si>
  <si>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</si>
  <si>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</si>
  <si>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</si>
  <si>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</si>
  <si>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</si>
  <si>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</si>
  <si>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</si>
  <si>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</si>
  <si>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</si>
  <si>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</si>
  <si>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</si>
  <si>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</si>
  <si>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</si>
  <si>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</si>
  <si>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</si>
  <si>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</si>
  <si>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</si>
  <si>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</si>
  <si>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</si>
  <si>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</si>
  <si>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</si>
  <si>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</si>
  <si>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</si>
  <si>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</si>
  <si>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</si>
  <si>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</si>
  <si>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</si>
  <si>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</si>
  <si>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</si>
  <si>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</si>
  <si>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</si>
  <si>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</si>
  <si>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</si>
  <si>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</si>
  <si>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</si>
  <si>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</si>
  <si>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</si>
  <si>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</si>
  <si>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</si>
  <si>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</si>
  <si>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</si>
  <si>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</si>
  <si>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</si>
  <si>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</si>
  <si>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</si>
  <si>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</si>
  <si>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</si>
  <si>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</si>
  <si>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</si>
  <si>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</si>
  <si>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</si>
  <si>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</si>
  <si>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</si>
  <si>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</si>
  <si>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</si>
  <si>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</si>
  <si>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</si>
  <si>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</si>
  <si>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</si>
  <si>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</si>
  <si>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</si>
  <si>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</si>
  <si>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</si>
  <si>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</si>
  <si>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</si>
  <si>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</si>
  <si>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</si>
  <si>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</si>
  <si>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</si>
  <si>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</si>
  <si>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t>Change in value 
in 2014 (%)</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</si>
  <si>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</si>
  <si>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</si>
  <si>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</si>
  <si>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</si>
  <si>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</si>
  <si>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SME enterprises *</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</si>
  <si>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</si>
  <si>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</si>
  <si>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</si>
  <si>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</si>
  <si>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</si>
  <si>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</si>
  <si>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</si>
  <si>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</si>
  <si>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</si>
  <si>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</si>
  <si>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</si>
  <si>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</si>
  <si>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</si>
  <si>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</si>
  <si>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</si>
  <si>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</si>
  <si>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</si>
  <si>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</si>
  <si>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</si>
  <si>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</si>
  <si>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</si>
  <si>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</si>
  <si>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</si>
  <si>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</si>
  <si>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</si>
  <si>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</si>
  <si>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</si>
  <si>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</si>
  <si>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</si>
  <si>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</si>
  <si>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</si>
  <si>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</si>
  <si>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color rgb="FF000000"/>
        <rFont val="Calibri"/>
        <family val="2"/>
      </rPr>
      <t xml:space="preserve">The Group's limits define quantitative targets for the maximum potential loss. The commercial risk is quantified and monitored continuously. </t>
    </r>
  </si>
  <si>
    <r>
      <rPr>
        <sz val="9"/>
        <color rgb="FF000000"/>
        <rFont val="Calibri"/>
        <family val="2"/>
      </rPr>
      <t xml:space="preserve">The Group's general limits for interest rate risk define the maximum loss from a 1 percentage point change in interest rates. </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</si>
  <si>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</si>
  <si>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</si>
  <si>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</si>
  <si>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</si>
  <si>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</si>
  <si>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</si>
  <si>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</si>
  <si>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</si>
  <si>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</si>
  <si>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</si>
  <si>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</si>
  <si>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</si>
  <si>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</si>
  <si>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</si>
  <si>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</si>
  <si>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</si>
  <si>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</si>
  <si>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</si>
  <si>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</si>
  <si>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</si>
  <si>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</si>
  <si>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</si>
  <si>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</si>
  <si>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</si>
  <si>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</si>
  <si>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</si>
  <si>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</si>
  <si>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</si>
  <si>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</si>
  <si>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</si>
  <si>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</si>
  <si>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</si>
  <si>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</si>
  <si>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</si>
  <si>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</si>
  <si>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</si>
  <si>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</si>
  <si>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</si>
  <si>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</si>
  <si>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</si>
  <si>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</si>
  <si>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</si>
  <si>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</si>
  <si>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</si>
  <si>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</si>
  <si>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</si>
  <si>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</si>
  <si>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</si>
  <si>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</si>
  <si>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</si>
  <si>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</si>
  <si>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</si>
  <si>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</si>
  <si>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</si>
  <si>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</si>
  <si>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</si>
  <si>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</si>
  <si>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</si>
  <si>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</si>
  <si>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</si>
  <si>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</si>
  <si>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</si>
  <si>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</si>
  <si>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</si>
  <si>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</si>
  <si>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</si>
  <si>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</si>
  <si>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</si>
  <si>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</si>
  <si>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</si>
  <si>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</si>
  <si>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</si>
  <si>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</si>
  <si>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</si>
  <si>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</si>
  <si>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</si>
  <si>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</si>
  <si>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</si>
  <si>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</si>
  <si>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</si>
  <si>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</si>
  <si>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</si>
  <si>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</si>
  <si>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</si>
  <si>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</si>
  <si>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</si>
  <si>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</si>
  <si>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</si>
  <si>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</si>
  <si>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</si>
  <si>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</si>
  <si>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</si>
  <si>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</si>
  <si>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</si>
  <si>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</si>
  <si>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</si>
  <si>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</si>
  <si>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</si>
  <si>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</si>
  <si>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</si>
  <si>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</si>
  <si>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</si>
  <si>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</si>
  <si>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</si>
  <si>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</si>
  <si>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</si>
  <si>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</si>
  <si>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</si>
  <si>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</si>
  <si>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</si>
  <si>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</si>
  <si>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</si>
  <si>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</si>
  <si>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</si>
  <si>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</si>
  <si>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</si>
  <si>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</si>
  <si>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</si>
  <si>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</si>
  <si>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</si>
  <si>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</si>
  <si>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</si>
  <si>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</si>
  <si>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</si>
  <si>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</si>
  <si>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</si>
  <si>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</si>
  <si>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</si>
  <si>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</si>
  <si>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</si>
  <si>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</si>
  <si>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</si>
  <si>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</si>
  <si>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</si>
  <si>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</si>
  <si>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</si>
  <si>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</si>
  <si>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</si>
  <si>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</si>
  <si>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</si>
  <si>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</si>
  <si>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</si>
  <si>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</si>
  <si>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</si>
  <si>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</si>
  <si>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</si>
  <si>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</si>
  <si>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</si>
  <si>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</si>
  <si>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</si>
  <si>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</si>
  <si>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</si>
  <si>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</si>
  <si>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</si>
  <si>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</si>
  <si>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</si>
  <si>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</si>
  <si>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</si>
  <si>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</si>
  <si>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</si>
  <si>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</si>
  <si>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</si>
  <si>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</si>
  <si>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</si>
  <si>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</si>
  <si>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</si>
  <si>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</si>
  <si>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</si>
  <si>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</si>
  <si>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</si>
  <si>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</si>
  <si>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</si>
  <si>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</si>
  <si>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</si>
  <si>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</si>
  <si>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</si>
  <si>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</si>
  <si>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</si>
  <si>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</si>
  <si>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</si>
  <si>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</si>
  <si>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</si>
  <si>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</si>
  <si>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</si>
  <si>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</si>
  <si>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</si>
  <si>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</si>
  <si>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</si>
  <si>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</si>
  <si>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</si>
  <si>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</si>
  <si>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</si>
  <si>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</si>
  <si>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</si>
  <si>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</si>
  <si>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</si>
  <si>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</si>
  <si>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</si>
  <si>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</si>
  <si>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</si>
  <si>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</si>
  <si>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</si>
  <si>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</si>
  <si>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</si>
  <si>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</si>
  <si>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</si>
  <si>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</si>
  <si>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</si>
  <si>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</si>
  <si>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</si>
  <si>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</si>
  <si>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</si>
  <si>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</si>
  <si>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</si>
  <si>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</si>
  <si>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</si>
  <si>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</si>
  <si>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</si>
  <si>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</si>
  <si>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</si>
  <si>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</si>
  <si>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</si>
  <si>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</si>
  <si>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</si>
  <si>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</si>
  <si>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</si>
  <si>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</si>
  <si>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</si>
  <si>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</si>
  <si>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</si>
  <si>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</si>
  <si>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</si>
  <si>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</si>
  <si>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</si>
  <si>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</si>
  <si>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</si>
  <si>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</si>
  <si>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</si>
  <si>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</si>
  <si>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</si>
  <si>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</si>
  <si>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</si>
  <si>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</si>
  <si>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</si>
  <si>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</si>
  <si>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</si>
  <si>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</si>
  <si>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</si>
  <si>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</si>
  <si>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</si>
  <si>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</si>
  <si>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</si>
  <si>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</si>
  <si>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</si>
  <si>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</si>
  <si>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</si>
  <si>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</si>
  <si>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</si>
  <si>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</si>
  <si>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</si>
  <si>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</si>
  <si>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</si>
  <si>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</si>
  <si>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</si>
  <si>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</si>
  <si>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</si>
  <si>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</si>
  <si>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</si>
  <si>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</si>
  <si>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</si>
  <si>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</si>
  <si>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</si>
  <si>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</si>
  <si>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</si>
  <si>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</si>
  <si>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</si>
  <si>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</si>
  <si>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</si>
  <si>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</si>
  <si>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</si>
  <si>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</si>
  <si>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</si>
  <si>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</si>
  <si>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</si>
  <si>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</si>
  <si>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</si>
  <si>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</si>
  <si>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</si>
  <si>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</si>
  <si>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</si>
  <si>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</si>
  <si>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</si>
  <si>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</si>
  <si>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</si>
  <si>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</si>
  <si>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</si>
  <si>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</si>
  <si>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</si>
  <si>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750</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</si>
  <si>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</si>
  <si>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</si>
  <si>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</si>
  <si>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</si>
  <si>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</si>
  <si>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</si>
  <si>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</si>
  <si>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</si>
  <si>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</si>
  <si>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sz val="9"/>
        <rFont val="Calibri"/>
        <family val="2"/>
      </rPr>
      <t>Subordinated loan capital and hybrid Tier 1 bonds (hybrids) in foreign currencies are included in the Group's total currency position so that there is no currency risk associated with the loans.</t>
    </r>
  </si>
  <si>
    <r>
      <rPr>
        <sz val="9"/>
        <rFont val="Calibri"/>
        <family val="2"/>
      </rPr>
      <t>Capitalised costs associated with borrowing are reflected in the calculation of amortised cost.</t>
    </r>
  </si>
  <si>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</si>
  <si>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</si>
  <si>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</si>
  <si>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</si>
  <si>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</si>
  <si>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</si>
  <si>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</si>
  <si>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</si>
  <si>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</si>
  <si>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</si>
  <si>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</si>
  <si>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</si>
  <si>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</si>
  <si>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</si>
  <si>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</si>
  <si>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</si>
  <si>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</si>
  <si>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</si>
  <si>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</si>
  <si>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</si>
  <si>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</si>
  <si>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</si>
  <si>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</si>
  <si>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</si>
  <si>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</si>
  <si>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</si>
  <si>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</si>
  <si>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</si>
  <si>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</si>
  <si>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</si>
  <si>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</si>
  <si>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</si>
  <si>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</si>
  <si>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</si>
  <si>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</si>
  <si>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</si>
  <si>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</si>
  <si>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</si>
  <si>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</si>
  <si>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</si>
  <si>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</si>
  <si>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</si>
  <si>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</si>
  <si>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</si>
  <si>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</si>
  <si>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</si>
  <si>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</si>
  <si>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</si>
  <si>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</si>
  <si>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</si>
  <si>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</si>
  <si>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</si>
  <si>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</si>
  <si>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</si>
  <si>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</si>
  <si>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</si>
  <si>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</si>
  <si>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</si>
  <si>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</si>
  <si>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</si>
  <si>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</si>
  <si>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</si>
  <si>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</si>
  <si>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</si>
  <si>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</si>
  <si>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</si>
  <si>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</si>
  <si>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</si>
  <si>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</si>
  <si>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</si>
  <si>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</si>
  <si>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</si>
  <si>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</si>
  <si>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</si>
  <si>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</si>
  <si>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</si>
  <si>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</si>
  <si>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</si>
  <si>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</si>
  <si>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</si>
  <si>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</si>
  <si>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</si>
  <si>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</si>
  <si>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</si>
  <si>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</si>
  <si>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</si>
  <si>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</si>
  <si>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</si>
  <si>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</si>
  <si>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</si>
  <si>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</si>
  <si>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</si>
  <si>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</si>
  <si>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</si>
  <si>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 xml:space="preserve">Of which tier 1 capital instruments that qualify as other approved as tier 1 capital  </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</si>
  <si>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</si>
  <si>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</si>
  <si>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</si>
  <si>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</si>
  <si>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</si>
  <si>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</si>
  <si>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</si>
  <si>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</si>
  <si>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</si>
  <si>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</si>
  <si>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</si>
  <si>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</si>
  <si>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</si>
  <si>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</si>
  <si>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</si>
  <si>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</si>
  <si>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</si>
  <si>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</si>
  <si>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</si>
  <si>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</si>
  <si>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</si>
  <si>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</si>
  <si>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</si>
  <si>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</si>
  <si>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</si>
  <si>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</si>
  <si>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</si>
  <si>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</si>
  <si>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</si>
  <si>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</si>
  <si>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</si>
  <si>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</si>
  <si>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</si>
  <si>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</si>
  <si>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</si>
  <si>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</si>
  <si>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</si>
  <si>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</si>
  <si>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</si>
  <si>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</si>
  <si>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</si>
  <si>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</si>
  <si>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</si>
  <si>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</si>
  <si>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</si>
  <si>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</si>
  <si>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</si>
  <si>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</si>
  <si>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</si>
  <si>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</si>
  <si>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</si>
  <si>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</si>
  <si>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</si>
  <si>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</si>
  <si>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</si>
  <si>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</si>
  <si>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</si>
  <si>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</si>
  <si>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</si>
  <si>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</si>
  <si>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</si>
  <si>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</si>
  <si>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</si>
  <si>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</si>
  <si>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</si>
  <si>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</si>
  <si>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</si>
  <si>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</si>
  <si>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</si>
  <si>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</si>
  <si>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</si>
  <si>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</si>
  <si>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</si>
  <si>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</si>
  <si>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</si>
  <si>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</si>
  <si>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</si>
  <si>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</si>
  <si>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</si>
  <si>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</si>
  <si>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</si>
  <si>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</si>
  <si>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</si>
  <si>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</si>
  <si>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</si>
  <si>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</si>
  <si>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</si>
  <si>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</si>
  <si>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</si>
  <si>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</si>
  <si>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</si>
  <si>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</si>
  <si>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</si>
  <si>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</si>
  <si>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</si>
  <si>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</si>
  <si>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</si>
  <si>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</si>
  <si>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</si>
  <si>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</si>
  <si>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</si>
  <si>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</si>
  <si>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</si>
  <si>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</si>
  <si>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</si>
  <si>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</si>
  <si>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</si>
  <si>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</si>
  <si>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</si>
  <si>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</si>
  <si>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</si>
  <si>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</si>
  <si>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</si>
  <si>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</si>
  <si>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</si>
  <si>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</si>
  <si>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</si>
  <si>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</si>
  <si>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</si>
  <si>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</si>
  <si>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</si>
  <si>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</si>
  <si>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</si>
  <si>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</si>
  <si>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</si>
  <si>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</si>
  <si>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</si>
  <si>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</si>
  <si>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</si>
  <si>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</si>
  <si>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</si>
  <si>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</si>
  <si>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</si>
  <si>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</si>
  <si>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</si>
  <si>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</si>
  <si>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</si>
  <si>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</si>
  <si>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</si>
  <si>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</si>
  <si>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</si>
  <si>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</si>
  <si>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</si>
  <si>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</si>
  <si>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</si>
  <si>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</si>
  <si>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</si>
  <si>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</si>
  <si>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</si>
  <si>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</si>
  <si>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</si>
  <si>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</si>
  <si>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</si>
  <si>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</si>
  <si>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</si>
  <si>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</si>
  <si>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</si>
  <si>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</si>
  <si>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</si>
  <si>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</si>
  <si>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</si>
  <si>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</si>
  <si>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</si>
  <si>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</si>
  <si>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</si>
  <si>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</si>
  <si>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</si>
  <si>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</si>
  <si>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</si>
  <si>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</si>
  <si>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</si>
  <si>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</si>
  <si>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</si>
  <si>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</si>
  <si>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</si>
  <si>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</si>
  <si>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</si>
  <si>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</si>
  <si>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</si>
  <si>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</si>
  <si>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</si>
  <si>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</si>
  <si>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</si>
  <si>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</si>
  <si>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</si>
  <si>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</si>
  <si>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</si>
  <si>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</si>
  <si>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</si>
  <si>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</si>
  <si>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</si>
  <si>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</si>
  <si>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</si>
  <si>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</si>
  <si>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</si>
  <si>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</si>
  <si>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</si>
  <si>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</si>
  <si>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</si>
  <si>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</si>
  <si>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</si>
  <si>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</si>
  <si>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</si>
  <si>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</si>
  <si>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</si>
  <si>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</si>
  <si>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</si>
  <si>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</si>
  <si>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</si>
  <si>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</si>
  <si>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</si>
  <si>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</si>
  <si>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</si>
  <si>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</si>
  <si>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</si>
  <si>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</si>
  <si>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</si>
  <si>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</si>
  <si>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</si>
  <si>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</si>
  <si>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</si>
  <si>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</si>
  <si>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</si>
  <si>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</si>
  <si>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</si>
  <si>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</si>
  <si>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</si>
  <si>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</si>
  <si>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</si>
  <si>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</si>
  <si>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</si>
  <si>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</si>
  <si>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</si>
  <si>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</si>
  <si>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</si>
  <si>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</si>
  <si>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</si>
  <si>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</si>
  <si>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</si>
  <si>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</si>
  <si>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</si>
  <si>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</si>
  <si>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</si>
  <si>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</si>
  <si>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</si>
  <si>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</si>
  <si>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</si>
  <si>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</si>
  <si>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</si>
  <si>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</si>
  <si>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</si>
  <si>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</si>
  <si>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</si>
  <si>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</si>
  <si>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</si>
  <si>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</si>
  <si>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</si>
  <si>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</si>
  <si>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NOK 825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</si>
  <si>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</si>
  <si>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</si>
  <si>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</si>
  <si>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</si>
  <si>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</si>
  <si>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</si>
  <si>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</si>
  <si>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</si>
  <si>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</si>
  <si>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</si>
  <si>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</si>
  <si>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</si>
  <si>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</si>
  <si>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</si>
  <si>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</si>
  <si>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</si>
  <si>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</si>
  <si>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</si>
  <si>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</si>
  <si>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</si>
  <si>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</si>
  <si>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</si>
  <si>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</si>
  <si>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</si>
  <si>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</si>
  <si>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</si>
  <si>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</si>
  <si>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</si>
  <si>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</si>
  <si>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</si>
  <si>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</si>
  <si>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</si>
  <si>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</si>
  <si>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</si>
  <si>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3-month NIBOR + 2.75%</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</si>
  <si>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</si>
  <si>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</si>
  <si>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</si>
  <si>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</si>
  <si>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</si>
  <si>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</si>
  <si>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</si>
  <si>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</si>
  <si>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</si>
  <si>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</si>
  <si>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</si>
  <si>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</si>
  <si>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</si>
  <si>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Convertible or non-convertible</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</si>
  <si>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</si>
  <si>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</si>
  <si>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</si>
  <si>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</si>
  <si>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</si>
  <si>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</si>
  <si>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</si>
  <si>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</si>
  <si>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</si>
  <si>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</si>
  <si>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the paid-in equity is fully written down, it must be possible to fully or partially write down the bonds plus accrued interest with final effect. Write-downs must be made pursuant to the current regulations at any given time and administrative practices for write-downs (currently stipulated in Calculation Regulations and the Financial Supervisory Authority of Norway's circular no. 14/2011 - Practices for approving the raising of other approved tier 1 capital).</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</si>
  <si>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</si>
  <si>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</si>
  <si>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Currently: 5% tier 1 capital ratio and 8% capital ratio stipulated in the Calculation Regulations</t>
    </r>
  </si>
  <si>
    <r>
      <rPr>
        <sz val="9"/>
        <rFont val="Calibri"/>
        <family val="2"/>
      </rPr>
      <t>If the issuer's capital ratio falls below the current minimum requirement at any given time (currently 5% tier 1 capital ratio and 8% capital ratio stipulated in the Calculation Regulations) or below other stipulated minimum requirements, it must be possible to write down the bonds plus accrued interest in accordance with the current rules at any given time.</t>
    </r>
  </si>
  <si>
    <r>
      <rPr>
        <sz val="9"/>
        <rFont val="Calibri"/>
        <family val="2"/>
      </rPr>
      <t>If write-down, full or partial</t>
    </r>
  </si>
  <si>
    <r>
      <rPr>
        <sz val="9"/>
        <rFont val="Calibri"/>
        <family val="2"/>
      </rPr>
      <t>Full or partial</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</si>
  <si>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r>
  </si>
  <si>
    <r>
      <rPr>
        <sz val="9"/>
        <rFont val="Calibri"/>
        <family val="2"/>
      </rPr>
      <t>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</si>
  <si>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</si>
  <si>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</si>
  <si>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</si>
  <si>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</si>
  <si>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</si>
  <si>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</si>
  <si>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</si>
  <si>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</si>
  <si>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</si>
  <si>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</si>
  <si>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</si>
  <si>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</si>
  <si>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 xml:space="preserve">* From and including 2014, enterprise SME is its own category. It was previously classified as other enterprises. The value change in 2014 is therefore based on the sum of </t>
    </r>
  </si>
  <si>
    <r>
      <rPr>
        <sz val="9"/>
        <rFont val="Calibri"/>
        <family val="2"/>
      </rPr>
      <t>enterprise SME and other enterprises.</t>
    </r>
  </si>
  <si>
    <r>
      <rPr>
        <sz val="9"/>
        <rFont val="Calibri"/>
        <family val="2"/>
      </rPr>
      <t>Proportion of operational risk consolidated company</t>
    </r>
  </si>
  <si>
    <r>
      <rPr>
        <b/>
        <sz val="9"/>
        <rFont val="Calibri"/>
        <family val="2"/>
      </rPr>
      <t>Commitments</t>
    </r>
  </si>
  <si>
    <r>
      <rPr>
        <sz val="9"/>
        <rFont val="Calibri"/>
        <family val="2"/>
      </rPr>
      <t>Specialised enterprises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</si>
  <si>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</si>
  <si>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</si>
  <si>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</si>
  <si>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</si>
  <si>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</si>
  <si>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</si>
  <si>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</si>
  <si>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</si>
  <si>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</si>
  <si>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</si>
  <si>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</si>
  <si>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</si>
  <si>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</si>
  <si>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</si>
  <si>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</si>
  <si>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</si>
  <si>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</si>
  <si>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</si>
  <si>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</si>
  <si>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</si>
  <si>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</si>
  <si>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</si>
  <si>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</si>
  <si>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</si>
  <si>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</si>
  <si>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</si>
  <si>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</si>
  <si>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</si>
  <si>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</si>
  <si>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</si>
  <si>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</si>
  <si>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</si>
  <si>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</si>
  <si>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</si>
  <si>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</si>
  <si>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</si>
  <si>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</si>
  <si>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</si>
  <si>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</si>
  <si>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</si>
  <si>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</si>
  <si>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</si>
  <si>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</si>
  <si>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</si>
  <si>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</si>
  <si>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</si>
  <si>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</si>
  <si>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</si>
  <si>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</si>
  <si>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</si>
  <si>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</si>
  <si>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</si>
  <si>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</si>
  <si>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</si>
  <si>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</si>
  <si>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</si>
  <si>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</si>
  <si>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</si>
  <si>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</si>
  <si>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NO0010663297</t>
  </si>
  <si>
    <t xml:space="preserve"> Tier 2</t>
  </si>
  <si>
    <t>Tier 2</t>
  </si>
  <si>
    <t>12.12.2017
 Regulatory call
 Call price 100</t>
  </si>
  <si>
    <t>no</t>
  </si>
  <si>
    <t>N/A</t>
  </si>
  <si>
    <t>Is subordinate to ordinary non-subordinated debt, provided that the bonds with interest will have equal priority to other tier 2 capital</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</si>
  <si>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</si>
  <si>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</si>
  <si>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</si>
  <si>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</si>
  <si>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</si>
  <si>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</si>
  <si>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</si>
  <si>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</si>
  <si>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</si>
  <si>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</si>
  <si>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</si>
  <si>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</si>
  <si>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</si>
  <si>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</si>
  <si>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</si>
  <si>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</si>
  <si>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</si>
  <si>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</si>
  <si>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</si>
  <si>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</si>
  <si>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</si>
  <si>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</si>
  <si>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</si>
  <si>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</si>
  <si>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</si>
  <si>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</si>
  <si>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</si>
  <si>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</si>
  <si>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</si>
  <si>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</si>
  <si>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</si>
  <si>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</si>
  <si>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</si>
  <si>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</si>
  <si>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</si>
  <si>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</si>
  <si>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</si>
  <si>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</si>
  <si>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</si>
  <si>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</si>
  <si>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</si>
  <si>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Countercyclical buffer 1 %</t>
  </si>
  <si>
    <t>Covered bonds</t>
  </si>
  <si>
    <t>Equity positions</t>
  </si>
  <si>
    <t>3 month Nibor + 3.50 % p.a.</t>
  </si>
  <si>
    <t>3 month Nibor + 1.80 % p.a.</t>
  </si>
  <si>
    <t>4 % p.a. until 21/12/2017, then 6 month Euribor + 1.725 % p.a.</t>
  </si>
  <si>
    <t>3 month Nibor + 2.75 % p.a.</t>
  </si>
  <si>
    <t>EUR 50</t>
  </si>
  <si>
    <t>9.35 % p.a. until 09/12/2019, then 3 month Nibor + 5.75 % p.a.</t>
  </si>
  <si>
    <t>3 month Nibor + 4.75 % p.a. until 09/12/2019, then Nibor + 5.75 % p.a.</t>
  </si>
  <si>
    <t xml:space="preserve">Total other mass market </t>
  </si>
  <si>
    <t xml:space="preserve">IRB default level - PD (unweighted) </t>
  </si>
  <si>
    <t>2006-2015</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</si>
  <si>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</si>
  <si>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</si>
  <si>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</si>
  <si>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</si>
  <si>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</si>
  <si>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</si>
  <si>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</si>
  <si>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</si>
  <si>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Change in value 
in 2015 (%)</t>
  </si>
  <si>
    <t>Value
31/12/2013</t>
  </si>
  <si>
    <t>Energy Ventures IV LP</t>
  </si>
  <si>
    <t>Øvrige finansielle investeringer</t>
  </si>
  <si>
    <t>Bank 1 Oslo Akershus *</t>
  </si>
  <si>
    <t>Visa Norge IFS</t>
  </si>
  <si>
    <t>Øvrige strategiske investeringer</t>
  </si>
  <si>
    <t>Total strategic investments available for sale</t>
  </si>
  <si>
    <t>Value
 2015</t>
  </si>
  <si>
    <t xml:space="preserve"> Composition of primary capital</t>
  </si>
  <si>
    <t xml:space="preserve"> 31/12/2016</t>
  </si>
  <si>
    <t>Interim result</t>
  </si>
  <si>
    <t>Interim result not to be included in core (Tier 1) capital</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</si>
  <si>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</si>
  <si>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</si>
  <si>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</si>
  <si>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</si>
  <si>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</si>
  <si>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</si>
  <si>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</si>
  <si>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</si>
  <si>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</si>
  <si>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</si>
  <si>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NO0010767643</t>
  </si>
  <si>
    <t>3-month NIBOR+310</t>
  </si>
  <si>
    <t>3-month NIBOR+225</t>
  </si>
  <si>
    <t>3-month NIBOR+360</t>
  </si>
  <si>
    <t>3-month NIBOR+420</t>
  </si>
  <si>
    <t>Ref. section 23</t>
  </si>
  <si>
    <t xml:space="preserve">SpareBank 1 Boligkreditt AS, SpareBank 1 Næringskreditt AS and BN Bank AS. </t>
  </si>
  <si>
    <t>Proportionate consolidation is carried out for the group's capital adequacy.</t>
  </si>
  <si>
    <t>3-month NIBOR+210</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</si>
  <si>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</si>
  <si>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</si>
  <si>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</si>
  <si>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</si>
  <si>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</si>
  <si>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</si>
  <si>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</si>
  <si>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</si>
  <si>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</si>
  <si>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</si>
  <si>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</si>
  <si>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</si>
  <si>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</si>
  <si>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</si>
  <si>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</si>
  <si>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</si>
  <si>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</si>
  <si>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</si>
  <si>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</si>
  <si>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</si>
  <si>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</si>
  <si>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</si>
  <si>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</si>
  <si>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</si>
  <si>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</si>
  <si>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</si>
  <si>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</si>
  <si>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</si>
  <si>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</si>
  <si>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</si>
  <si>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</si>
  <si>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</si>
  <si>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</si>
  <si>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</si>
  <si>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</si>
  <si>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</si>
  <si>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31/12/2016</t>
  </si>
  <si>
    <t>Capital adequacy percentage 31/12/2016</t>
  </si>
  <si>
    <t>22 August 2014 the Ministry of Finance issued amendments to the capital requirements framework effective from 30 September 2014.</t>
  </si>
  <si>
    <t>From 30 June 2016 the requirements for conservation buffer was 2.5 percent, systemic risk buffer was 3.0 percent and countercyclical buffer was 1.5 percent.</t>
  </si>
  <si>
    <t xml:space="preserve">The amendments is an adaptation to the new EU capital adequacy framework for banks and investment firms (CRD IV / CRR), and entails a gradually increase in minimum common equity Tier 1 capital ratio until 30 June 2016. </t>
  </si>
  <si>
    <t xml:space="preserve">With the common equity Tier 1 capital requirement of 4.5 %, this sums to a total minimum requirement for common equity Tier 1 capital ratio of 11.5 percent from 30 June 2016.  </t>
  </si>
  <si>
    <t xml:space="preserve">In addition, the Norwegian FSA has established an individual Pillar 2 requirement of 2.0 percent to the minimum common equity Tier 1 capital ratio from 31 December 2016. </t>
  </si>
  <si>
    <t xml:space="preserve">Overall minimum common equity Tier 1 capital ratio is thus 13.5 percent per 31 December 2016. </t>
  </si>
  <si>
    <t>Countercyclical capital buffer will increase by 0.5 per cent from 31 December 2017, entailing an increase in minimum common equity Tier 1 capital ratio to 14.0 percent from 31 December 2017.</t>
  </si>
  <si>
    <t>Of a total of NOK 2 646 million in subordinated loan capital, NOK 794 million counts as core (Tier 1) capital and NOK 1 778 million as non-perpetual subordinated capital.</t>
  </si>
  <si>
    <t>Net group accounts currency</t>
  </si>
  <si>
    <t xml:space="preserve">Observed </t>
  </si>
  <si>
    <t>Average</t>
  </si>
  <si>
    <t>2006-2016</t>
  </si>
  <si>
    <t xml:space="preserve">Predicted </t>
  </si>
  <si>
    <t>Year</t>
  </si>
  <si>
    <t>IRB default level - PD per default class (unweighted)</t>
  </si>
  <si>
    <t>Internally estimated unweighted LGD for mass market with mortgage on real estate (without regulatory minimums) is 14.3% in 2015 and 13.6% in the years 2006-2015.</t>
  </si>
  <si>
    <t>Internally estimated EAD-weighted LGD for mass market with mortgage on real estate (without regulatory minimums) is 15.5% in 2015 and 15.6% in the years 2006-2015.</t>
  </si>
  <si>
    <t>Value
31/12/2016</t>
  </si>
  <si>
    <t>Change in value 
in 2016 (%)</t>
  </si>
  <si>
    <t>HitecVision Asset Solutions LP</t>
  </si>
  <si>
    <t>Optimarin</t>
  </si>
  <si>
    <t>Reiten &amp; Co Capital Partners VII L P</t>
  </si>
  <si>
    <t>Sparebanken Hedmark</t>
  </si>
  <si>
    <t>Shares and other interests are either classified at fair value through profit and loss or as available for sale.</t>
  </si>
  <si>
    <t xml:space="preserve"> Changes in fair value after the opening balance are recognised as income from financial investments.  </t>
  </si>
  <si>
    <t xml:space="preserve">* Bank 1 Oslo is sold to Sparebanken Hedmark in Q2 2016 and was reported as "Discontinued operations" as per 31/12/2015. </t>
  </si>
  <si>
    <t>Strategic investments at fair value through profit and loss*</t>
  </si>
  <si>
    <t>Value
2016</t>
  </si>
  <si>
    <r>
      <t xml:space="preserve">Risk weighted assets  2016 </t>
    </r>
    <r>
      <rPr>
        <b/>
        <vertAlign val="superscript"/>
        <sz val="9"/>
        <rFont val="Calibri"/>
        <family val="2"/>
      </rPr>
      <t>1)</t>
    </r>
  </si>
  <si>
    <r>
      <t xml:space="preserve">Risk weighted assets  2015 </t>
    </r>
    <r>
      <rPr>
        <vertAlign val="superscript"/>
        <sz val="9"/>
        <rFont val="Calibri"/>
        <family val="2"/>
      </rPr>
      <t>1)</t>
    </r>
  </si>
  <si>
    <t xml:space="preserve">The maximum loss following a 1% change in interest rates totals NOK 85 million with NOK 35 million of the total balance in Trading and NOK 50 million of the total balance in Treasury. </t>
  </si>
  <si>
    <r>
      <t xml:space="preserve">                                                                                                                                                                                                                     SpareBank 1 SR-Bank ASA owns 15.3 % of SpareBank 1 Boligkreditt </t>
    </r>
    <r>
      <rPr>
        <b/>
        <vertAlign val="superscript"/>
        <sz val="9"/>
        <rFont val="Calibri"/>
        <family val="2"/>
        <scheme val="minor"/>
      </rPr>
      <t>1)</t>
    </r>
  </si>
  <si>
    <t>SpareBank 1 SR-Bank ASA owns 21.9 % of SpareBank 1 Næringskreditt</t>
  </si>
  <si>
    <t>SpareBank 1 SR-Finans</t>
  </si>
  <si>
    <r>
      <rPr>
        <vertAlign val="superscript"/>
        <sz val="9"/>
        <rFont val="Calibri"/>
        <family val="2"/>
      </rPr>
      <t xml:space="preserve">1) </t>
    </r>
    <r>
      <rPr>
        <sz val="9"/>
        <rFont val="Calibri"/>
        <family val="2"/>
      </rPr>
      <t>SpareBank 1 SR-Bank group uses the standardised method.  Other companies use the basis method.</t>
    </r>
  </si>
  <si>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</si>
  <si>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</si>
  <si>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</si>
  <si>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</si>
  <si>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</si>
  <si>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LGD validation for fiscal year 2016 was not completed on reporting date.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</si>
  <si>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</si>
  <si>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</si>
  <si>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</si>
  <si>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</si>
  <si>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</si>
  <si>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</si>
  <si>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</si>
  <si>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</si>
  <si>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</si>
  <si>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</si>
  <si>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</si>
  <si>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</si>
  <si>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</si>
  <si>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</si>
  <si>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</si>
  <si>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</si>
  <si>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</si>
  <si>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</si>
  <si>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</si>
  <si>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</si>
  <si>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</si>
  <si>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</si>
  <si>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</si>
  <si>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</si>
  <si>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</si>
  <si>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</si>
  <si>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</si>
  <si>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Ownership percentage </t>
    </r>
    <r>
      <rPr>
        <vertAlign val="superscript"/>
        <sz val="9"/>
        <rFont val="Calibri"/>
        <family val="2"/>
      </rPr>
      <t>1)</t>
    </r>
    <r>
      <rPr>
        <sz val="9"/>
        <rFont val="Calibri"/>
        <family val="2"/>
      </rPr>
      <t xml:space="preserve">  31/12/2016</t>
    </r>
  </si>
  <si>
    <r>
      <t>Capital requirements</t>
    </r>
    <r>
      <rPr>
        <vertAlign val="superscript"/>
        <sz val="9"/>
        <rFont val="Calibri"/>
        <family val="2"/>
      </rPr>
      <t>2)</t>
    </r>
    <r>
      <rPr>
        <sz val="9"/>
        <rFont val="Calibri"/>
        <family val="2"/>
      </rPr>
      <t xml:space="preserve"> 31/12/2016</t>
    </r>
  </si>
  <si>
    <r>
      <t xml:space="preserve">SpareBank 1  Boligkreditt AS </t>
    </r>
    <r>
      <rPr>
        <vertAlign val="superscript"/>
        <sz val="9"/>
        <rFont val="Calibri"/>
        <family val="2"/>
        <scheme val="minor"/>
      </rPr>
      <t>1)</t>
    </r>
  </si>
  <si>
    <r>
      <t xml:space="preserve">BN Bank ASA </t>
    </r>
    <r>
      <rPr>
        <vertAlign val="superscript"/>
        <sz val="9"/>
        <rFont val="Calibri"/>
        <family val="2"/>
        <scheme val="minor"/>
      </rPr>
      <t>1)</t>
    </r>
  </si>
  <si>
    <t>SpareBank 1 Kredittkort AS</t>
  </si>
  <si>
    <r>
      <t xml:space="preserve">SpareBank 1 Kredittkort </t>
    </r>
    <r>
      <rPr>
        <vertAlign val="superscript"/>
        <sz val="9"/>
        <rFont val="Calibri"/>
        <family val="2"/>
        <scheme val="minor"/>
      </rPr>
      <t xml:space="preserve"> 1)</t>
    </r>
  </si>
  <si>
    <t>Øvrige finansinstitusjoner</t>
  </si>
  <si>
    <r>
      <rPr>
        <vertAlign val="superscript"/>
        <sz val="9"/>
        <rFont val="Calibri"/>
        <family val="2"/>
        <scheme val="minor"/>
      </rPr>
      <t>1)</t>
    </r>
    <r>
      <rPr>
        <sz val="9"/>
        <rFont val="Calibri"/>
        <family val="2"/>
        <scheme val="minor"/>
      </rPr>
      <t xml:space="preserve"> SpareBank 1 Kredittkort is consolidated as of Q1 2017. </t>
    </r>
  </si>
  <si>
    <r>
      <t>SpareBank 1 Kredittkort</t>
    </r>
    <r>
      <rPr>
        <b/>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</si>
  <si>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 1 Kredittkort is consolidated as of Q1 2017. </t>
    </r>
  </si>
  <si>
    <t>3-month NIBOR+450</t>
  </si>
  <si>
    <t>Norwegian law</t>
  </si>
  <si>
    <t>SpareBank 1 SR-Bank ASA's share of BN Bank</t>
  </si>
  <si>
    <t xml:space="preserve">SpareBank 1 SR-Bank ASA's share of SpareBank 1 Kredittkort </t>
  </si>
  <si>
    <t xml:space="preserve">is based on the share of profit in 2016, and this share of profit is used for dividend payments. </t>
  </si>
  <si>
    <t>2) In some of the affiliated companies, reallocation based on sold lending is carried out at year-end, which means that the ownership changes as of 31 December. The book value of these companies</t>
  </si>
  <si>
    <t>Updated for 2nd quarter 2017</t>
  </si>
  <si>
    <t>As at 30/06/2017</t>
  </si>
  <si>
    <t>30/06/2017</t>
  </si>
  <si>
    <r>
      <t xml:space="preserve">Ownership percentage </t>
    </r>
    <r>
      <rPr>
        <b/>
        <vertAlign val="superscript"/>
        <sz val="9"/>
        <rFont val="Calibri"/>
        <family val="2"/>
      </rPr>
      <t>1)</t>
    </r>
    <r>
      <rPr>
        <b/>
        <sz val="9"/>
        <rFont val="Calibri"/>
        <family val="2"/>
      </rPr>
      <t xml:space="preserve">  30/06/2017 </t>
    </r>
  </si>
  <si>
    <r>
      <t xml:space="preserve">Capital requirements </t>
    </r>
    <r>
      <rPr>
        <b/>
        <vertAlign val="superscript"/>
        <sz val="9"/>
        <rFont val="Calibri"/>
        <family val="2"/>
      </rPr>
      <t>2)</t>
    </r>
    <r>
      <rPr>
        <b/>
        <sz val="9"/>
        <rFont val="Calibri"/>
        <family val="2"/>
      </rPr>
      <t xml:space="preserve"> 30/06/2017</t>
    </r>
  </si>
  <si>
    <t>Capital adequacy percentage 30/06/2017</t>
  </si>
  <si>
    <t xml:space="preserve"> 30/06/2017</t>
  </si>
  <si>
    <r>
      <t>Sparebanken Hedmark</t>
    </r>
    <r>
      <rPr>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</si>
  <si>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Sparebanken Hedmark is sold in Q2 2017. </t>
    </r>
  </si>
  <si>
    <t>Hybrid capital</t>
  </si>
  <si>
    <t>Hybrid capital not to be included in core (Tier 1) capital</t>
  </si>
  <si>
    <t xml:space="preserve">Hybrid capital   </t>
  </si>
  <si>
    <t>NOK 608 million</t>
  </si>
  <si>
    <t>NOK 681 million</t>
  </si>
  <si>
    <t>NOK 472 million</t>
  </si>
  <si>
    <t>NO0010792476</t>
  </si>
  <si>
    <t>NOK 625 million</t>
  </si>
  <si>
    <t>3-month NIBOR + 1.52%</t>
  </si>
  <si>
    <t>NO0010799323</t>
  </si>
  <si>
    <t>NOK 150 million</t>
  </si>
  <si>
    <t>3-month NIBOR + 3.20%</t>
  </si>
  <si>
    <t>Within the maximum amount of disposal according to the CRDIV / CRR Regulations Section 6</t>
  </si>
  <si>
    <t>2.96 (3-month NIBOR + 2.10% )</t>
  </si>
  <si>
    <t>3.86 (3-month NIBOR + 3.00%)</t>
  </si>
  <si>
    <t>4.64 (3-month NIBOR + 3.75%)</t>
  </si>
  <si>
    <t xml:space="preserve"> SpareBank 1 SR-Bank ASA Balance sheet after financial statements 30/06/2017</t>
  </si>
  <si>
    <t>SpareBank 1 SR-Bank ASA Balance sheet after capital ratio 30/06/2017</t>
  </si>
  <si>
    <t>Hybrid capital qualifying as other approved core (Tier 1) capital</t>
  </si>
  <si>
    <t xml:space="preserve">Standard table for public disclosure of information about SpareBank 1 SR-Banks compliance with the requirements for countercyclical capital buffer </t>
  </si>
  <si>
    <t>Countercyclical capital buffer requirement</t>
  </si>
  <si>
    <t>Commitments in the trading portfolio</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</si>
</sst>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dd\/mm\/yyyy"/>
    <numFmt numFmtId="174" formatCode="_ * #,##0_ ;_ * \-#,##0_ ;_ * &quot;-&quot;??_ ;_ @_ "/>
  </numFmts>
  <fonts count="56"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18">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cellStyleXfs>
  <cellXfs count="735">
    <xf numFmtId="0" fontId="0" fillId="0" borderId="0" xfId="0"/>
    <xf numFmtId="0" fontId="10" fillId="2" borderId="6" xfId="0"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8" fontId="11" fillId="0" borderId="0" xfId="1" applyFont="1" applyFill="1" applyBorder="1">
      <alignment horizontal="right" vertical="top"/>
    </xf>
    <xf numFmtId="168"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8"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8" fontId="16" fillId="0" borderId="0" xfId="1" applyFont="1" applyFill="1" applyBorder="1" applyAlignment="1">
      <alignment horizontal="right" vertical="top"/>
    </xf>
    <xf numFmtId="168" fontId="17" fillId="0" borderId="0" xfId="1" applyFont="1" applyFill="1" applyBorder="1" applyAlignment="1">
      <alignment horizontal="right" vertical="top"/>
    </xf>
    <xf numFmtId="167" fontId="10" fillId="0" borderId="0" xfId="6" applyFont="1" applyFill="1" applyBorder="1" applyAlignment="1">
      <alignment vertical="top"/>
    </xf>
    <xf numFmtId="168" fontId="18" fillId="0" borderId="0" xfId="1" applyFont="1" applyFill="1" applyBorder="1" applyAlignment="1">
      <alignment horizontal="right" vertical="top"/>
    </xf>
    <xf numFmtId="168" fontId="19" fillId="0" borderId="0" xfId="1" applyFont="1" applyFill="1" applyBorder="1" applyAlignment="1">
      <alignment horizontal="righ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168" fontId="10" fillId="0" borderId="0" xfId="1" applyFont="1" applyFill="1" applyBorder="1" applyAlignment="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3" fillId="0" borderId="0" xfId="6" applyFont="1" applyFill="1"/>
    <xf numFmtId="167"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xf numFmtId="170"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41"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0" fontId="10" fillId="3" borderId="0" xfId="0" applyFont="1" applyFill="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2"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170" fontId="10" fillId="2" borderId="0" xfId="11" applyNumberFormat="1" applyFont="1" applyFill="1" applyAlignment="1">
      <alignment vertical="top"/>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16" xfId="0" applyFont="1" applyBorder="1" applyAlignment="1">
      <alignment horizontal="right" vertical="top"/>
    </xf>
    <xf numFmtId="0" fontId="29" fillId="0" borderId="16" xfId="0" applyFont="1" applyBorder="1" applyAlignment="1">
      <alignment vertical="top"/>
    </xf>
    <xf numFmtId="0" fontId="29" fillId="0" borderId="0" xfId="0" applyFont="1" applyBorder="1" applyAlignment="1">
      <alignment horizontal="right" vertical="top" wrapText="1"/>
    </xf>
    <xf numFmtId="169" fontId="30" fillId="0" borderId="0" xfId="0" applyNumberFormat="1" applyFont="1" applyBorder="1" applyAlignment="1">
      <alignment vertical="center" wrapText="1"/>
    </xf>
    <xf numFmtId="169" fontId="30" fillId="0" borderId="0" xfId="0" applyNumberFormat="1" applyFont="1" applyAlignment="1">
      <alignment horizontal="right" vertical="center" wrapText="1"/>
    </xf>
    <xf numFmtId="0" fontId="30" fillId="0" borderId="0" xfId="0" applyFont="1" applyAlignment="1">
      <alignment vertical="center" wrapText="1"/>
    </xf>
    <xf numFmtId="169" fontId="30"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9" fillId="0" borderId="0" xfId="12" applyFont="1" applyBorder="1" applyAlignment="1">
      <alignment horizontal="right" vertical="top" wrapText="1"/>
    </xf>
    <xf numFmtId="0" fontId="29" fillId="0" borderId="16" xfId="12" applyFont="1" applyBorder="1" applyAlignment="1">
      <alignment vertical="top"/>
    </xf>
    <xf numFmtId="0" fontId="29" fillId="0" borderId="16"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0" fillId="2" borderId="0" xfId="16" applyNumberFormat="1" applyFont="1" applyFill="1" applyAlignment="1">
      <alignment vertical="center"/>
    </xf>
    <xf numFmtId="0" fontId="23" fillId="0" borderId="0" xfId="0" applyFont="1" applyFill="1" applyAlignment="1">
      <alignment horizontal="right"/>
    </xf>
    <xf numFmtId="0" fontId="32" fillId="4" borderId="9" xfId="0" applyFont="1" applyFill="1" applyBorder="1" applyAlignment="1">
      <alignment horizontal="right"/>
    </xf>
    <xf numFmtId="0" fontId="31" fillId="5" borderId="0" xfId="0" applyFont="1" applyFill="1"/>
    <xf numFmtId="0" fontId="23" fillId="5" borderId="0" xfId="0" applyFont="1" applyFill="1"/>
    <xf numFmtId="0" fontId="29"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3" fontId="11" fillId="2" borderId="6" xfId="0" applyNumberFormat="1" applyFont="1" applyFill="1" applyBorder="1" applyAlignment="1">
      <alignment horizontal="right" vertical="top"/>
    </xf>
    <xf numFmtId="173" fontId="10" fillId="2" borderId="6"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29" fillId="2" borderId="6" xfId="0" applyFont="1" applyFill="1" applyBorder="1" applyAlignment="1">
      <alignment horizontal="right" wrapText="1"/>
    </xf>
    <xf numFmtId="0" fontId="28" fillId="2" borderId="0" xfId="0" applyFont="1" applyFill="1"/>
    <xf numFmtId="41" fontId="11" fillId="0" borderId="11" xfId="5" applyNumberFormat="1" applyFont="1" applyFill="1" applyBorder="1">
      <alignment horizontal="left" vertical="top"/>
    </xf>
    <xf numFmtId="41" fontId="29" fillId="0" borderId="11" xfId="5" applyNumberFormat="1" applyFont="1" applyFill="1" applyBorder="1">
      <alignment horizontal="left" vertical="top"/>
    </xf>
    <xf numFmtId="0" fontId="30" fillId="0" borderId="0" xfId="0" applyFont="1" applyFill="1"/>
    <xf numFmtId="0" fontId="13" fillId="2" borderId="0" xfId="0" applyFont="1" applyFill="1" applyAlignment="1">
      <alignment vertical="top"/>
    </xf>
    <xf numFmtId="173" fontId="11" fillId="2" borderId="1" xfId="0" applyNumberFormat="1" applyFont="1" applyFill="1" applyBorder="1" applyAlignment="1">
      <alignment horizontal="left"/>
    </xf>
    <xf numFmtId="0" fontId="29" fillId="2" borderId="1" xfId="0" applyFont="1" applyFill="1" applyBorder="1" applyAlignment="1">
      <alignment horizontal="right" wrapText="1"/>
    </xf>
    <xf numFmtId="0" fontId="30" fillId="0" borderId="0" xfId="0" applyFont="1" applyFill="1" applyBorder="1" applyAlignment="1">
      <alignment vertical="top"/>
    </xf>
    <xf numFmtId="0" fontId="10" fillId="0" borderId="0" xfId="0" applyFont="1" applyFill="1" applyBorder="1" applyAlignment="1">
      <alignment vertical="top"/>
    </xf>
    <xf numFmtId="0" fontId="29" fillId="2" borderId="6" xfId="0" applyFont="1" applyFill="1" applyBorder="1" applyAlignment="1">
      <alignment horizontal="right" vertical="top" wrapText="1"/>
    </xf>
    <xf numFmtId="173" fontId="11" fillId="2" borderId="6" xfId="0" applyNumberFormat="1" applyFont="1" applyFill="1" applyBorder="1" applyAlignment="1">
      <alignment horizontal="right"/>
    </xf>
    <xf numFmtId="173" fontId="10" fillId="2" borderId="6" xfId="0" applyNumberFormat="1" applyFont="1" applyFill="1" applyBorder="1" applyAlignment="1">
      <alignment horizontal="right"/>
    </xf>
    <xf numFmtId="0" fontId="13"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0"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3"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0" fontId="10" fillId="3" borderId="0" xfId="11" applyNumberFormat="1" applyFont="1" applyFill="1" applyBorder="1" applyAlignment="1">
      <alignment horizontal="right"/>
    </xf>
    <xf numFmtId="0" fontId="28"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5" fillId="3" borderId="0" xfId="0" applyFont="1" applyFill="1" applyBorder="1" applyAlignment="1"/>
    <xf numFmtId="0" fontId="43"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3"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8" fillId="3" borderId="0" xfId="0" applyFont="1" applyFill="1" applyBorder="1"/>
    <xf numFmtId="0" fontId="13" fillId="3" borderId="0" xfId="0" applyFont="1" applyFill="1" applyBorder="1" applyAlignment="1">
      <alignment horizontal="left" vertical="top"/>
    </xf>
    <xf numFmtId="0" fontId="13" fillId="2" borderId="0" xfId="0" applyFont="1" applyFill="1" applyBorder="1" applyAlignment="1">
      <alignment horizontal="left" vertical="top"/>
    </xf>
    <xf numFmtId="0" fontId="30" fillId="3" borderId="0" xfId="0" applyFont="1" applyFill="1" applyBorder="1"/>
    <xf numFmtId="0" fontId="30" fillId="2" borderId="0" xfId="0" applyFont="1" applyFill="1"/>
    <xf numFmtId="0" fontId="35" fillId="3" borderId="0" xfId="0" applyFont="1" applyFill="1"/>
    <xf numFmtId="166" fontId="38" fillId="2" borderId="0" xfId="4" applyFont="1" applyFill="1" applyBorder="1"/>
    <xf numFmtId="167" fontId="34" fillId="0" borderId="1" xfId="6" applyFont="1" applyFill="1" applyBorder="1" applyAlignment="1">
      <alignment horizontal="right" wrapText="1"/>
    </xf>
    <xf numFmtId="0" fontId="30" fillId="3" borderId="0" xfId="0" applyFont="1" applyFill="1"/>
    <xf numFmtId="0" fontId="38" fillId="2" borderId="0" xfId="0" applyFont="1" applyFill="1" applyBorder="1" applyAlignment="1"/>
    <xf numFmtId="0" fontId="10" fillId="2" borderId="6" xfId="0" applyFont="1" applyFill="1" applyBorder="1" applyAlignment="1">
      <alignment horizontal="right"/>
    </xf>
    <xf numFmtId="0" fontId="28" fillId="2" borderId="0" xfId="0" applyFont="1" applyFill="1" applyBorder="1" applyAlignment="1">
      <alignment horizontal="left"/>
    </xf>
    <xf numFmtId="0" fontId="42" fillId="2" borderId="0" xfId="0" applyFont="1" applyFill="1"/>
    <xf numFmtId="0" fontId="30" fillId="2" borderId="0" xfId="0" applyFont="1" applyFill="1" applyBorder="1" applyAlignment="1">
      <alignment wrapText="1"/>
    </xf>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0" fillId="3" borderId="0" xfId="0" applyFont="1" applyFill="1" applyAlignment="1">
      <alignment horizontal="right"/>
    </xf>
    <xf numFmtId="0" fontId="30" fillId="3" borderId="0" xfId="0" applyFont="1" applyFill="1" applyAlignment="1">
      <alignment horizontal="right" vertical="top" wrapText="1"/>
    </xf>
    <xf numFmtId="0" fontId="30" fillId="3" borderId="0" xfId="0" applyFont="1" applyFill="1" applyAlignment="1">
      <alignment horizontal="left" wrapText="1"/>
    </xf>
    <xf numFmtId="0" fontId="30" fillId="3" borderId="0" xfId="0" applyFont="1" applyFill="1" applyBorder="1" applyAlignment="1">
      <alignment horizontal="right"/>
    </xf>
    <xf numFmtId="0" fontId="30" fillId="3" borderId="0" xfId="0" applyFont="1" applyFill="1" applyAlignment="1">
      <alignment horizontal="left" vertical="top" wrapText="1"/>
    </xf>
    <xf numFmtId="0" fontId="30" fillId="3" borderId="0" xfId="0" applyFont="1" applyFill="1" applyAlignment="1">
      <alignment wrapText="1"/>
    </xf>
    <xf numFmtId="0" fontId="10" fillId="0" borderId="0" xfId="0" applyFont="1" applyFill="1" applyAlignment="1">
      <alignment horizontal="right"/>
    </xf>
    <xf numFmtId="0" fontId="46" fillId="3" borderId="14" xfId="0" applyFont="1" applyFill="1" applyBorder="1"/>
    <xf numFmtId="0" fontId="29" fillId="3" borderId="0" xfId="0" applyFont="1" applyFill="1" applyBorder="1" applyAlignment="1">
      <alignment horizontal="right" wrapText="1"/>
    </xf>
    <xf numFmtId="0" fontId="47" fillId="3" borderId="0" xfId="0" applyFont="1" applyFill="1" applyBorder="1"/>
    <xf numFmtId="0" fontId="10" fillId="3" borderId="0" xfId="0" applyFont="1" applyFill="1"/>
    <xf numFmtId="3" fontId="20" fillId="3" borderId="5" xfId="0" applyNumberFormat="1" applyFont="1" applyFill="1" applyBorder="1" applyAlignment="1">
      <alignment wrapText="1"/>
    </xf>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172" fontId="10" fillId="2" borderId="6" xfId="0" applyNumberFormat="1" applyFont="1" applyFill="1" applyBorder="1" applyAlignment="1">
      <alignment horizontal="right"/>
    </xf>
    <xf numFmtId="0" fontId="29"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0"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170" fontId="10" fillId="2" borderId="0" xfId="11" applyNumberFormat="1" applyFont="1" applyFill="1" applyBorder="1" applyAlignment="1">
      <alignment horizontal="left" vertical="top"/>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29" fillId="0" borderId="19" xfId="12" applyFont="1" applyBorder="1" applyAlignment="1">
      <alignment vertical="center"/>
    </xf>
    <xf numFmtId="10" fontId="29" fillId="0" borderId="19" xfId="16" applyNumberFormat="1" applyFont="1" applyBorder="1" applyAlignment="1">
      <alignment vertical="center" wrapText="1"/>
    </xf>
    <xf numFmtId="10" fontId="29"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29" fillId="0" borderId="19" xfId="12" applyFont="1" applyBorder="1" applyAlignment="1">
      <alignment vertical="center" wrapText="1"/>
    </xf>
    <xf numFmtId="0" fontId="28"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9" fillId="0" borderId="0" xfId="0" applyFont="1"/>
    <xf numFmtId="0" fontId="47" fillId="3" borderId="0" xfId="0" applyFont="1" applyFill="1" applyBorder="1" applyAlignment="1"/>
    <xf numFmtId="0" fontId="30" fillId="3" borderId="0" xfId="0" applyFont="1" applyFill="1"/>
    <xf numFmtId="0" fontId="10" fillId="3" borderId="0" xfId="0" applyFont="1" applyFill="1"/>
    <xf numFmtId="0" fontId="10" fillId="3" borderId="0" xfId="0" applyFont="1" applyFill="1"/>
    <xf numFmtId="0" fontId="11" fillId="2" borderId="0" xfId="0" applyFont="1" applyFill="1" applyBorder="1" applyAlignment="1">
      <alignment horizontal="left"/>
    </xf>
    <xf numFmtId="41" fontId="11" fillId="0" borderId="20" xfId="1" applyNumberFormat="1" applyFont="1" applyFill="1" applyBorder="1" applyAlignment="1">
      <alignment vertical="top"/>
    </xf>
    <xf numFmtId="41" fontId="10" fillId="0" borderId="20" xfId="1" applyNumberFormat="1" applyFont="1" applyFill="1" applyBorder="1" applyAlignment="1">
      <alignment vertical="top"/>
    </xf>
    <xf numFmtId="0" fontId="30" fillId="0" borderId="0" xfId="5" applyFont="1" applyFill="1" applyAlignment="1">
      <alignment horizontal="lef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0" fontId="46" fillId="3" borderId="14" xfId="11" applyNumberFormat="1" applyFont="1" applyFill="1" applyBorder="1" applyAlignment="1">
      <alignment wrapText="1"/>
    </xf>
    <xf numFmtId="0" fontId="30" fillId="3" borderId="0" xfId="0" applyFont="1" applyFill="1" applyBorder="1" applyAlignment="1">
      <alignment horizontal="left" wrapText="1"/>
    </xf>
    <xf numFmtId="0" fontId="10" fillId="3" borderId="0" xfId="0" applyFont="1" applyFill="1"/>
    <xf numFmtId="169" fontId="10" fillId="3" borderId="0" xfId="10" applyNumberFormat="1" applyFont="1" applyFill="1"/>
    <xf numFmtId="0" fontId="30" fillId="3" borderId="0" xfId="0" applyFont="1" applyFill="1" applyBorder="1" applyAlignment="1">
      <alignment horizontal="left" wrapText="1"/>
    </xf>
    <xf numFmtId="0" fontId="10" fillId="3" borderId="0" xfId="0" applyFont="1" applyFill="1"/>
    <xf numFmtId="10" fontId="11" fillId="3" borderId="0" xfId="1" applyNumberFormat="1" applyFont="1" applyFill="1" applyAlignment="1">
      <alignment vertical="top"/>
    </xf>
    <xf numFmtId="0" fontId="30" fillId="3" borderId="0" xfId="0" applyFont="1" applyFill="1"/>
    <xf numFmtId="0" fontId="29" fillId="0" borderId="16" xfId="0" applyFont="1" applyBorder="1" applyAlignment="1">
      <alignment wrapText="1"/>
    </xf>
    <xf numFmtId="3" fontId="46" fillId="3" borderId="14" xfId="0" applyNumberFormat="1" applyFont="1" applyFill="1" applyBorder="1" applyAlignment="1">
      <alignment horizontal="right" wrapText="1"/>
    </xf>
    <xf numFmtId="10" fontId="11" fillId="3" borderId="0" xfId="0" applyNumberFormat="1" applyFont="1" applyFill="1"/>
    <xf numFmtId="0" fontId="30"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7" xfId="0" applyNumberFormat="1" applyFont="1" applyFill="1" applyBorder="1" applyAlignment="1">
      <alignment horizontal="right"/>
    </xf>
    <xf numFmtId="49" fontId="10" fillId="3" borderId="1" xfId="0" applyNumberFormat="1" applyFont="1" applyFill="1" applyBorder="1" applyAlignment="1">
      <alignment horizontal="left"/>
    </xf>
    <xf numFmtId="0" fontId="44" fillId="0" borderId="0" xfId="0" applyFont="1" applyBorder="1" applyAlignment="1"/>
    <xf numFmtId="0" fontId="29" fillId="0" borderId="16" xfId="0" applyFont="1" applyBorder="1" applyAlignment="1">
      <alignment horizontal="right" wrapText="1"/>
    </xf>
    <xf numFmtId="0" fontId="10" fillId="0" borderId="0" xfId="0" applyFont="1" applyAlignment="1">
      <alignment horizontal="left"/>
    </xf>
    <xf numFmtId="10" fontId="23" fillId="0" borderId="0" xfId="0" applyNumberFormat="1" applyFont="1"/>
    <xf numFmtId="0" fontId="23" fillId="0" borderId="0" xfId="0" applyFont="1"/>
    <xf numFmtId="0" fontId="13" fillId="0" borderId="0" xfId="0" applyFont="1" applyAlignment="1">
      <alignment horizontal="justify"/>
    </xf>
    <xf numFmtId="10" fontId="51" fillId="0" borderId="0" xfId="0" applyNumberFormat="1" applyFont="1"/>
    <xf numFmtId="0" fontId="51" fillId="0" borderId="0" xfId="0" applyFont="1"/>
    <xf numFmtId="10" fontId="52"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47" fillId="0" borderId="0" xfId="0" applyFont="1" applyFill="1" applyBorder="1"/>
    <xf numFmtId="172" fontId="10" fillId="2" borderId="6" xfId="0" applyNumberFormat="1" applyFont="1" applyFill="1" applyBorder="1" applyAlignment="1">
      <alignment horizontal="right" wrapText="1"/>
    </xf>
    <xf numFmtId="0" fontId="37" fillId="3" borderId="0" xfId="0" applyFont="1" applyFill="1"/>
    <xf numFmtId="0" fontId="53" fillId="5" borderId="0" xfId="17" applyFill="1" applyAlignment="1">
      <alignment horizontal="right"/>
    </xf>
    <xf numFmtId="0" fontId="53" fillId="3" borderId="0" xfId="17" applyFill="1" applyAlignment="1">
      <alignment horizontal="right"/>
    </xf>
    <xf numFmtId="0" fontId="53" fillId="0" borderId="0" xfId="17" applyFill="1" applyAlignment="1">
      <alignment horizontal="right"/>
    </xf>
    <xf numFmtId="0" fontId="43" fillId="0" borderId="0" xfId="0" applyFont="1" applyBorder="1" applyAlignment="1"/>
    <xf numFmtId="0" fontId="11" fillId="0" borderId="16" xfId="0" applyFont="1" applyBorder="1" applyAlignment="1">
      <alignment wrapText="1"/>
    </xf>
    <xf numFmtId="0" fontId="11" fillId="0" borderId="16" xfId="0" applyFont="1" applyBorder="1" applyAlignment="1">
      <alignment horizontal="right" wrapText="1"/>
    </xf>
    <xf numFmtId="10" fontId="10" fillId="0" borderId="0" xfId="0" applyNumberFormat="1" applyFont="1"/>
    <xf numFmtId="0" fontId="53" fillId="5" borderId="0" xfId="17" applyFill="1"/>
    <xf numFmtId="0" fontId="23" fillId="0" borderId="0" xfId="0" applyFont="1" applyFill="1"/>
    <xf numFmtId="0" fontId="25" fillId="0" borderId="0" xfId="0" applyFont="1" applyFill="1"/>
    <xf numFmtId="0" fontId="54" fillId="0" borderId="0" xfId="0" applyFont="1" applyFill="1" applyAlignment="1">
      <alignment horizontal="right"/>
    </xf>
    <xf numFmtId="0" fontId="41" fillId="2" borderId="0" xfId="12" applyFont="1" applyFill="1"/>
    <xf numFmtId="0" fontId="23" fillId="5" borderId="0" xfId="12" applyFont="1" applyFill="1"/>
    <xf numFmtId="0" fontId="23" fillId="0" borderId="0" xfId="12" applyFont="1" applyFill="1"/>
    <xf numFmtId="49" fontId="11" fillId="2" borderId="0" xfId="0" applyNumberFormat="1" applyFont="1" applyFill="1" applyBorder="1" applyAlignment="1">
      <alignment horizontal="center"/>
    </xf>
    <xf numFmtId="0" fontId="11" fillId="3" borderId="6" xfId="0" applyFont="1" applyFill="1" applyBorder="1" applyAlignment="1">
      <alignment horizontal="right" wrapText="1"/>
    </xf>
    <xf numFmtId="0" fontId="10" fillId="3" borderId="0" xfId="0" applyFont="1" applyFill="1"/>
    <xf numFmtId="0" fontId="41" fillId="0" borderId="0" xfId="0" applyFont="1"/>
    <xf numFmtId="0" fontId="2" fillId="0" borderId="0" xfId="12"/>
    <xf numFmtId="0" fontId="30" fillId="3" borderId="0" xfId="12" applyFont="1" applyFill="1"/>
    <xf numFmtId="174"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6" fillId="3" borderId="14" xfId="12" applyFont="1" applyFill="1" applyBorder="1" applyAlignment="1">
      <alignment wrapText="1"/>
    </xf>
    <xf numFmtId="0" fontId="46" fillId="3" borderId="14" xfId="12" applyFont="1" applyFill="1" applyBorder="1" applyAlignment="1"/>
    <xf numFmtId="0" fontId="50" fillId="0" borderId="0" xfId="12" applyFont="1"/>
    <xf numFmtId="0" fontId="50" fillId="0" borderId="21" xfId="12" applyFont="1" applyBorder="1"/>
    <xf numFmtId="10" fontId="29" fillId="3" borderId="0" xfId="10" applyNumberFormat="1" applyFont="1" applyFill="1" applyBorder="1" applyAlignment="1">
      <alignment horizontal="right"/>
    </xf>
    <xf numFmtId="174" fontId="29" fillId="3" borderId="22" xfId="12" applyNumberFormat="1" applyFont="1" applyFill="1" applyBorder="1" applyAlignment="1">
      <alignment horizontal="right"/>
    </xf>
    <xf numFmtId="3" fontId="29" fillId="3" borderId="21" xfId="12" applyNumberFormat="1" applyFont="1" applyFill="1" applyBorder="1" applyAlignment="1">
      <alignment horizontal="right"/>
    </xf>
    <xf numFmtId="0" fontId="55" fillId="3" borderId="0" xfId="12" applyFont="1" applyFill="1" applyAlignment="1">
      <alignment horizontal="left" vertical="center"/>
    </xf>
    <xf numFmtId="0" fontId="2" fillId="0" borderId="0" xfId="12" applyBorder="1"/>
    <xf numFmtId="0" fontId="2" fillId="0" borderId="21" xfId="12" applyBorder="1"/>
    <xf numFmtId="10" fontId="30" fillId="3" borderId="0" xfId="12" applyNumberFormat="1" applyFont="1" applyFill="1" applyBorder="1"/>
    <xf numFmtId="10" fontId="30" fillId="3" borderId="22" xfId="10" applyNumberFormat="1" applyFont="1" applyFill="1" applyBorder="1"/>
    <xf numFmtId="3" fontId="30" fillId="3" borderId="21" xfId="12" applyNumberFormat="1" applyFont="1" applyFill="1" applyBorder="1"/>
    <xf numFmtId="3" fontId="30" fillId="3" borderId="21" xfId="11" applyNumberFormat="1" applyFont="1" applyFill="1" applyBorder="1"/>
    <xf numFmtId="3" fontId="30" fillId="3" borderId="21" xfId="12" applyNumberFormat="1" applyFont="1" applyFill="1" applyBorder="1" applyAlignment="1">
      <alignment horizontal="right"/>
    </xf>
    <xf numFmtId="3" fontId="30" fillId="3" borderId="21" xfId="11" applyNumberFormat="1" applyFont="1" applyFill="1" applyBorder="1" applyAlignment="1">
      <alignment horizontal="right"/>
    </xf>
    <xf numFmtId="0" fontId="30" fillId="3" borderId="0" xfId="12" applyFont="1" applyFill="1" applyBorder="1" applyAlignment="1">
      <alignment horizontal="left" vertical="center"/>
    </xf>
    <xf numFmtId="0" fontId="46" fillId="3" borderId="23" xfId="12" applyFont="1" applyFill="1" applyBorder="1" applyAlignment="1">
      <alignment wrapText="1"/>
    </xf>
    <xf numFmtId="0" fontId="46" fillId="3" borderId="24" xfId="12" applyFont="1" applyFill="1" applyBorder="1" applyAlignment="1">
      <alignment wrapText="1"/>
    </xf>
    <xf numFmtId="0" fontId="52" fillId="3" borderId="14" xfId="12" applyFont="1" applyFill="1" applyBorder="1" applyAlignment="1">
      <alignment wrapText="1"/>
    </xf>
    <xf numFmtId="0" fontId="52" fillId="3" borderId="23" xfId="12" applyFont="1" applyFill="1" applyBorder="1" applyAlignment="1">
      <alignment wrapText="1"/>
    </xf>
    <xf numFmtId="0" fontId="52" fillId="3" borderId="24" xfId="12" applyFont="1" applyFill="1" applyBorder="1" applyAlignment="1">
      <alignment wrapText="1"/>
    </xf>
    <xf numFmtId="0" fontId="55" fillId="3" borderId="0" xfId="12" applyFont="1" applyFill="1" applyBorder="1" applyAlignment="1">
      <alignment wrapText="1"/>
    </xf>
    <xf numFmtId="0" fontId="55" fillId="3" borderId="0" xfId="12" applyFont="1" applyFill="1" applyBorder="1" applyAlignment="1"/>
    <xf numFmtId="14" fontId="55" fillId="3" borderId="0" xfId="12" quotePrefix="1" applyNumberFormat="1" applyFont="1" applyFill="1" applyAlignment="1">
      <alignment horizontal="left" vertical="center"/>
    </xf>
    <xf numFmtId="0" fontId="30" fillId="3" borderId="0" xfId="12" applyFont="1" applyFill="1" applyAlignment="1"/>
    <xf numFmtId="0" fontId="55" fillId="3" borderId="0" xfId="12" applyFont="1" applyFill="1" applyAlignment="1"/>
    <xf numFmtId="0" fontId="30" fillId="3" borderId="0" xfId="12" applyFont="1" applyFill="1" applyAlignment="1">
      <alignment horizontal="left"/>
    </xf>
    <xf numFmtId="0" fontId="13" fillId="3" borderId="0" xfId="12" applyFont="1" applyFill="1" applyBorder="1"/>
    <xf numFmtId="0" fontId="46"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3" fontId="10" fillId="0" borderId="0" xfId="1" applyNumberFormat="1" applyFont="1" applyFill="1" applyBorder="1">
      <alignment horizontal="right" vertical="top"/>
    </xf>
    <xf numFmtId="10" fontId="10" fillId="3" borderId="0" xfId="0" applyNumberFormat="1" applyFont="1" applyFill="1"/>
    <xf numFmtId="0" fontId="11" fillId="2" borderId="6" xfId="0" applyFont="1" applyFill="1" applyBorder="1" applyAlignment="1">
      <alignment horizontal="center"/>
    </xf>
    <xf numFmtId="49" fontId="10" fillId="2" borderId="0" xfId="0" applyNumberFormat="1" applyFont="1" applyFill="1" applyBorder="1" applyAlignment="1">
      <alignment horizontal="center"/>
    </xf>
    <xf numFmtId="0" fontId="30" fillId="3" borderId="0" xfId="0" applyFont="1" applyFill="1" applyBorder="1" applyAlignment="1">
      <alignment horizontal="left" wrapText="1"/>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0" fillId="3" borderId="0" xfId="0" applyFont="1" applyFill="1"/>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8" fillId="2" borderId="0" xfId="0" applyFont="1" applyFill="1" applyAlignment="1">
      <alignment horizontal="left" vertical="top" wrapText="1"/>
    </xf>
    <xf numFmtId="0" fontId="13" fillId="2" borderId="0" xfId="0" applyFont="1" applyFill="1" applyAlignment="1">
      <alignment horizontal="left" vertical="top" wrapText="1"/>
    </xf>
    <xf numFmtId="0" fontId="28"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8" fontId="26" fillId="0" borderId="0" xfId="1" applyFont="1" applyFill="1" applyAlignment="1">
      <alignment horizontal="center" vertical="top"/>
    </xf>
    <xf numFmtId="0" fontId="29" fillId="7" borderId="0" xfId="0" applyFont="1" applyFill="1" applyAlignment="1">
      <alignment horizontal="center" vertical="center"/>
    </xf>
    <xf numFmtId="0" fontId="11" fillId="7" borderId="0" xfId="0" applyFont="1" applyFill="1" applyAlignment="1">
      <alignment horizontal="center" vertical="center"/>
    </xf>
    <xf numFmtId="0" fontId="50" fillId="7" borderId="0" xfId="0" applyFont="1" applyFill="1" applyAlignment="1">
      <alignment horizontal="center" vertical="center"/>
    </xf>
    <xf numFmtId="0" fontId="11" fillId="3" borderId="0" xfId="0" applyFont="1" applyFill="1" applyBorder="1"/>
    <xf numFmtId="0" fontId="55" fillId="3" borderId="0" xfId="12" applyFont="1" applyFill="1" applyBorder="1" applyAlignment="1">
      <alignment horizontal="center" wrapText="1"/>
    </xf>
    <xf numFmtId="0" fontId="55" fillId="3" borderId="0" xfId="12" applyFont="1" applyFill="1" applyBorder="1" applyAlignment="1">
      <alignment horizontal="center"/>
    </xf>
    <xf numFmtId="0" fontId="30"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5"/>
  <sheetViews>
    <sheetView showGridLines="0" tabSelected="1" zoomScale="90" zoomScaleNormal="90" workbookViewId="0"/>
  </sheetViews>
  <sheetFormatPr baseColWidth="10" defaultColWidth="11" defaultRowHeight="12.75" x14ac:dyDescent="0.2"/>
  <cols>
    <col min="1" max="1" width="9.625" style="282" customWidth="1"/>
    <col min="2" max="2" width="137" style="282" customWidth="1"/>
    <col min="3" max="3" width="17.25" style="282" customWidth="1"/>
    <col min="4" max="4" width="18.875" style="282" customWidth="1"/>
    <col min="5" max="5" width="20.625" style="282" customWidth="1"/>
    <col min="47" max="16384" width="11" style="282"/>
  </cols>
  <sheetData>
    <row r="1" spans="1:5" ht="23.25" x14ac:dyDescent="0.35">
      <c r="A1" s="274" t="s">
        <v>475</v>
      </c>
      <c r="B1" s="275"/>
      <c r="C1" s="275"/>
      <c r="D1" s="275"/>
      <c r="E1" s="416" t="s">
        <v>1149</v>
      </c>
    </row>
    <row r="2" spans="1:5" x14ac:dyDescent="0.2">
      <c r="A2" s="276" t="s">
        <v>476</v>
      </c>
      <c r="B2" s="277" t="s">
        <v>477</v>
      </c>
      <c r="C2" s="278" t="s">
        <v>478</v>
      </c>
      <c r="D2" s="278" t="s">
        <v>479</v>
      </c>
      <c r="E2" s="278"/>
    </row>
    <row r="3" spans="1:5" ht="15" x14ac:dyDescent="0.25">
      <c r="A3" s="283"/>
      <c r="B3" s="280"/>
      <c r="C3" s="281"/>
      <c r="D3" s="284"/>
      <c r="E3" s="284"/>
    </row>
    <row r="4" spans="1:5" x14ac:dyDescent="0.2">
      <c r="A4" s="619">
        <v>1</v>
      </c>
      <c r="B4" s="286" t="s">
        <v>480</v>
      </c>
      <c r="C4" s="285">
        <v>56</v>
      </c>
      <c r="D4" s="285" t="s">
        <v>481</v>
      </c>
      <c r="E4" s="285"/>
    </row>
    <row r="5" spans="1:5" x14ac:dyDescent="0.2">
      <c r="A5" s="620">
        <v>2</v>
      </c>
      <c r="B5" s="280" t="s">
        <v>482</v>
      </c>
      <c r="C5" s="281">
        <v>57</v>
      </c>
      <c r="D5" s="281" t="s">
        <v>483</v>
      </c>
      <c r="E5" s="281"/>
    </row>
    <row r="6" spans="1:5" x14ac:dyDescent="0.2">
      <c r="A6" s="619">
        <v>3</v>
      </c>
      <c r="B6" s="286" t="s">
        <v>484</v>
      </c>
      <c r="C6" s="285">
        <v>58</v>
      </c>
      <c r="D6" s="285" t="s">
        <v>485</v>
      </c>
      <c r="E6" s="285"/>
    </row>
    <row r="7" spans="1:5" x14ac:dyDescent="0.2">
      <c r="A7" s="620">
        <v>4</v>
      </c>
      <c r="B7" s="280" t="s">
        <v>486</v>
      </c>
      <c r="C7" s="281">
        <v>58</v>
      </c>
      <c r="D7" s="281" t="s">
        <v>487</v>
      </c>
      <c r="E7" s="281"/>
    </row>
    <row r="8" spans="1:5" x14ac:dyDescent="0.2">
      <c r="A8" s="619">
        <v>5</v>
      </c>
      <c r="B8" s="286" t="s">
        <v>488</v>
      </c>
      <c r="C8" s="285">
        <v>37</v>
      </c>
      <c r="D8" s="285" t="s">
        <v>489</v>
      </c>
      <c r="E8" s="285"/>
    </row>
    <row r="9" spans="1:5" x14ac:dyDescent="0.2">
      <c r="A9" s="620">
        <v>6</v>
      </c>
      <c r="B9" s="280" t="s">
        <v>954</v>
      </c>
      <c r="C9" s="281">
        <v>42</v>
      </c>
      <c r="D9" s="281" t="s">
        <v>481</v>
      </c>
      <c r="E9" s="281"/>
    </row>
    <row r="10" spans="1:5" x14ac:dyDescent="0.2">
      <c r="A10" s="619">
        <v>7</v>
      </c>
      <c r="B10" s="286" t="s">
        <v>955</v>
      </c>
      <c r="C10" s="285">
        <v>60</v>
      </c>
      <c r="D10" s="285" t="s">
        <v>490</v>
      </c>
      <c r="E10" s="285"/>
    </row>
    <row r="11" spans="1:5" x14ac:dyDescent="0.2">
      <c r="A11" s="620">
        <v>8</v>
      </c>
      <c r="B11" s="280" t="s">
        <v>956</v>
      </c>
      <c r="C11" s="281">
        <v>61</v>
      </c>
      <c r="D11" s="281" t="s">
        <v>490</v>
      </c>
      <c r="E11" s="281"/>
    </row>
    <row r="12" spans="1:5" x14ac:dyDescent="0.2">
      <c r="A12" s="619">
        <v>9</v>
      </c>
      <c r="B12" s="286" t="s">
        <v>957</v>
      </c>
      <c r="C12" s="285">
        <v>61</v>
      </c>
      <c r="D12" s="285" t="s">
        <v>490</v>
      </c>
      <c r="E12" s="285"/>
    </row>
    <row r="13" spans="1:5" x14ac:dyDescent="0.2">
      <c r="A13" s="620">
        <v>10</v>
      </c>
      <c r="B13" s="287" t="s">
        <v>958</v>
      </c>
      <c r="C13" s="281">
        <v>62</v>
      </c>
      <c r="D13" s="281" t="s">
        <v>490</v>
      </c>
      <c r="E13" s="281"/>
    </row>
    <row r="14" spans="1:5" x14ac:dyDescent="0.2">
      <c r="A14" s="619">
        <v>11</v>
      </c>
      <c r="B14" s="286" t="s">
        <v>959</v>
      </c>
      <c r="C14" s="285">
        <v>63</v>
      </c>
      <c r="D14" s="285" t="s">
        <v>490</v>
      </c>
      <c r="E14" s="285"/>
    </row>
    <row r="15" spans="1:5" x14ac:dyDescent="0.2">
      <c r="A15" s="620">
        <v>12</v>
      </c>
      <c r="B15" s="280" t="s">
        <v>960</v>
      </c>
      <c r="C15" s="281">
        <v>64</v>
      </c>
      <c r="D15" s="281" t="s">
        <v>481</v>
      </c>
      <c r="E15" s="281"/>
    </row>
    <row r="16" spans="1:5" x14ac:dyDescent="0.2">
      <c r="A16" s="619">
        <v>13</v>
      </c>
      <c r="B16" s="286" t="s">
        <v>961</v>
      </c>
      <c r="C16" s="285">
        <v>65</v>
      </c>
      <c r="D16" s="285" t="s">
        <v>490</v>
      </c>
      <c r="E16" s="285"/>
    </row>
    <row r="17" spans="1:46" x14ac:dyDescent="0.2">
      <c r="A17" s="620">
        <v>14</v>
      </c>
      <c r="B17" s="280" t="s">
        <v>962</v>
      </c>
      <c r="C17" s="281">
        <v>65</v>
      </c>
      <c r="D17" s="281" t="s">
        <v>490</v>
      </c>
      <c r="E17" s="281"/>
    </row>
    <row r="18" spans="1:46" x14ac:dyDescent="0.2">
      <c r="A18" s="619">
        <v>15</v>
      </c>
      <c r="B18" s="286" t="s">
        <v>963</v>
      </c>
      <c r="C18" s="285">
        <v>66</v>
      </c>
      <c r="D18" s="285" t="s">
        <v>490</v>
      </c>
      <c r="E18" s="285"/>
    </row>
    <row r="19" spans="1:46" x14ac:dyDescent="0.2">
      <c r="A19" s="620">
        <v>16</v>
      </c>
      <c r="B19" s="280" t="s">
        <v>964</v>
      </c>
      <c r="C19" s="281">
        <v>67</v>
      </c>
      <c r="D19" s="281" t="s">
        <v>490</v>
      </c>
      <c r="E19" s="281"/>
    </row>
    <row r="20" spans="1:46" x14ac:dyDescent="0.2">
      <c r="A20" s="619">
        <v>17</v>
      </c>
      <c r="B20" s="286" t="s">
        <v>491</v>
      </c>
      <c r="C20" s="285">
        <v>71</v>
      </c>
      <c r="D20" s="285" t="s">
        <v>490</v>
      </c>
      <c r="E20" s="285"/>
    </row>
    <row r="21" spans="1:46" x14ac:dyDescent="0.2">
      <c r="A21" s="620">
        <v>18</v>
      </c>
      <c r="B21" s="630" t="s">
        <v>339</v>
      </c>
      <c r="C21" s="281">
        <v>72</v>
      </c>
      <c r="D21" s="281" t="s">
        <v>490</v>
      </c>
      <c r="E21" s="281"/>
    </row>
    <row r="22" spans="1:46" x14ac:dyDescent="0.2">
      <c r="A22" s="619">
        <v>19</v>
      </c>
      <c r="B22" s="631" t="s">
        <v>492</v>
      </c>
      <c r="C22" s="285">
        <v>74</v>
      </c>
      <c r="D22" s="285" t="s">
        <v>490</v>
      </c>
      <c r="E22" s="285"/>
    </row>
    <row r="23" spans="1:46" s="627" customFormat="1" x14ac:dyDescent="0.2">
      <c r="A23" s="621">
        <v>20</v>
      </c>
      <c r="B23" s="632" t="s">
        <v>1100</v>
      </c>
      <c r="C23" s="415">
        <v>74</v>
      </c>
      <c r="D23" s="415" t="s">
        <v>490</v>
      </c>
      <c r="E23" s="415"/>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619">
        <v>21</v>
      </c>
      <c r="B24" s="417" t="s">
        <v>965</v>
      </c>
      <c r="C24" s="285">
        <v>75</v>
      </c>
      <c r="D24" s="285" t="s">
        <v>490</v>
      </c>
      <c r="E24" s="285"/>
    </row>
    <row r="25" spans="1:46" s="627" customFormat="1" x14ac:dyDescent="0.2">
      <c r="A25" s="621">
        <v>22</v>
      </c>
      <c r="B25" s="627" t="s">
        <v>966</v>
      </c>
      <c r="C25" s="415">
        <v>75</v>
      </c>
      <c r="D25" s="415" t="s">
        <v>490</v>
      </c>
      <c r="E25" s="41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619">
        <v>23</v>
      </c>
      <c r="B26" s="286" t="s">
        <v>967</v>
      </c>
      <c r="C26" s="285">
        <v>76</v>
      </c>
      <c r="D26" s="285" t="s">
        <v>490</v>
      </c>
      <c r="E26" s="285"/>
    </row>
    <row r="27" spans="1:46" s="627" customFormat="1" x14ac:dyDescent="0.2">
      <c r="A27" s="621">
        <v>24</v>
      </c>
      <c r="B27" s="628" t="s">
        <v>968</v>
      </c>
      <c r="C27" s="415">
        <v>77</v>
      </c>
      <c r="D27" s="415" t="s">
        <v>490</v>
      </c>
      <c r="E27" s="415"/>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619">
        <v>25</v>
      </c>
      <c r="B28" s="286" t="s">
        <v>904</v>
      </c>
      <c r="C28" s="285">
        <v>77</v>
      </c>
      <c r="D28" s="285" t="s">
        <v>490</v>
      </c>
      <c r="E28" s="285"/>
    </row>
    <row r="29" spans="1:46" s="627" customFormat="1" x14ac:dyDescent="0.2">
      <c r="A29" s="621">
        <v>26</v>
      </c>
      <c r="B29" s="628" t="s">
        <v>969</v>
      </c>
      <c r="C29" s="415">
        <v>77</v>
      </c>
      <c r="D29" s="415" t="s">
        <v>490</v>
      </c>
      <c r="E29" s="415"/>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619">
        <v>27</v>
      </c>
      <c r="B30" s="286" t="s">
        <v>970</v>
      </c>
      <c r="C30" s="285">
        <v>78</v>
      </c>
      <c r="D30" s="285" t="s">
        <v>490</v>
      </c>
      <c r="E30" s="288"/>
    </row>
    <row r="31" spans="1:46" x14ac:dyDescent="0.2">
      <c r="A31" s="621">
        <v>28</v>
      </c>
      <c r="B31" s="628" t="s">
        <v>860</v>
      </c>
      <c r="C31" s="415"/>
      <c r="D31" s="415" t="s">
        <v>481</v>
      </c>
      <c r="E31" s="415"/>
    </row>
    <row r="32" spans="1:46" s="627" customFormat="1" ht="12.75" customHeight="1" x14ac:dyDescent="0.2">
      <c r="A32" s="619">
        <v>29</v>
      </c>
      <c r="B32" s="286" t="s">
        <v>752</v>
      </c>
      <c r="C32" s="285"/>
      <c r="D32" s="285" t="s">
        <v>481</v>
      </c>
      <c r="E32" s="288"/>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621">
        <v>30</v>
      </c>
      <c r="B33" s="628" t="s">
        <v>533</v>
      </c>
      <c r="C33" s="629"/>
      <c r="D33" s="415" t="s">
        <v>481</v>
      </c>
      <c r="E33" s="415"/>
    </row>
    <row r="34" spans="1:46" x14ac:dyDescent="0.2">
      <c r="A34" s="626">
        <v>31</v>
      </c>
      <c r="B34" s="286" t="s">
        <v>498</v>
      </c>
      <c r="C34" s="418"/>
      <c r="D34" s="285" t="s">
        <v>481</v>
      </c>
      <c r="E34" s="418"/>
    </row>
    <row r="35" spans="1:46" s="627" customFormat="1" x14ac:dyDescent="0.2">
      <c r="A35" s="621">
        <v>32</v>
      </c>
      <c r="B35" s="628" t="s">
        <v>1132</v>
      </c>
      <c r="C35" s="629"/>
      <c r="D35" s="415" t="s">
        <v>481</v>
      </c>
      <c r="E35" s="41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38"/>
  <sheetViews>
    <sheetView showGridLines="0" workbookViewId="0">
      <selection activeCell="D1" sqref="D1"/>
    </sheetView>
  </sheetViews>
  <sheetFormatPr baseColWidth="10" defaultColWidth="11" defaultRowHeight="12" x14ac:dyDescent="0.2"/>
  <cols>
    <col min="1" max="1" width="24" style="316" customWidth="1"/>
    <col min="2" max="2" width="22.375" style="316" customWidth="1"/>
    <col min="3" max="3" width="27.875" style="316" customWidth="1"/>
    <col min="4" max="4" width="11" style="17"/>
    <col min="5" max="5" width="15.625" style="17" customWidth="1"/>
    <col min="6" max="16384" width="11" style="17"/>
  </cols>
  <sheetData>
    <row r="1" spans="1:6" ht="42.75" customHeight="1" x14ac:dyDescent="0.2">
      <c r="A1" s="695" t="s">
        <v>313</v>
      </c>
      <c r="B1" s="695"/>
      <c r="C1" s="695"/>
    </row>
    <row r="2" spans="1:6" x14ac:dyDescent="0.2">
      <c r="A2" s="166" t="s">
        <v>314</v>
      </c>
      <c r="B2" s="392"/>
      <c r="C2" s="392"/>
    </row>
    <row r="3" spans="1:6" ht="24.75" thickBot="1" x14ac:dyDescent="0.25">
      <c r="A3" s="371">
        <v>2016</v>
      </c>
      <c r="B3" s="343" t="s">
        <v>315</v>
      </c>
      <c r="C3" s="167" t="s">
        <v>316</v>
      </c>
    </row>
    <row r="4" spans="1:6" ht="13.5" customHeight="1" x14ac:dyDescent="0.2">
      <c r="A4" s="15" t="s">
        <v>317</v>
      </c>
      <c r="B4" s="551">
        <v>85426</v>
      </c>
      <c r="C4" s="551">
        <f>+(B4+B18)/2</f>
        <v>87757</v>
      </c>
    </row>
    <row r="5" spans="1:6" x14ac:dyDescent="0.2">
      <c r="A5" s="15" t="s">
        <v>318</v>
      </c>
      <c r="B5" s="551">
        <v>103084</v>
      </c>
      <c r="C5" s="551">
        <f>+(B5+B19)/2</f>
        <v>99493</v>
      </c>
    </row>
    <row r="6" spans="1:6" x14ac:dyDescent="0.2">
      <c r="A6" s="99" t="s">
        <v>319</v>
      </c>
      <c r="B6" s="373">
        <f>SUM(B4:B5)</f>
        <v>188510</v>
      </c>
      <c r="C6" s="373">
        <f>SUM(C4:C5)</f>
        <v>187250</v>
      </c>
    </row>
    <row r="7" spans="1:6" x14ac:dyDescent="0.2">
      <c r="A7" s="350" t="s">
        <v>320</v>
      </c>
      <c r="B7" s="83">
        <v>-590</v>
      </c>
      <c r="C7" s="550">
        <f>+(B7+B21)/2</f>
        <v>-452.5</v>
      </c>
    </row>
    <row r="8" spans="1:6" x14ac:dyDescent="0.2">
      <c r="A8" s="15" t="s">
        <v>321</v>
      </c>
      <c r="B8" s="550">
        <v>-676</v>
      </c>
      <c r="C8" s="550">
        <f>+(B8+B22)/2</f>
        <v>-597</v>
      </c>
    </row>
    <row r="9" spans="1:6" x14ac:dyDescent="0.2">
      <c r="A9" s="15" t="s">
        <v>322</v>
      </c>
      <c r="B9" s="551">
        <v>-5</v>
      </c>
      <c r="C9" s="550">
        <f>+(B9+B23)/2</f>
        <v>-4</v>
      </c>
    </row>
    <row r="10" spans="1:6" x14ac:dyDescent="0.2">
      <c r="A10" s="99" t="s">
        <v>323</v>
      </c>
      <c r="B10" s="373">
        <f>SUM(B6:B9)</f>
        <v>187239</v>
      </c>
      <c r="C10" s="373">
        <f>SUM(C6:C9)</f>
        <v>186196.5</v>
      </c>
    </row>
    <row r="11" spans="1:6" x14ac:dyDescent="0.2">
      <c r="A11" s="15"/>
      <c r="B11" s="372"/>
      <c r="C11" s="372"/>
      <c r="F11" s="23"/>
    </row>
    <row r="12" spans="1:6" x14ac:dyDescent="0.2">
      <c r="A12" s="15" t="s">
        <v>324</v>
      </c>
      <c r="B12" s="550">
        <v>889</v>
      </c>
      <c r="C12" s="550">
        <f>+(B12+B26)/2</f>
        <v>808.5</v>
      </c>
    </row>
    <row r="13" spans="1:6" x14ac:dyDescent="0.2">
      <c r="A13" s="15" t="s">
        <v>325</v>
      </c>
      <c r="B13" s="550">
        <v>4334</v>
      </c>
      <c r="C13" s="550">
        <f>+(B13+B27)/2</f>
        <v>3659</v>
      </c>
    </row>
    <row r="14" spans="1:6" x14ac:dyDescent="0.2">
      <c r="A14" s="99" t="s">
        <v>326</v>
      </c>
      <c r="B14" s="373">
        <f>SUM(B10:B13)</f>
        <v>192462</v>
      </c>
      <c r="C14" s="373">
        <f>SUM(C10:C13)</f>
        <v>190664</v>
      </c>
    </row>
    <row r="15" spans="1:6" x14ac:dyDescent="0.2">
      <c r="A15" s="350"/>
      <c r="B15" s="350"/>
      <c r="C15" s="350"/>
    </row>
    <row r="16" spans="1:6" x14ac:dyDescent="0.2">
      <c r="A16" s="350"/>
      <c r="B16" s="350"/>
      <c r="C16" s="350"/>
    </row>
    <row r="17" spans="1:3" ht="24.75" thickBot="1" x14ac:dyDescent="0.25">
      <c r="A17" s="371">
        <v>2015</v>
      </c>
      <c r="B17" s="343" t="s">
        <v>327</v>
      </c>
      <c r="C17" s="167" t="s">
        <v>328</v>
      </c>
    </row>
    <row r="18" spans="1:3" x14ac:dyDescent="0.2">
      <c r="A18" s="15" t="s">
        <v>329</v>
      </c>
      <c r="B18" s="551">
        <v>90088</v>
      </c>
      <c r="C18" s="551">
        <v>88791.5</v>
      </c>
    </row>
    <row r="19" spans="1:3" x14ac:dyDescent="0.2">
      <c r="A19" s="15" t="s">
        <v>330</v>
      </c>
      <c r="B19" s="551">
        <v>95902</v>
      </c>
      <c r="C19" s="551">
        <v>90366.5</v>
      </c>
    </row>
    <row r="20" spans="1:3" x14ac:dyDescent="0.2">
      <c r="A20" s="99" t="s">
        <v>331</v>
      </c>
      <c r="B20" s="373">
        <f>SUM(B18:B19)</f>
        <v>185990</v>
      </c>
      <c r="C20" s="373">
        <f>SUM(C18:C19)</f>
        <v>179158</v>
      </c>
    </row>
    <row r="21" spans="1:3" x14ac:dyDescent="0.2">
      <c r="A21" s="350" t="s">
        <v>332</v>
      </c>
      <c r="B21" s="169">
        <v>-315</v>
      </c>
      <c r="C21" s="372">
        <v>-318.5</v>
      </c>
    </row>
    <row r="22" spans="1:3" x14ac:dyDescent="0.2">
      <c r="A22" s="15" t="s">
        <v>333</v>
      </c>
      <c r="B22" s="372">
        <v>-518</v>
      </c>
      <c r="C22" s="372">
        <v>-448</v>
      </c>
    </row>
    <row r="23" spans="1:3" x14ac:dyDescent="0.2">
      <c r="A23" s="15" t="s">
        <v>334</v>
      </c>
      <c r="B23" s="374">
        <v>-3</v>
      </c>
      <c r="C23" s="372">
        <v>0</v>
      </c>
    </row>
    <row r="24" spans="1:3" x14ac:dyDescent="0.2">
      <c r="A24" s="99" t="s">
        <v>335</v>
      </c>
      <c r="B24" s="373">
        <f>SUM(B20:B23)</f>
        <v>185154</v>
      </c>
      <c r="C24" s="373">
        <f>SUM(C20:C23)</f>
        <v>178391.5</v>
      </c>
    </row>
    <row r="25" spans="1:3" x14ac:dyDescent="0.2">
      <c r="A25" s="15"/>
      <c r="B25" s="372"/>
      <c r="C25" s="372"/>
    </row>
    <row r="26" spans="1:3" x14ac:dyDescent="0.2">
      <c r="A26" s="15" t="s">
        <v>336</v>
      </c>
      <c r="B26" s="550">
        <v>728</v>
      </c>
      <c r="C26" s="550">
        <v>1169</v>
      </c>
    </row>
    <row r="27" spans="1:3" x14ac:dyDescent="0.2">
      <c r="A27" s="15" t="s">
        <v>337</v>
      </c>
      <c r="B27" s="550">
        <v>2984</v>
      </c>
      <c r="C27" s="550">
        <v>2603</v>
      </c>
    </row>
    <row r="28" spans="1:3" x14ac:dyDescent="0.2">
      <c r="A28" s="99" t="s">
        <v>338</v>
      </c>
      <c r="B28" s="373">
        <f>SUM(B24:B27)</f>
        <v>188866</v>
      </c>
      <c r="C28" s="373">
        <v>182163.5</v>
      </c>
    </row>
    <row r="38" spans="1:1" x14ac:dyDescent="0.2">
      <c r="A38" s="171"/>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F59"/>
  <sheetViews>
    <sheetView zoomScaleNormal="100" workbookViewId="0">
      <selection activeCell="E15" sqref="E15"/>
    </sheetView>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21" t="s">
        <v>896</v>
      </c>
      <c r="B1" s="325"/>
      <c r="C1" s="320"/>
      <c r="D1" s="320"/>
    </row>
    <row r="2" spans="1:6" s="350" customFormat="1" x14ac:dyDescent="0.2">
      <c r="A2" s="394" t="s">
        <v>182</v>
      </c>
      <c r="B2" s="114"/>
      <c r="C2" s="447"/>
      <c r="D2" s="447"/>
      <c r="E2" s="15"/>
    </row>
    <row r="3" spans="1:6" x14ac:dyDescent="0.2">
      <c r="B3" s="74"/>
      <c r="C3" s="94"/>
      <c r="D3" s="94"/>
    </row>
    <row r="4" spans="1:6" ht="36.75" thickBot="1" x14ac:dyDescent="0.25">
      <c r="A4" s="318">
        <v>2016</v>
      </c>
      <c r="B4" s="343" t="s">
        <v>183</v>
      </c>
      <c r="C4" s="343" t="s">
        <v>184</v>
      </c>
      <c r="D4" s="161" t="s">
        <v>185</v>
      </c>
      <c r="E4" s="74"/>
    </row>
    <row r="5" spans="1:6" x14ac:dyDescent="0.2">
      <c r="A5" s="350" t="s">
        <v>189</v>
      </c>
      <c r="B5" s="555">
        <v>4549.45</v>
      </c>
      <c r="C5" s="376">
        <v>2544</v>
      </c>
      <c r="D5" s="119">
        <v>7093.45</v>
      </c>
    </row>
    <row r="6" spans="1:6" x14ac:dyDescent="0.2">
      <c r="A6" s="350" t="s">
        <v>190</v>
      </c>
      <c r="B6" s="555">
        <v>754.60956805000001</v>
      </c>
      <c r="C6" s="376">
        <v>145</v>
      </c>
      <c r="D6" s="119">
        <v>899.60956805000001</v>
      </c>
    </row>
    <row r="7" spans="1:6" x14ac:dyDescent="0.2">
      <c r="A7" s="350" t="s">
        <v>191</v>
      </c>
      <c r="B7" s="555">
        <v>4779.5447706900004</v>
      </c>
      <c r="C7" s="376">
        <v>329</v>
      </c>
      <c r="D7" s="119">
        <v>5108.5447706900004</v>
      </c>
    </row>
    <row r="8" spans="1:6" x14ac:dyDescent="0.2">
      <c r="A8" s="350" t="s">
        <v>192</v>
      </c>
      <c r="B8" s="555">
        <v>2913.7711606100011</v>
      </c>
      <c r="C8" s="376">
        <v>1620</v>
      </c>
      <c r="D8" s="119">
        <v>4533.7711606100011</v>
      </c>
      <c r="F8" s="23"/>
    </row>
    <row r="9" spans="1:6" x14ac:dyDescent="0.2">
      <c r="A9" s="350" t="s">
        <v>193</v>
      </c>
      <c r="B9" s="555">
        <v>3533.1557375300008</v>
      </c>
      <c r="C9" s="376">
        <v>1794</v>
      </c>
      <c r="D9" s="119">
        <v>5327.1557375300008</v>
      </c>
    </row>
    <row r="10" spans="1:6" x14ac:dyDescent="0.2">
      <c r="A10" s="350" t="s">
        <v>194</v>
      </c>
      <c r="B10" s="555">
        <v>2885.1942420399996</v>
      </c>
      <c r="C10" s="376">
        <v>1711</v>
      </c>
      <c r="D10" s="119">
        <v>4596.1942420399992</v>
      </c>
    </row>
    <row r="11" spans="1:6" x14ac:dyDescent="0.2">
      <c r="A11" s="350" t="s">
        <v>195</v>
      </c>
      <c r="B11" s="555">
        <v>9765.7491792799974</v>
      </c>
      <c r="C11" s="376">
        <v>276</v>
      </c>
      <c r="D11" s="119">
        <v>10041.749179279997</v>
      </c>
    </row>
    <row r="12" spans="1:6" x14ac:dyDescent="0.2">
      <c r="A12" s="350" t="s">
        <v>196</v>
      </c>
      <c r="B12" s="555">
        <v>27268.744084090009</v>
      </c>
      <c r="C12" s="376">
        <v>6086</v>
      </c>
      <c r="D12" s="119">
        <v>33354.744084090009</v>
      </c>
    </row>
    <row r="13" spans="1:6" x14ac:dyDescent="0.2">
      <c r="A13" s="350" t="s">
        <v>197</v>
      </c>
      <c r="B13" s="555">
        <v>8440.525104180002</v>
      </c>
      <c r="C13" s="376">
        <v>2193</v>
      </c>
      <c r="D13" s="119">
        <v>10633.525104180002</v>
      </c>
    </row>
    <row r="14" spans="1:6" x14ac:dyDescent="0.2">
      <c r="A14" s="15" t="s">
        <v>198</v>
      </c>
      <c r="B14" s="555">
        <v>1897.921</v>
      </c>
      <c r="C14" s="376">
        <v>1939</v>
      </c>
      <c r="D14" s="119">
        <v>3836.9210000000003</v>
      </c>
    </row>
    <row r="15" spans="1:6" s="350" customFormat="1" x14ac:dyDescent="0.2">
      <c r="A15" s="15" t="s">
        <v>1073</v>
      </c>
      <c r="B15" s="555">
        <v>-741</v>
      </c>
      <c r="C15" s="376">
        <v>741</v>
      </c>
      <c r="D15" s="119">
        <v>0</v>
      </c>
      <c r="E15" s="15"/>
    </row>
    <row r="16" spans="1:6" x14ac:dyDescent="0.2">
      <c r="A16" s="15" t="s">
        <v>199</v>
      </c>
      <c r="B16" s="555">
        <v>419</v>
      </c>
      <c r="C16" s="376">
        <v>-419</v>
      </c>
      <c r="D16" s="119">
        <v>0</v>
      </c>
      <c r="F16" s="279"/>
    </row>
    <row r="17" spans="1:6" x14ac:dyDescent="0.2">
      <c r="A17" s="14" t="s">
        <v>200</v>
      </c>
      <c r="B17" s="552">
        <f t="shared" ref="B17:D17" si="0">SUM(B5:B16)</f>
        <v>66466.664846470012</v>
      </c>
      <c r="C17" s="553">
        <f t="shared" si="0"/>
        <v>18959</v>
      </c>
      <c r="D17" s="554">
        <f t="shared" si="0"/>
        <v>85425.664846470027</v>
      </c>
      <c r="F17" s="23"/>
    </row>
    <row r="18" spans="1:6" x14ac:dyDescent="0.2">
      <c r="A18" s="173" t="s">
        <v>201</v>
      </c>
      <c r="B18" s="556">
        <v>91171</v>
      </c>
      <c r="C18" s="376">
        <v>11913</v>
      </c>
      <c r="D18" s="557">
        <f>+B18+C18</f>
        <v>103084</v>
      </c>
      <c r="F18" s="279"/>
    </row>
    <row r="19" spans="1:6" x14ac:dyDescent="0.2">
      <c r="A19" s="99" t="s">
        <v>202</v>
      </c>
      <c r="B19" s="327">
        <f>SUM(B17:B18)</f>
        <v>157637.66484647</v>
      </c>
      <c r="C19" s="462">
        <f>SUM(C17:C18)</f>
        <v>30872</v>
      </c>
      <c r="D19" s="559">
        <f>SUM(D17:D18)</f>
        <v>188509.66484647003</v>
      </c>
      <c r="F19" s="279"/>
    </row>
    <row r="23" spans="1:6" ht="36.75" thickBot="1" x14ac:dyDescent="0.25">
      <c r="A23" s="540">
        <v>2015</v>
      </c>
      <c r="B23" s="117" t="s">
        <v>186</v>
      </c>
      <c r="C23" s="117" t="s">
        <v>187</v>
      </c>
      <c r="D23" s="520" t="s">
        <v>188</v>
      </c>
      <c r="F23" s="84"/>
    </row>
    <row r="24" spans="1:6" x14ac:dyDescent="0.2">
      <c r="A24" s="350" t="s">
        <v>141</v>
      </c>
      <c r="B24" s="555">
        <v>4443</v>
      </c>
      <c r="C24" s="376">
        <f>+D24-B24</f>
        <v>1920</v>
      </c>
      <c r="D24" s="119">
        <v>6363</v>
      </c>
    </row>
    <row r="25" spans="1:6" x14ac:dyDescent="0.2">
      <c r="A25" s="350" t="s">
        <v>142</v>
      </c>
      <c r="B25" s="555">
        <v>903</v>
      </c>
      <c r="C25" s="376">
        <f t="shared" ref="C25:C33" si="1">+D25-B25</f>
        <v>398</v>
      </c>
      <c r="D25" s="119">
        <v>1301</v>
      </c>
    </row>
    <row r="26" spans="1:6" x14ac:dyDescent="0.2">
      <c r="A26" s="350" t="s">
        <v>143</v>
      </c>
      <c r="B26" s="555">
        <v>5330.45</v>
      </c>
      <c r="C26" s="376">
        <f t="shared" si="1"/>
        <v>1171.5500000000002</v>
      </c>
      <c r="D26" s="119">
        <v>6502</v>
      </c>
    </row>
    <row r="27" spans="1:6" x14ac:dyDescent="0.2">
      <c r="A27" s="350" t="s">
        <v>144</v>
      </c>
      <c r="B27" s="555">
        <v>3093</v>
      </c>
      <c r="C27" s="376">
        <f t="shared" si="1"/>
        <v>1563</v>
      </c>
      <c r="D27" s="119">
        <v>4656</v>
      </c>
    </row>
    <row r="28" spans="1:6" x14ac:dyDescent="0.2">
      <c r="A28" s="350" t="s">
        <v>145</v>
      </c>
      <c r="B28" s="555">
        <v>3437.0450000000001</v>
      </c>
      <c r="C28" s="376">
        <f t="shared" si="1"/>
        <v>1229.9549999999999</v>
      </c>
      <c r="D28" s="119">
        <v>4667</v>
      </c>
    </row>
    <row r="29" spans="1:6" x14ac:dyDescent="0.2">
      <c r="A29" s="350" t="s">
        <v>146</v>
      </c>
      <c r="B29" s="555">
        <v>2578</v>
      </c>
      <c r="C29" s="376">
        <f t="shared" si="1"/>
        <v>1199</v>
      </c>
      <c r="D29" s="119">
        <v>3777</v>
      </c>
    </row>
    <row r="30" spans="1:6" x14ac:dyDescent="0.2">
      <c r="A30" s="350" t="s">
        <v>147</v>
      </c>
      <c r="B30" s="555">
        <v>9666</v>
      </c>
      <c r="C30" s="376">
        <f t="shared" si="1"/>
        <v>1718</v>
      </c>
      <c r="D30" s="119">
        <v>11384</v>
      </c>
    </row>
    <row r="31" spans="1:6" x14ac:dyDescent="0.2">
      <c r="A31" s="350" t="s">
        <v>148</v>
      </c>
      <c r="B31" s="555">
        <v>27568.45</v>
      </c>
      <c r="C31" s="376">
        <f t="shared" si="1"/>
        <v>8311.5499999999993</v>
      </c>
      <c r="D31" s="119">
        <v>35880</v>
      </c>
    </row>
    <row r="32" spans="1:6" x14ac:dyDescent="0.2">
      <c r="A32" s="350" t="s">
        <v>149</v>
      </c>
      <c r="B32" s="555">
        <v>8113</v>
      </c>
      <c r="C32" s="376">
        <f t="shared" si="1"/>
        <v>2418</v>
      </c>
      <c r="D32" s="119">
        <v>10531</v>
      </c>
    </row>
    <row r="33" spans="1:5" x14ac:dyDescent="0.2">
      <c r="A33" s="15" t="s">
        <v>150</v>
      </c>
      <c r="B33" s="555">
        <v>2209</v>
      </c>
      <c r="C33" s="376">
        <f t="shared" si="1"/>
        <v>2818</v>
      </c>
      <c r="D33" s="119">
        <v>5027</v>
      </c>
    </row>
    <row r="34" spans="1:5" x14ac:dyDescent="0.2">
      <c r="A34" s="15" t="s">
        <v>199</v>
      </c>
      <c r="B34" s="555">
        <f>323+296.45</f>
        <v>619.45000000000005</v>
      </c>
      <c r="C34" s="376">
        <v>-619</v>
      </c>
      <c r="D34" s="119">
        <f>+B34+C34</f>
        <v>0.45000000000004547</v>
      </c>
    </row>
    <row r="35" spans="1:5" x14ac:dyDescent="0.2">
      <c r="A35" s="14" t="s">
        <v>151</v>
      </c>
      <c r="B35" s="552">
        <f>SUM(B24:B34)</f>
        <v>67960.395000000004</v>
      </c>
      <c r="C35" s="553">
        <f t="shared" ref="C35:D35" si="2">SUM(C24:C34)</f>
        <v>22128.055</v>
      </c>
      <c r="D35" s="554">
        <f t="shared" si="2"/>
        <v>90088.45</v>
      </c>
    </row>
    <row r="36" spans="1:5" x14ac:dyDescent="0.2">
      <c r="A36" s="173" t="s">
        <v>153</v>
      </c>
      <c r="B36" s="556">
        <v>87229.45</v>
      </c>
      <c r="C36" s="376">
        <f>+D36-B36</f>
        <v>8672.5500000000029</v>
      </c>
      <c r="D36" s="557">
        <v>95902</v>
      </c>
    </row>
    <row r="37" spans="1:5" x14ac:dyDescent="0.2">
      <c r="A37" s="99" t="s">
        <v>202</v>
      </c>
      <c r="B37" s="327">
        <f>SUM(B35:B36)</f>
        <v>155189.845</v>
      </c>
      <c r="C37" s="462">
        <f>+C35+C36</f>
        <v>30800.605000000003</v>
      </c>
      <c r="D37" s="559">
        <f>+D35+D36</f>
        <v>185990.45</v>
      </c>
    </row>
    <row r="47" spans="1:5" x14ac:dyDescent="0.2">
      <c r="D47" s="174"/>
      <c r="E47" s="558"/>
    </row>
    <row r="48" spans="1:5" x14ac:dyDescent="0.2">
      <c r="D48" s="174"/>
      <c r="E48" s="558"/>
    </row>
    <row r="49" spans="1:5" x14ac:dyDescent="0.2">
      <c r="D49" s="174"/>
      <c r="E49" s="558"/>
    </row>
    <row r="50" spans="1:5" x14ac:dyDescent="0.2">
      <c r="D50" s="174"/>
      <c r="E50" s="558"/>
    </row>
    <row r="51" spans="1:5" x14ac:dyDescent="0.2">
      <c r="D51" s="174"/>
      <c r="E51" s="558"/>
    </row>
    <row r="52" spans="1:5" x14ac:dyDescent="0.2">
      <c r="D52" s="174"/>
      <c r="E52" s="558"/>
    </row>
    <row r="53" spans="1:5" x14ac:dyDescent="0.2">
      <c r="D53" s="174"/>
      <c r="E53" s="558"/>
    </row>
    <row r="54" spans="1:5" x14ac:dyDescent="0.2">
      <c r="D54" s="174"/>
      <c r="E54" s="558"/>
    </row>
    <row r="55" spans="1:5" x14ac:dyDescent="0.2">
      <c r="D55" s="174"/>
      <c r="E55" s="558"/>
    </row>
    <row r="56" spans="1:5" x14ac:dyDescent="0.2">
      <c r="A56" s="15"/>
      <c r="D56" s="174"/>
      <c r="E56" s="558"/>
    </row>
    <row r="57" spans="1:5" x14ac:dyDescent="0.2">
      <c r="A57" s="15"/>
      <c r="D57" s="174"/>
      <c r="E57" s="558"/>
    </row>
    <row r="58" spans="1:5" x14ac:dyDescent="0.2">
      <c r="A58" s="175"/>
      <c r="D58" s="174"/>
      <c r="E58" s="558"/>
    </row>
    <row r="59" spans="1:5" x14ac:dyDescent="0.2">
      <c r="A59" s="176"/>
      <c r="D59" s="174"/>
      <c r="E59" s="558"/>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3" max="16383" man="1"/>
  </rowBreaks>
  <ignoredErrors>
    <ignoredError sqref="B19:C1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21" t="s">
        <v>897</v>
      </c>
      <c r="B1" s="78"/>
      <c r="C1" s="96"/>
      <c r="D1" s="177"/>
    </row>
    <row r="2" spans="1:19" x14ac:dyDescent="0.2">
      <c r="A2" s="394" t="s">
        <v>289</v>
      </c>
      <c r="B2" s="78"/>
      <c r="C2" s="96"/>
    </row>
    <row r="3" spans="1:19" x14ac:dyDescent="0.2">
      <c r="A3" s="78"/>
      <c r="B3" s="78"/>
      <c r="C3" s="96"/>
    </row>
    <row r="4" spans="1:19" ht="12.75" thickBot="1" x14ac:dyDescent="0.25">
      <c r="A4" s="118">
        <v>2016</v>
      </c>
      <c r="B4" s="161" t="s">
        <v>290</v>
      </c>
      <c r="C4" s="161" t="s">
        <v>291</v>
      </c>
      <c r="D4" s="161" t="s">
        <v>292</v>
      </c>
      <c r="E4" s="161" t="s">
        <v>293</v>
      </c>
      <c r="F4" s="161" t="s">
        <v>294</v>
      </c>
      <c r="G4" s="74"/>
    </row>
    <row r="5" spans="1:19" x14ac:dyDescent="0.2">
      <c r="A5" s="71" t="s">
        <v>295</v>
      </c>
      <c r="B5" s="98">
        <v>49766</v>
      </c>
      <c r="C5" s="98">
        <v>6517</v>
      </c>
      <c r="D5" s="98">
        <v>23254</v>
      </c>
      <c r="E5" s="98">
        <v>78101</v>
      </c>
      <c r="F5" s="98">
        <f>SUM(B5:E5)</f>
        <v>157638</v>
      </c>
      <c r="G5" s="98"/>
      <c r="I5" s="23"/>
    </row>
    <row r="6" spans="1:19" x14ac:dyDescent="0.2">
      <c r="A6" s="15" t="s">
        <v>296</v>
      </c>
      <c r="B6" s="98">
        <v>21037</v>
      </c>
      <c r="C6" s="98"/>
      <c r="D6" s="98"/>
      <c r="E6" s="98"/>
      <c r="F6" s="98">
        <f>SUM(B6:E6)</f>
        <v>21037</v>
      </c>
      <c r="G6" s="98"/>
    </row>
    <row r="7" spans="1:19" x14ac:dyDescent="0.2">
      <c r="A7" s="178" t="s">
        <v>297</v>
      </c>
      <c r="B7" s="179">
        <v>39</v>
      </c>
      <c r="C7" s="179">
        <v>2092</v>
      </c>
      <c r="D7" s="179">
        <v>6194</v>
      </c>
      <c r="E7" s="179">
        <v>1510</v>
      </c>
      <c r="F7" s="98">
        <f>SUM(B7:E7)</f>
        <v>9835</v>
      </c>
      <c r="G7" s="98"/>
    </row>
    <row r="8" spans="1:19" x14ac:dyDescent="0.2">
      <c r="A8" s="377" t="s">
        <v>298</v>
      </c>
      <c r="B8" s="377">
        <f>SUM(B5:B7)</f>
        <v>70842</v>
      </c>
      <c r="C8" s="377">
        <f t="shared" ref="C8:F8" si="0">SUM(C5:C7)</f>
        <v>8609</v>
      </c>
      <c r="D8" s="377">
        <f t="shared" si="0"/>
        <v>29448</v>
      </c>
      <c r="E8" s="377">
        <f t="shared" si="0"/>
        <v>79611</v>
      </c>
      <c r="F8" s="377">
        <f t="shared" si="0"/>
        <v>188510</v>
      </c>
      <c r="G8" s="162"/>
    </row>
    <row r="9" spans="1:19" ht="8.25" customHeight="1" x14ac:dyDescent="0.2">
      <c r="A9" s="172"/>
      <c r="B9" s="98"/>
      <c r="C9" s="98"/>
      <c r="D9" s="98"/>
      <c r="E9" s="98"/>
      <c r="F9" s="98"/>
      <c r="G9" s="84"/>
    </row>
    <row r="10" spans="1:19" x14ac:dyDescent="0.2">
      <c r="A10" s="15" t="s">
        <v>299</v>
      </c>
      <c r="B10" s="98">
        <v>889</v>
      </c>
      <c r="C10" s="184"/>
      <c r="D10" s="98" t="s">
        <v>300</v>
      </c>
      <c r="E10" s="98" t="s">
        <v>300</v>
      </c>
      <c r="F10" s="98">
        <f>SUM(B10:E10)</f>
        <v>889</v>
      </c>
      <c r="G10" s="98"/>
    </row>
    <row r="11" spans="1:19" x14ac:dyDescent="0.2">
      <c r="A11" s="604" t="s">
        <v>301</v>
      </c>
      <c r="B11" s="600">
        <v>802</v>
      </c>
      <c r="C11" s="601">
        <v>3532</v>
      </c>
      <c r="D11" s="600" t="s">
        <v>300</v>
      </c>
      <c r="E11" s="600" t="s">
        <v>300</v>
      </c>
      <c r="F11" s="602">
        <f>SUM(B11:E11)</f>
        <v>4334</v>
      </c>
      <c r="G11" s="98"/>
    </row>
    <row r="12" spans="1:19" x14ac:dyDescent="0.2">
      <c r="B12" s="162"/>
      <c r="C12" s="162"/>
      <c r="D12" s="162"/>
      <c r="E12" s="162"/>
      <c r="F12" s="162"/>
    </row>
    <row r="13" spans="1:19" ht="12.75" thickBot="1" x14ac:dyDescent="0.25">
      <c r="A13" s="181">
        <v>2015</v>
      </c>
      <c r="B13" s="161" t="s">
        <v>302</v>
      </c>
      <c r="C13" s="161" t="s">
        <v>303</v>
      </c>
      <c r="D13" s="161" t="s">
        <v>304</v>
      </c>
      <c r="E13" s="161" t="s">
        <v>305</v>
      </c>
      <c r="F13" s="161" t="s">
        <v>306</v>
      </c>
    </row>
    <row r="14" spans="1:19" x14ac:dyDescent="0.2">
      <c r="A14" s="71" t="s">
        <v>307</v>
      </c>
      <c r="B14" s="98">
        <v>52330</v>
      </c>
      <c r="C14" s="98">
        <v>6642</v>
      </c>
      <c r="D14" s="98">
        <v>21245</v>
      </c>
      <c r="E14" s="98">
        <v>74973</v>
      </c>
      <c r="F14" s="98">
        <f>SUM(B14:E14)</f>
        <v>155190</v>
      </c>
    </row>
    <row r="15" spans="1:19" x14ac:dyDescent="0.2">
      <c r="A15" s="15" t="s">
        <v>308</v>
      </c>
      <c r="B15" s="98">
        <v>19388</v>
      </c>
      <c r="C15" s="98"/>
      <c r="D15" s="98"/>
      <c r="E15" s="98"/>
      <c r="F15" s="98">
        <f>SUM(B15:E15)</f>
        <v>19388</v>
      </c>
      <c r="J15" s="19"/>
      <c r="K15" s="19"/>
      <c r="L15" s="19"/>
      <c r="M15" s="19"/>
      <c r="N15" s="19"/>
      <c r="O15" s="19"/>
      <c r="P15" s="19"/>
      <c r="Q15" s="19"/>
      <c r="R15" s="19"/>
      <c r="S15" s="19"/>
    </row>
    <row r="16" spans="1:19" x14ac:dyDescent="0.2">
      <c r="A16" s="178" t="s">
        <v>309</v>
      </c>
      <c r="B16" s="179"/>
      <c r="C16" s="179">
        <v>4366</v>
      </c>
      <c r="D16" s="179">
        <v>5521.571825</v>
      </c>
      <c r="E16" s="179">
        <v>1524.891132</v>
      </c>
      <c r="F16" s="98">
        <f>SUM(B16:E16)</f>
        <v>11412.462957</v>
      </c>
      <c r="I16" s="67"/>
      <c r="J16" s="104"/>
      <c r="K16" s="104"/>
      <c r="L16" s="104"/>
      <c r="M16" s="104"/>
      <c r="N16" s="104"/>
      <c r="O16" s="104"/>
      <c r="P16" s="104"/>
      <c r="Q16" s="104"/>
      <c r="R16" s="104"/>
      <c r="S16" s="104"/>
    </row>
    <row r="17" spans="1:19" x14ac:dyDescent="0.2">
      <c r="A17" s="377" t="s">
        <v>310</v>
      </c>
      <c r="B17" s="163">
        <f>SUM(B14:B16)</f>
        <v>71718</v>
      </c>
      <c r="C17" s="163">
        <f t="shared" ref="C17:E17" si="1">SUM(C14:C16)</f>
        <v>11008</v>
      </c>
      <c r="D17" s="163">
        <f t="shared" si="1"/>
        <v>26766.571824999999</v>
      </c>
      <c r="E17" s="163">
        <f t="shared" si="1"/>
        <v>76497.891132000004</v>
      </c>
      <c r="F17" s="603">
        <f>SUM(B17:E17)</f>
        <v>185990.46295700001</v>
      </c>
      <c r="G17" s="23"/>
      <c r="H17" s="158"/>
      <c r="J17" s="19"/>
      <c r="K17" s="19"/>
      <c r="L17" s="19"/>
      <c r="M17" s="19"/>
      <c r="N17" s="19"/>
      <c r="O17" s="19"/>
      <c r="P17" s="19"/>
      <c r="Q17" s="19"/>
      <c r="R17" s="19"/>
      <c r="S17" s="19"/>
    </row>
    <row r="18" spans="1:19" ht="8.25" customHeight="1" x14ac:dyDescent="0.2">
      <c r="A18" s="172"/>
      <c r="B18" s="182"/>
      <c r="C18" s="98"/>
      <c r="D18" s="183"/>
      <c r="E18" s="84"/>
      <c r="F18" s="84"/>
    </row>
    <row r="19" spans="1:19" x14ac:dyDescent="0.2">
      <c r="A19" s="15" t="s">
        <v>311</v>
      </c>
      <c r="B19" s="98">
        <v>728</v>
      </c>
      <c r="C19" s="184" t="s">
        <v>300</v>
      </c>
      <c r="D19" s="184" t="s">
        <v>300</v>
      </c>
      <c r="E19" s="184" t="s">
        <v>300</v>
      </c>
      <c r="F19" s="98">
        <f>SUM(B19:E19)</f>
        <v>728</v>
      </c>
      <c r="H19" s="84"/>
    </row>
    <row r="20" spans="1:19" x14ac:dyDescent="0.2">
      <c r="A20" s="604" t="s">
        <v>312</v>
      </c>
      <c r="B20" s="600">
        <v>1204</v>
      </c>
      <c r="C20" s="601">
        <v>1780</v>
      </c>
      <c r="D20" s="601" t="s">
        <v>300</v>
      </c>
      <c r="E20" s="601" t="s">
        <v>300</v>
      </c>
      <c r="F20" s="602">
        <f>SUM(B20:E20)</f>
        <v>2984</v>
      </c>
    </row>
    <row r="21" spans="1:19" x14ac:dyDescent="0.2">
      <c r="G21" s="74"/>
    </row>
    <row r="22" spans="1:19" x14ac:dyDescent="0.2">
      <c r="G22" s="98"/>
    </row>
    <row r="23" spans="1:19" x14ac:dyDescent="0.2">
      <c r="G23" s="98"/>
    </row>
    <row r="24" spans="1:19" x14ac:dyDescent="0.2">
      <c r="G24" s="98"/>
    </row>
    <row r="25" spans="1:19" x14ac:dyDescent="0.2">
      <c r="G25" s="162"/>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0"/>
  <sheetViews>
    <sheetView zoomScaleNormal="100" workbookViewId="0">
      <selection activeCell="B12" sqref="B12"/>
    </sheetView>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50" customFormat="1" x14ac:dyDescent="0.2">
      <c r="A1" s="433" t="s">
        <v>135</v>
      </c>
    </row>
    <row r="2" spans="1:7" s="350" customFormat="1" x14ac:dyDescent="0.2"/>
    <row r="3" spans="1:7" ht="12" customHeight="1" x14ac:dyDescent="0.2">
      <c r="A3" s="434">
        <v>42916</v>
      </c>
      <c r="B3" s="696" t="s">
        <v>136</v>
      </c>
      <c r="C3" s="696"/>
      <c r="D3" s="330"/>
      <c r="E3" s="330"/>
    </row>
    <row r="4" spans="1:7" s="316" customFormat="1" ht="24" x14ac:dyDescent="0.2">
      <c r="A4" s="185" t="s">
        <v>86</v>
      </c>
      <c r="B4" s="435" t="s">
        <v>137</v>
      </c>
      <c r="C4" s="186" t="s">
        <v>138</v>
      </c>
      <c r="D4" s="186" t="s">
        <v>139</v>
      </c>
      <c r="E4" s="187" t="s">
        <v>140</v>
      </c>
    </row>
    <row r="5" spans="1:7" ht="12" customHeight="1" x14ac:dyDescent="0.2">
      <c r="A5" s="350" t="s">
        <v>141</v>
      </c>
      <c r="B5" s="188">
        <v>10</v>
      </c>
      <c r="C5" s="189">
        <v>4</v>
      </c>
      <c r="D5" s="189">
        <v>4</v>
      </c>
      <c r="E5" s="190">
        <v>4</v>
      </c>
    </row>
    <row r="6" spans="1:7" s="316" customFormat="1" x14ac:dyDescent="0.2">
      <c r="A6" s="350" t="s">
        <v>142</v>
      </c>
      <c r="B6" s="188">
        <v>0</v>
      </c>
      <c r="C6" s="189">
        <v>0</v>
      </c>
      <c r="D6" s="189">
        <v>0</v>
      </c>
      <c r="E6" s="184">
        <v>0</v>
      </c>
    </row>
    <row r="7" spans="1:7" s="316" customFormat="1" x14ac:dyDescent="0.2">
      <c r="A7" s="350" t="s">
        <v>143</v>
      </c>
      <c r="B7" s="188">
        <v>0</v>
      </c>
      <c r="C7" s="189">
        <v>0</v>
      </c>
      <c r="D7" s="189">
        <v>0</v>
      </c>
      <c r="E7" s="184">
        <v>0</v>
      </c>
      <c r="G7" s="331"/>
    </row>
    <row r="8" spans="1:7" s="316" customFormat="1" x14ac:dyDescent="0.2">
      <c r="A8" s="350" t="s">
        <v>144</v>
      </c>
      <c r="B8" s="188">
        <v>91</v>
      </c>
      <c r="C8" s="190">
        <v>19</v>
      </c>
      <c r="D8" s="190">
        <v>29</v>
      </c>
      <c r="E8" s="190">
        <v>0</v>
      </c>
    </row>
    <row r="9" spans="1:7" s="316" customFormat="1" x14ac:dyDescent="0.2">
      <c r="A9" s="350" t="s">
        <v>145</v>
      </c>
      <c r="B9" s="188">
        <v>6</v>
      </c>
      <c r="C9" s="189">
        <v>9</v>
      </c>
      <c r="D9" s="189">
        <v>7</v>
      </c>
      <c r="E9" s="190">
        <v>-3</v>
      </c>
    </row>
    <row r="10" spans="1:7" s="316" customFormat="1" x14ac:dyDescent="0.2">
      <c r="A10" s="350" t="s">
        <v>146</v>
      </c>
      <c r="B10" s="188">
        <v>66</v>
      </c>
      <c r="C10" s="189">
        <v>19</v>
      </c>
      <c r="D10" s="189">
        <v>31</v>
      </c>
      <c r="E10" s="190">
        <v>9</v>
      </c>
    </row>
    <row r="11" spans="1:7" s="316" customFormat="1" x14ac:dyDescent="0.2">
      <c r="A11" s="350" t="s">
        <v>147</v>
      </c>
      <c r="B11" s="188">
        <v>716</v>
      </c>
      <c r="C11" s="189">
        <v>106</v>
      </c>
      <c r="D11" s="189">
        <v>281</v>
      </c>
      <c r="E11" s="190">
        <v>128</v>
      </c>
    </row>
    <row r="12" spans="1:7" s="316" customFormat="1" x14ac:dyDescent="0.2">
      <c r="A12" s="350" t="s">
        <v>148</v>
      </c>
      <c r="B12" s="188">
        <v>191</v>
      </c>
      <c r="C12" s="189">
        <v>126</v>
      </c>
      <c r="D12" s="189">
        <v>97</v>
      </c>
      <c r="E12" s="190">
        <v>15</v>
      </c>
    </row>
    <row r="13" spans="1:7" s="316" customFormat="1" x14ac:dyDescent="0.2">
      <c r="A13" s="350" t="s">
        <v>149</v>
      </c>
      <c r="B13" s="188">
        <v>238</v>
      </c>
      <c r="C13" s="189">
        <v>317</v>
      </c>
      <c r="D13" s="189">
        <v>112</v>
      </c>
      <c r="E13" s="190">
        <v>127</v>
      </c>
    </row>
    <row r="14" spans="1:7" s="316" customFormat="1" x14ac:dyDescent="0.2">
      <c r="A14" s="15" t="s">
        <v>150</v>
      </c>
      <c r="B14" s="188">
        <v>0</v>
      </c>
      <c r="C14" s="189">
        <v>0</v>
      </c>
      <c r="D14" s="384">
        <v>0</v>
      </c>
      <c r="E14" s="190">
        <v>0</v>
      </c>
    </row>
    <row r="15" spans="1:7" s="316" customFormat="1" x14ac:dyDescent="0.2">
      <c r="A15" s="175" t="s">
        <v>151</v>
      </c>
      <c r="B15" s="191">
        <f>SUM(B5:B14)</f>
        <v>1318</v>
      </c>
      <c r="C15" s="191">
        <f t="shared" ref="C15:E15" si="0">SUM(C5:C14)</f>
        <v>600</v>
      </c>
      <c r="D15" s="191">
        <f t="shared" si="0"/>
        <v>561</v>
      </c>
      <c r="E15" s="191">
        <f t="shared" si="0"/>
        <v>280</v>
      </c>
    </row>
    <row r="16" spans="1:7" s="316" customFormat="1" x14ac:dyDescent="0.2">
      <c r="A16" s="104" t="s">
        <v>152</v>
      </c>
      <c r="B16" s="192">
        <v>0</v>
      </c>
      <c r="C16" s="193">
        <v>0</v>
      </c>
      <c r="D16" s="194">
        <v>0</v>
      </c>
      <c r="E16" s="194">
        <v>2</v>
      </c>
    </row>
    <row r="17" spans="1:5" s="316" customFormat="1" x14ac:dyDescent="0.2">
      <c r="A17" s="195" t="s">
        <v>153</v>
      </c>
      <c r="B17" s="196">
        <v>75</v>
      </c>
      <c r="C17" s="196">
        <v>230</v>
      </c>
      <c r="D17" s="196">
        <v>63</v>
      </c>
      <c r="E17" s="196">
        <v>17</v>
      </c>
    </row>
    <row r="18" spans="1:5" s="316" customFormat="1" x14ac:dyDescent="0.2">
      <c r="A18" s="328" t="s">
        <v>154</v>
      </c>
      <c r="B18" s="584">
        <f>+B17+B15</f>
        <v>1393</v>
      </c>
      <c r="C18" s="584">
        <f>+C17+C15</f>
        <v>830</v>
      </c>
      <c r="D18" s="584">
        <f>+D17+D15</f>
        <v>624</v>
      </c>
      <c r="E18" s="584">
        <f>+E15+E16+E17</f>
        <v>299</v>
      </c>
    </row>
    <row r="19" spans="1:5" s="316" customFormat="1" x14ac:dyDescent="0.2">
      <c r="A19" s="116"/>
      <c r="B19" s="116"/>
      <c r="C19" s="116"/>
      <c r="D19" s="116"/>
      <c r="E19" s="330"/>
    </row>
    <row r="20" spans="1:5" s="316" customFormat="1" x14ac:dyDescent="0.2">
      <c r="A20" s="116"/>
      <c r="B20" s="116"/>
      <c r="C20" s="116"/>
      <c r="D20" s="116"/>
      <c r="E20" s="330"/>
    </row>
    <row r="21" spans="1:5" s="316" customFormat="1" ht="12.75" x14ac:dyDescent="0.2">
      <c r="A21" s="116"/>
      <c r="B21" s="344"/>
      <c r="C21" s="80"/>
      <c r="D21" s="116"/>
      <c r="E21" s="330"/>
    </row>
    <row r="22" spans="1:5" s="316" customFormat="1" x14ac:dyDescent="0.2">
      <c r="A22" s="116"/>
      <c r="B22" s="80"/>
      <c r="C22" s="80"/>
      <c r="D22" s="116"/>
      <c r="E22" s="330"/>
    </row>
    <row r="23" spans="1:5" s="316" customFormat="1" ht="12" customHeight="1" x14ac:dyDescent="0.2">
      <c r="A23" s="434">
        <v>42735</v>
      </c>
      <c r="B23" s="696" t="s">
        <v>155</v>
      </c>
      <c r="C23" s="696"/>
      <c r="D23" s="330"/>
      <c r="E23" s="330"/>
    </row>
    <row r="24" spans="1:5" ht="36.75" customHeight="1" x14ac:dyDescent="0.2">
      <c r="A24" s="185" t="s">
        <v>86</v>
      </c>
      <c r="B24" s="435" t="s">
        <v>156</v>
      </c>
      <c r="C24" s="186" t="s">
        <v>157</v>
      </c>
      <c r="D24" s="186" t="s">
        <v>158</v>
      </c>
      <c r="E24" s="187" t="s">
        <v>159</v>
      </c>
    </row>
    <row r="25" spans="1:5" x14ac:dyDescent="0.2">
      <c r="A25" s="350" t="s">
        <v>160</v>
      </c>
      <c r="B25" s="192">
        <v>13</v>
      </c>
      <c r="C25" s="189">
        <v>5</v>
      </c>
      <c r="D25" s="190">
        <v>8</v>
      </c>
      <c r="E25" s="190">
        <v>4</v>
      </c>
    </row>
    <row r="26" spans="1:5" x14ac:dyDescent="0.2">
      <c r="A26" s="350" t="s">
        <v>161</v>
      </c>
      <c r="B26" s="192">
        <v>0</v>
      </c>
      <c r="C26" s="189">
        <v>0</v>
      </c>
      <c r="D26" s="190">
        <v>0</v>
      </c>
      <c r="E26" s="184">
        <v>0</v>
      </c>
    </row>
    <row r="27" spans="1:5" x14ac:dyDescent="0.2">
      <c r="A27" s="350" t="s">
        <v>162</v>
      </c>
      <c r="B27" s="192">
        <v>0</v>
      </c>
      <c r="C27" s="189">
        <v>0</v>
      </c>
      <c r="D27" s="184">
        <v>0</v>
      </c>
      <c r="E27" s="184">
        <v>0</v>
      </c>
    </row>
    <row r="28" spans="1:5" x14ac:dyDescent="0.2">
      <c r="A28" s="350" t="s">
        <v>163</v>
      </c>
      <c r="B28" s="192">
        <v>48</v>
      </c>
      <c r="C28" s="190">
        <v>1</v>
      </c>
      <c r="D28" s="190">
        <v>15</v>
      </c>
      <c r="E28" s="190">
        <v>10</v>
      </c>
    </row>
    <row r="29" spans="1:5" x14ac:dyDescent="0.2">
      <c r="A29" s="350" t="s">
        <v>164</v>
      </c>
      <c r="B29" s="192">
        <v>43</v>
      </c>
      <c r="C29" s="189">
        <v>23</v>
      </c>
      <c r="D29" s="190">
        <v>26</v>
      </c>
      <c r="E29" s="190">
        <v>21</v>
      </c>
    </row>
    <row r="30" spans="1:5" x14ac:dyDescent="0.2">
      <c r="A30" s="350" t="s">
        <v>165</v>
      </c>
      <c r="B30" s="192">
        <v>55</v>
      </c>
      <c r="C30" s="189">
        <v>17</v>
      </c>
      <c r="D30" s="190">
        <v>25</v>
      </c>
      <c r="E30" s="190">
        <v>5</v>
      </c>
    </row>
    <row r="31" spans="1:5" x14ac:dyDescent="0.2">
      <c r="A31" s="350" t="s">
        <v>166</v>
      </c>
      <c r="B31" s="192">
        <v>581</v>
      </c>
      <c r="C31" s="189">
        <v>139</v>
      </c>
      <c r="D31" s="190">
        <v>212</v>
      </c>
      <c r="E31" s="190">
        <v>195</v>
      </c>
    </row>
    <row r="32" spans="1:5" x14ac:dyDescent="0.2">
      <c r="A32" s="350" t="s">
        <v>167</v>
      </c>
      <c r="B32" s="192">
        <v>257</v>
      </c>
      <c r="C32" s="189">
        <v>81</v>
      </c>
      <c r="D32" s="190">
        <v>92</v>
      </c>
      <c r="E32" s="190">
        <v>29</v>
      </c>
    </row>
    <row r="33" spans="1:5" x14ac:dyDescent="0.2">
      <c r="A33" s="350" t="s">
        <v>168</v>
      </c>
      <c r="B33" s="192">
        <v>79</v>
      </c>
      <c r="C33" s="189">
        <v>600</v>
      </c>
      <c r="D33" s="190">
        <v>150</v>
      </c>
      <c r="E33" s="190">
        <v>321.5</v>
      </c>
    </row>
    <row r="34" spans="1:5" x14ac:dyDescent="0.2">
      <c r="A34" s="15" t="s">
        <v>169</v>
      </c>
      <c r="B34" s="192">
        <v>0</v>
      </c>
      <c r="C34" s="189">
        <v>0</v>
      </c>
      <c r="D34" s="190">
        <v>0</v>
      </c>
      <c r="E34" s="190">
        <v>0</v>
      </c>
    </row>
    <row r="35" spans="1:5" x14ac:dyDescent="0.2">
      <c r="A35" s="175" t="s">
        <v>170</v>
      </c>
      <c r="B35" s="386">
        <v>1076</v>
      </c>
      <c r="C35" s="191">
        <v>866</v>
      </c>
      <c r="D35" s="191">
        <v>528</v>
      </c>
      <c r="E35" s="191">
        <v>585.5</v>
      </c>
    </row>
    <row r="36" spans="1:5" x14ac:dyDescent="0.2">
      <c r="A36" s="104" t="s">
        <v>171</v>
      </c>
      <c r="B36" s="192">
        <v>0</v>
      </c>
      <c r="C36" s="193">
        <v>0</v>
      </c>
      <c r="D36" s="194">
        <v>0</v>
      </c>
      <c r="E36" s="194">
        <v>158</v>
      </c>
    </row>
    <row r="37" spans="1:5" x14ac:dyDescent="0.2">
      <c r="A37" s="195" t="s">
        <v>172</v>
      </c>
      <c r="B37" s="196">
        <v>65</v>
      </c>
      <c r="C37" s="196">
        <v>204</v>
      </c>
      <c r="D37" s="196">
        <v>62</v>
      </c>
      <c r="E37" s="196">
        <v>34</v>
      </c>
    </row>
    <row r="38" spans="1:5" ht="14.25" customHeight="1" x14ac:dyDescent="0.2">
      <c r="A38" s="328" t="s">
        <v>173</v>
      </c>
      <c r="B38" s="585">
        <f>+B35+B37</f>
        <v>1141</v>
      </c>
      <c r="C38" s="584">
        <f t="shared" ref="C38:D38" si="1">+C35+C37</f>
        <v>1070</v>
      </c>
      <c r="D38" s="584">
        <f t="shared" si="1"/>
        <v>590</v>
      </c>
      <c r="E38" s="584">
        <f>+E35+E37+E36</f>
        <v>777.5</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 sqref="D1"/>
    </sheetView>
  </sheetViews>
  <sheetFormatPr baseColWidth="10" defaultColWidth="11" defaultRowHeight="12" x14ac:dyDescent="0.2"/>
  <cols>
    <col min="1" max="1" width="17.375" style="316" customWidth="1"/>
    <col min="2" max="4" width="11.5" style="316" customWidth="1"/>
    <col min="5" max="16384" width="11" style="17"/>
  </cols>
  <sheetData>
    <row r="1" spans="1:6" ht="12.75" x14ac:dyDescent="0.2">
      <c r="A1" s="522" t="s">
        <v>898</v>
      </c>
    </row>
    <row r="2" spans="1:6" ht="12.75" x14ac:dyDescent="0.2">
      <c r="A2" s="289" t="s">
        <v>462</v>
      </c>
      <c r="B2" s="89"/>
      <c r="C2" s="89"/>
      <c r="D2" s="89"/>
    </row>
    <row r="3" spans="1:6" x14ac:dyDescent="0.2">
      <c r="A3" s="94"/>
      <c r="B3" s="114"/>
      <c r="C3" s="114"/>
      <c r="D3" s="114"/>
    </row>
    <row r="4" spans="1:6" ht="12.75" thickBot="1" x14ac:dyDescent="0.25">
      <c r="A4" s="197"/>
      <c r="B4" s="118"/>
      <c r="C4" s="161">
        <v>2016</v>
      </c>
      <c r="D4" s="1">
        <v>2015</v>
      </c>
      <c r="F4" s="23"/>
    </row>
    <row r="5" spans="1:6" x14ac:dyDescent="0.2">
      <c r="A5" s="15" t="s">
        <v>463</v>
      </c>
      <c r="B5" s="15"/>
      <c r="C5" s="198">
        <v>0</v>
      </c>
      <c r="D5" s="199">
        <v>0</v>
      </c>
      <c r="F5" s="23"/>
    </row>
    <row r="6" spans="1:6" x14ac:dyDescent="0.2">
      <c r="A6" s="15" t="s">
        <v>464</v>
      </c>
      <c r="B6" s="15"/>
      <c r="C6" s="198">
        <v>0</v>
      </c>
      <c r="D6" s="199">
        <v>0</v>
      </c>
      <c r="F6" s="23"/>
    </row>
    <row r="7" spans="1:6" x14ac:dyDescent="0.2">
      <c r="A7" s="15" t="s">
        <v>465</v>
      </c>
      <c r="B7" s="15"/>
      <c r="C7" s="198">
        <v>0</v>
      </c>
      <c r="D7" s="199">
        <v>0</v>
      </c>
      <c r="F7" s="23"/>
    </row>
    <row r="8" spans="1:6" x14ac:dyDescent="0.2">
      <c r="A8" s="15" t="s">
        <v>466</v>
      </c>
      <c r="B8" s="15"/>
      <c r="C8" s="198">
        <v>0</v>
      </c>
      <c r="D8" s="199">
        <v>0</v>
      </c>
    </row>
    <row r="9" spans="1:6" x14ac:dyDescent="0.2">
      <c r="A9" s="15" t="s">
        <v>467</v>
      </c>
      <c r="B9" s="15"/>
      <c r="C9" s="198">
        <v>0</v>
      </c>
      <c r="D9" s="199">
        <v>0</v>
      </c>
    </row>
    <row r="10" spans="1:6" x14ac:dyDescent="0.2">
      <c r="A10" s="15" t="s">
        <v>468</v>
      </c>
      <c r="B10" s="15"/>
      <c r="C10" s="198">
        <v>0</v>
      </c>
      <c r="D10" s="199">
        <v>0</v>
      </c>
    </row>
    <row r="11" spans="1:6" x14ac:dyDescent="0.2">
      <c r="A11" s="15" t="s">
        <v>469</v>
      </c>
      <c r="B11" s="15"/>
      <c r="C11" s="198">
        <v>0</v>
      </c>
      <c r="D11" s="199">
        <v>0</v>
      </c>
    </row>
    <row r="12" spans="1:6" x14ac:dyDescent="0.2">
      <c r="A12" s="15" t="s">
        <v>470</v>
      </c>
      <c r="B12" s="15"/>
      <c r="C12" s="198">
        <v>0</v>
      </c>
      <c r="D12" s="199">
        <v>0</v>
      </c>
    </row>
    <row r="13" spans="1:6" x14ac:dyDescent="0.2">
      <c r="A13" s="15" t="s">
        <v>471</v>
      </c>
      <c r="B13" s="15"/>
      <c r="C13" s="198">
        <v>0</v>
      </c>
      <c r="D13" s="199">
        <v>0</v>
      </c>
    </row>
    <row r="14" spans="1:6" x14ac:dyDescent="0.2">
      <c r="A14" s="15" t="s">
        <v>472</v>
      </c>
      <c r="B14" s="15"/>
      <c r="C14" s="198">
        <v>0</v>
      </c>
      <c r="D14" s="199">
        <v>0</v>
      </c>
    </row>
    <row r="15" spans="1:6" x14ac:dyDescent="0.2">
      <c r="A15" s="15" t="s">
        <v>473</v>
      </c>
      <c r="B15" s="15"/>
      <c r="C15" s="14">
        <v>778</v>
      </c>
      <c r="D15" s="14">
        <v>420</v>
      </c>
    </row>
    <row r="16" spans="1:6" x14ac:dyDescent="0.2">
      <c r="A16" s="99" t="s">
        <v>474</v>
      </c>
      <c r="B16" s="99"/>
      <c r="C16" s="200">
        <f>SUM(C5:C15)</f>
        <v>778</v>
      </c>
      <c r="D16" s="201">
        <f>SUM(D5:D15)</f>
        <v>420</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25"/>
  <sheetViews>
    <sheetView zoomScaleNormal="100" workbookViewId="0">
      <selection activeCell="E1" sqref="E1"/>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700" t="s">
        <v>899</v>
      </c>
      <c r="B1" s="701"/>
      <c r="C1" s="701"/>
      <c r="D1" s="701"/>
    </row>
    <row r="2" spans="1:6" ht="13.5" customHeight="1" x14ac:dyDescent="0.2">
      <c r="A2" s="701"/>
      <c r="B2" s="701"/>
      <c r="C2" s="701"/>
      <c r="D2" s="701"/>
    </row>
    <row r="3" spans="1:6" x14ac:dyDescent="0.2">
      <c r="A3" s="166" t="s">
        <v>392</v>
      </c>
      <c r="B3" s="392"/>
      <c r="C3" s="392"/>
      <c r="D3" s="392"/>
    </row>
    <row r="4" spans="1:6" ht="12" customHeight="1" x14ac:dyDescent="0.2">
      <c r="A4" s="166"/>
      <c r="B4" s="317"/>
      <c r="C4" s="317"/>
      <c r="D4" s="317"/>
      <c r="F4" s="23"/>
    </row>
    <row r="5" spans="1:6" ht="12" customHeight="1" x14ac:dyDescent="0.2">
      <c r="A5" s="94"/>
      <c r="B5" s="697" t="s">
        <v>393</v>
      </c>
      <c r="C5" s="697"/>
      <c r="D5" s="698" t="s">
        <v>394</v>
      </c>
      <c r="F5" s="331"/>
    </row>
    <row r="6" spans="1:6" ht="12.75" thickBot="1" x14ac:dyDescent="0.25">
      <c r="A6" s="118">
        <v>2016</v>
      </c>
      <c r="B6" s="391" t="s">
        <v>395</v>
      </c>
      <c r="C6" s="391" t="s">
        <v>396</v>
      </c>
      <c r="D6" s="699"/>
    </row>
    <row r="7" spans="1:6" x14ac:dyDescent="0.2">
      <c r="A7" s="15" t="s">
        <v>397</v>
      </c>
      <c r="B7" s="202">
        <v>409</v>
      </c>
      <c r="C7" s="202">
        <v>820</v>
      </c>
      <c r="D7" s="202">
        <v>285</v>
      </c>
      <c r="F7" s="23"/>
    </row>
    <row r="8" spans="1:6" x14ac:dyDescent="0.2">
      <c r="A8" s="15" t="s">
        <v>398</v>
      </c>
      <c r="B8" s="202">
        <v>104</v>
      </c>
      <c r="C8" s="202">
        <v>44</v>
      </c>
      <c r="D8" s="202">
        <v>54</v>
      </c>
    </row>
    <row r="9" spans="1:6" x14ac:dyDescent="0.2">
      <c r="A9" s="15" t="s">
        <v>399</v>
      </c>
      <c r="B9" s="202">
        <v>475</v>
      </c>
      <c r="C9" s="202">
        <v>47</v>
      </c>
      <c r="D9" s="202">
        <v>110</v>
      </c>
    </row>
    <row r="10" spans="1:6" x14ac:dyDescent="0.2">
      <c r="A10" s="80" t="s">
        <v>400</v>
      </c>
      <c r="B10" s="202">
        <v>153</v>
      </c>
      <c r="C10" s="202">
        <v>159</v>
      </c>
      <c r="D10" s="202">
        <v>141</v>
      </c>
    </row>
    <row r="11" spans="1:6" x14ac:dyDescent="0.2">
      <c r="A11" s="99" t="s">
        <v>401</v>
      </c>
      <c r="B11" s="203">
        <f>SUM(B7:B10)</f>
        <v>1141</v>
      </c>
      <c r="C11" s="203">
        <f>SUM(C7:C10)</f>
        <v>1070</v>
      </c>
      <c r="D11" s="203">
        <f>SUM(D7:D10)</f>
        <v>590</v>
      </c>
    </row>
    <row r="12" spans="1:6" x14ac:dyDescent="0.2">
      <c r="A12" s="166"/>
      <c r="B12" s="348"/>
      <c r="C12" s="345"/>
      <c r="D12" s="329"/>
    </row>
    <row r="13" spans="1:6" ht="12" customHeight="1" x14ac:dyDescent="0.2">
      <c r="A13" s="94"/>
      <c r="B13" s="697" t="s">
        <v>402</v>
      </c>
      <c r="C13" s="697"/>
      <c r="D13" s="698" t="s">
        <v>403</v>
      </c>
    </row>
    <row r="14" spans="1:6" ht="12.75" thickBot="1" x14ac:dyDescent="0.25">
      <c r="A14" s="118">
        <v>2015</v>
      </c>
      <c r="B14" s="391" t="s">
        <v>404</v>
      </c>
      <c r="C14" s="391" t="s">
        <v>405</v>
      </c>
      <c r="D14" s="699"/>
    </row>
    <row r="15" spans="1:6" x14ac:dyDescent="0.2">
      <c r="A15" s="15" t="s">
        <v>406</v>
      </c>
      <c r="B15" s="202">
        <v>346</v>
      </c>
      <c r="C15" s="202">
        <v>694</v>
      </c>
      <c r="D15" s="202">
        <v>169</v>
      </c>
    </row>
    <row r="16" spans="1:6" x14ac:dyDescent="0.2">
      <c r="A16" s="15" t="s">
        <v>407</v>
      </c>
      <c r="B16" s="202">
        <v>123</v>
      </c>
      <c r="C16" s="202">
        <v>81</v>
      </c>
      <c r="D16" s="202">
        <v>85</v>
      </c>
    </row>
    <row r="17" spans="1:4" x14ac:dyDescent="0.2">
      <c r="A17" s="15" t="s">
        <v>408</v>
      </c>
      <c r="B17" s="202">
        <v>69</v>
      </c>
      <c r="C17" s="202">
        <v>50</v>
      </c>
      <c r="D17" s="202">
        <v>56</v>
      </c>
    </row>
    <row r="18" spans="1:4" x14ac:dyDescent="0.2">
      <c r="A18" s="80" t="s">
        <v>409</v>
      </c>
      <c r="B18" s="202">
        <v>10</v>
      </c>
      <c r="C18" s="202">
        <v>28</v>
      </c>
      <c r="D18" s="202">
        <v>5</v>
      </c>
    </row>
    <row r="19" spans="1:4" x14ac:dyDescent="0.2">
      <c r="A19" s="99" t="s">
        <v>410</v>
      </c>
      <c r="B19" s="385">
        <f>SUM(B15:B18)</f>
        <v>548</v>
      </c>
      <c r="C19" s="203">
        <f>SUM(C15:C18)</f>
        <v>853</v>
      </c>
      <c r="D19" s="203">
        <f>SUM(D15:D18)</f>
        <v>315</v>
      </c>
    </row>
    <row r="25" spans="1:4" x14ac:dyDescent="0.2">
      <c r="B25" s="392"/>
      <c r="C25" s="392"/>
      <c r="D25" s="392"/>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E27"/>
  <sheetViews>
    <sheetView zoomScaleNormal="100" workbookViewId="0">
      <selection activeCell="A4" sqref="A4"/>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702" t="s">
        <v>900</v>
      </c>
      <c r="B1" s="703"/>
      <c r="C1" s="703"/>
      <c r="D1" s="703"/>
      <c r="E1" s="703"/>
    </row>
    <row r="2" spans="1:5" x14ac:dyDescent="0.2">
      <c r="A2" s="393" t="s">
        <v>118</v>
      </c>
      <c r="B2" s="393"/>
      <c r="C2" s="393"/>
      <c r="D2" s="393"/>
      <c r="E2" s="393"/>
    </row>
    <row r="3" spans="1:5" ht="36.75" thickBot="1" x14ac:dyDescent="0.25">
      <c r="A3" s="375">
        <v>2016</v>
      </c>
      <c r="B3" s="343" t="s">
        <v>119</v>
      </c>
      <c r="C3" s="343" t="s">
        <v>120</v>
      </c>
      <c r="D3" s="343" t="s">
        <v>121</v>
      </c>
      <c r="E3" s="343" t="s">
        <v>122</v>
      </c>
    </row>
    <row r="4" spans="1:5" x14ac:dyDescent="0.2">
      <c r="A4" s="394" t="s">
        <v>123</v>
      </c>
      <c r="B4" s="205">
        <v>315</v>
      </c>
      <c r="C4" s="205">
        <v>192</v>
      </c>
      <c r="D4" s="98">
        <f>469-2</f>
        <v>467</v>
      </c>
      <c r="E4" s="98">
        <f>+B4-C4+D4-0.5</f>
        <v>589.5</v>
      </c>
    </row>
    <row r="5" spans="1:5" x14ac:dyDescent="0.2">
      <c r="A5" s="394" t="s">
        <v>124</v>
      </c>
      <c r="B5" s="98">
        <v>517.90899999999999</v>
      </c>
      <c r="C5" s="98"/>
      <c r="D5" s="98">
        <v>158</v>
      </c>
      <c r="E5" s="98">
        <f>+B5-C5+D5-0.5</f>
        <v>675.40899999999999</v>
      </c>
    </row>
    <row r="6" spans="1:5" x14ac:dyDescent="0.2">
      <c r="A6" s="394" t="s">
        <v>125</v>
      </c>
      <c r="B6" s="86">
        <v>3</v>
      </c>
      <c r="C6" s="86"/>
      <c r="D6" s="86">
        <v>2</v>
      </c>
      <c r="E6" s="98">
        <f>+B6-C6+D6-0.5</f>
        <v>4.5</v>
      </c>
    </row>
    <row r="7" spans="1:5" x14ac:dyDescent="0.2">
      <c r="A7" s="87" t="s">
        <v>126</v>
      </c>
      <c r="B7" s="100">
        <f>SUM(B4:B6)</f>
        <v>835.90899999999999</v>
      </c>
      <c r="C7" s="100">
        <f>SUM(C4:C6)</f>
        <v>192</v>
      </c>
      <c r="D7" s="100">
        <f>SUM(D4:D6)</f>
        <v>627</v>
      </c>
      <c r="E7" s="100">
        <f>+B7-C7+D7</f>
        <v>1270.9090000000001</v>
      </c>
    </row>
    <row r="8" spans="1:5" x14ac:dyDescent="0.2">
      <c r="A8" s="319"/>
      <c r="B8" s="319"/>
      <c r="C8" s="319"/>
      <c r="D8" s="319"/>
      <c r="E8" s="319"/>
    </row>
    <row r="9" spans="1:5" ht="36.75" thickBot="1" x14ac:dyDescent="0.25">
      <c r="A9" s="375">
        <v>2015</v>
      </c>
      <c r="B9" s="343" t="s">
        <v>127</v>
      </c>
      <c r="C9" s="343" t="s">
        <v>128</v>
      </c>
      <c r="D9" s="343" t="s">
        <v>129</v>
      </c>
      <c r="E9" s="343" t="s">
        <v>130</v>
      </c>
    </row>
    <row r="10" spans="1:5" x14ac:dyDescent="0.2">
      <c r="A10" s="394" t="s">
        <v>131</v>
      </c>
      <c r="B10" s="205">
        <v>322</v>
      </c>
      <c r="C10" s="205">
        <v>185</v>
      </c>
      <c r="D10" s="98">
        <v>178</v>
      </c>
      <c r="E10" s="98">
        <f>+B10-C10+D10-0.5</f>
        <v>314.5</v>
      </c>
    </row>
    <row r="11" spans="1:5" x14ac:dyDescent="0.2">
      <c r="A11" s="394" t="s">
        <v>132</v>
      </c>
      <c r="B11" s="98">
        <v>377.90899999999999</v>
      </c>
      <c r="C11" s="98"/>
      <c r="D11" s="98">
        <v>140</v>
      </c>
      <c r="E11" s="98">
        <f>+B11-C11+D11-0.5</f>
        <v>517.40899999999999</v>
      </c>
    </row>
    <row r="12" spans="1:5" x14ac:dyDescent="0.2">
      <c r="A12" s="394" t="s">
        <v>133</v>
      </c>
      <c r="B12" s="86">
        <v>0</v>
      </c>
      <c r="C12" s="86"/>
      <c r="D12" s="86">
        <v>3</v>
      </c>
      <c r="E12" s="98">
        <f>+B12-C12+D12-0.5</f>
        <v>2.5</v>
      </c>
    </row>
    <row r="13" spans="1:5" x14ac:dyDescent="0.2">
      <c r="A13" s="87" t="s">
        <v>134</v>
      </c>
      <c r="B13" s="100">
        <f>SUM(B10:B12)</f>
        <v>699.90899999999999</v>
      </c>
      <c r="C13" s="100">
        <f>SUM(C10:C12)</f>
        <v>185</v>
      </c>
      <c r="D13" s="100">
        <f>SUM(D10:D12)</f>
        <v>321</v>
      </c>
      <c r="E13" s="100">
        <f>+B13-C13+D13</f>
        <v>835.90899999999999</v>
      </c>
    </row>
    <row r="26" spans="1:5" x14ac:dyDescent="0.2">
      <c r="A26" s="23"/>
    </row>
    <row r="27" spans="1:5" x14ac:dyDescent="0.2">
      <c r="A27" s="703"/>
      <c r="B27" s="703"/>
      <c r="C27" s="703"/>
      <c r="D27" s="703"/>
      <c r="E27" s="703"/>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172"/>
  <sheetViews>
    <sheetView zoomScaleNormal="100" workbookViewId="0">
      <selection activeCell="G1" sqref="G1"/>
    </sheetView>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6" t="s">
        <v>203</v>
      </c>
      <c r="B1" s="85"/>
      <c r="C1" s="15"/>
      <c r="D1" s="15"/>
      <c r="E1" s="15"/>
      <c r="F1" s="15"/>
      <c r="G1" s="207"/>
    </row>
    <row r="2" spans="1:7" s="350" customFormat="1" x14ac:dyDescent="0.2">
      <c r="A2" s="206"/>
      <c r="B2" s="85"/>
      <c r="C2" s="15"/>
      <c r="D2" s="15"/>
      <c r="E2" s="15"/>
      <c r="F2" s="15"/>
      <c r="G2" s="15"/>
    </row>
    <row r="3" spans="1:7" s="350" customFormat="1" x14ac:dyDescent="0.2">
      <c r="A3" s="206"/>
      <c r="B3" s="85"/>
      <c r="C3" s="15"/>
      <c r="D3" s="15"/>
      <c r="E3" s="15"/>
      <c r="F3" s="15"/>
      <c r="G3" s="15"/>
    </row>
    <row r="4" spans="1:7" s="350" customFormat="1" ht="36.75" thickBot="1" x14ac:dyDescent="0.25">
      <c r="A4" s="541">
        <v>2016</v>
      </c>
      <c r="B4" s="209" t="s">
        <v>204</v>
      </c>
      <c r="C4" s="343" t="s">
        <v>205</v>
      </c>
      <c r="D4" s="343" t="s">
        <v>206</v>
      </c>
      <c r="E4" s="343" t="s">
        <v>207</v>
      </c>
      <c r="F4" s="343" t="s">
        <v>208</v>
      </c>
      <c r="G4" s="343" t="s">
        <v>209</v>
      </c>
    </row>
    <row r="5" spans="1:7" s="350" customFormat="1" x14ac:dyDescent="0.2">
      <c r="A5" s="80" t="s">
        <v>890</v>
      </c>
      <c r="B5" s="90"/>
      <c r="C5" s="72"/>
      <c r="D5" s="72"/>
      <c r="E5" s="72"/>
      <c r="F5" s="72"/>
      <c r="G5" s="72"/>
    </row>
    <row r="6" spans="1:7" s="350" customFormat="1" x14ac:dyDescent="0.2">
      <c r="B6" s="210" t="s">
        <v>210</v>
      </c>
      <c r="C6" s="98">
        <v>0</v>
      </c>
      <c r="D6" s="98">
        <v>0</v>
      </c>
      <c r="E6" s="211">
        <v>0</v>
      </c>
      <c r="F6" s="211">
        <v>0</v>
      </c>
      <c r="G6" s="211">
        <v>0</v>
      </c>
    </row>
    <row r="7" spans="1:7" s="350" customFormat="1" x14ac:dyDescent="0.2">
      <c r="A7" s="80"/>
      <c r="B7" s="210" t="s">
        <v>211</v>
      </c>
      <c r="C7" s="98">
        <v>508.60250692</v>
      </c>
      <c r="D7" s="98">
        <v>49.742920689999998</v>
      </c>
      <c r="E7" s="211">
        <v>0.23159077059757643</v>
      </c>
      <c r="F7" s="211">
        <v>0.25229984525743743</v>
      </c>
      <c r="G7" s="211">
        <v>0.95577149016330776</v>
      </c>
    </row>
    <row r="8" spans="1:7" s="350" customFormat="1" x14ac:dyDescent="0.2">
      <c r="A8" s="80"/>
      <c r="B8" s="210" t="s">
        <v>212</v>
      </c>
      <c r="C8" s="98">
        <v>3028.92287988</v>
      </c>
      <c r="D8" s="98">
        <v>805.30004779000001</v>
      </c>
      <c r="E8" s="211">
        <v>0.37853400453350639</v>
      </c>
      <c r="F8" s="211">
        <v>0.30968831548747494</v>
      </c>
      <c r="G8" s="211">
        <v>0.81541871449216852</v>
      </c>
    </row>
    <row r="9" spans="1:7" s="350" customFormat="1" x14ac:dyDescent="0.2">
      <c r="A9" s="80"/>
      <c r="B9" s="210" t="s">
        <v>213</v>
      </c>
      <c r="C9" s="98">
        <v>2920.2697140599989</v>
      </c>
      <c r="D9" s="98">
        <v>778.15335274999995</v>
      </c>
      <c r="E9" s="211">
        <v>0.43903962632553184</v>
      </c>
      <c r="F9" s="211">
        <v>0.27195613925463197</v>
      </c>
      <c r="G9" s="211">
        <v>0.93275489774785991</v>
      </c>
    </row>
    <row r="10" spans="1:7" s="350" customFormat="1" x14ac:dyDescent="0.2">
      <c r="A10" s="80"/>
      <c r="B10" s="210" t="s">
        <v>214</v>
      </c>
      <c r="C10" s="98">
        <v>4492.3656666999996</v>
      </c>
      <c r="D10" s="98">
        <v>699.16013213999997</v>
      </c>
      <c r="E10" s="211">
        <v>0.5269532052046727</v>
      </c>
      <c r="F10" s="211">
        <v>0.26909939956697893</v>
      </c>
      <c r="G10" s="211">
        <v>0.93092279916868648</v>
      </c>
    </row>
    <row r="11" spans="1:7" s="350" customFormat="1" x14ac:dyDescent="0.2">
      <c r="A11" s="80"/>
      <c r="B11" s="210" t="s">
        <v>215</v>
      </c>
      <c r="C11" s="98">
        <v>5493.9312260699999</v>
      </c>
      <c r="D11" s="98">
        <v>1155.4618516999999</v>
      </c>
      <c r="E11" s="211">
        <v>0.66654266171438381</v>
      </c>
      <c r="F11" s="211">
        <v>0.31086171224633552</v>
      </c>
      <c r="G11" s="211">
        <v>0.9532090559330042</v>
      </c>
    </row>
    <row r="12" spans="1:7" s="350" customFormat="1" x14ac:dyDescent="0.2">
      <c r="A12" s="80"/>
      <c r="B12" s="210" t="s">
        <v>216</v>
      </c>
      <c r="C12" s="98">
        <v>5564.7558269900001</v>
      </c>
      <c r="D12" s="98">
        <v>837.91424034000011</v>
      </c>
      <c r="E12" s="211">
        <v>0.84510255396160006</v>
      </c>
      <c r="F12" s="211">
        <v>0.32075310522311351</v>
      </c>
      <c r="G12" s="211">
        <v>0.85319978062715973</v>
      </c>
    </row>
    <row r="13" spans="1:7" s="350" customFormat="1" x14ac:dyDescent="0.2">
      <c r="A13" s="80"/>
      <c r="B13" s="210" t="s">
        <v>217</v>
      </c>
      <c r="C13" s="98">
        <v>1423.8781184600002</v>
      </c>
      <c r="D13" s="98">
        <v>162.81131857</v>
      </c>
      <c r="E13" s="211">
        <v>1.2470136900770106</v>
      </c>
      <c r="F13" s="211">
        <v>0.39055466146884216</v>
      </c>
      <c r="G13" s="211">
        <v>0.8836286859307021</v>
      </c>
    </row>
    <row r="14" spans="1:7" s="350" customFormat="1" x14ac:dyDescent="0.2">
      <c r="A14" s="80"/>
      <c r="B14" s="210" t="s">
        <v>218</v>
      </c>
      <c r="C14" s="98">
        <v>464.06926171999999</v>
      </c>
      <c r="D14" s="98">
        <v>65.079421569999994</v>
      </c>
      <c r="E14" s="211">
        <v>1.7671634341722136</v>
      </c>
      <c r="F14" s="211">
        <v>0.44689529086684704</v>
      </c>
      <c r="G14" s="211">
        <v>0.94549287258271641</v>
      </c>
    </row>
    <row r="15" spans="1:7" s="350" customFormat="1" x14ac:dyDescent="0.2">
      <c r="A15" s="80"/>
      <c r="B15" s="210" t="s">
        <v>219</v>
      </c>
      <c r="C15" s="98">
        <v>6.6988161899999996</v>
      </c>
      <c r="D15" s="98">
        <v>1.3077576899999999</v>
      </c>
      <c r="E15" s="211">
        <v>9.8741300011099431E-2</v>
      </c>
      <c r="F15" s="211">
        <v>0.64357391981735801</v>
      </c>
      <c r="G15" s="211">
        <v>0.91882798213546935</v>
      </c>
    </row>
    <row r="16" spans="1:7" s="350" customFormat="1" x14ac:dyDescent="0.2">
      <c r="A16" s="80"/>
      <c r="B16" s="210" t="s">
        <v>220</v>
      </c>
      <c r="C16" s="98">
        <v>746.44025621000003</v>
      </c>
      <c r="D16" s="98">
        <v>15.613126319999999</v>
      </c>
      <c r="E16" s="211">
        <v>1.8172239158592902</v>
      </c>
      <c r="F16" s="211">
        <v>0</v>
      </c>
      <c r="G16" s="211">
        <v>0.98868600556622321</v>
      </c>
    </row>
    <row r="17" spans="1:7" s="350" customFormat="1" x14ac:dyDescent="0.2">
      <c r="A17" s="212" t="s">
        <v>915</v>
      </c>
      <c r="B17" s="213"/>
      <c r="C17" s="214">
        <f>SUM(C6:C16)</f>
        <v>24649.9342732</v>
      </c>
      <c r="D17" s="214">
        <f>SUM(D6:D16)</f>
        <v>4570.5441695600002</v>
      </c>
      <c r="E17" s="215">
        <v>0.69903795888882214</v>
      </c>
      <c r="F17" s="215"/>
      <c r="G17" s="215">
        <v>0.90116092856152685</v>
      </c>
    </row>
    <row r="18" spans="1:7" s="350" customFormat="1" x14ac:dyDescent="0.2">
      <c r="A18" s="80" t="s">
        <v>221</v>
      </c>
      <c r="B18" s="382"/>
      <c r="C18" s="198"/>
      <c r="D18" s="198"/>
      <c r="E18" s="383"/>
      <c r="F18" s="383"/>
      <c r="G18" s="383"/>
    </row>
    <row r="19" spans="1:7" s="350" customFormat="1" x14ac:dyDescent="0.2">
      <c r="B19" s="210" t="s">
        <v>210</v>
      </c>
      <c r="C19" s="98">
        <v>8.9764529999999993</v>
      </c>
      <c r="D19" s="98">
        <v>0</v>
      </c>
      <c r="E19" s="211">
        <v>0.15801341409719408</v>
      </c>
      <c r="F19" s="211">
        <v>0.20843249909019418</v>
      </c>
      <c r="G19" s="211">
        <v>1</v>
      </c>
    </row>
    <row r="20" spans="1:7" s="350" customFormat="1" x14ac:dyDescent="0.2">
      <c r="A20" s="80"/>
      <c r="B20" s="210" t="s">
        <v>211</v>
      </c>
      <c r="C20" s="98">
        <v>1292.3666882004984</v>
      </c>
      <c r="D20" s="98">
        <v>270.88636965262498</v>
      </c>
      <c r="E20" s="211">
        <v>0.23922667326690014</v>
      </c>
      <c r="F20" s="211">
        <v>0.29608513312390722</v>
      </c>
      <c r="G20" s="211">
        <v>0.87705952449236868</v>
      </c>
    </row>
    <row r="21" spans="1:7" s="350" customFormat="1" x14ac:dyDescent="0.2">
      <c r="A21" s="80"/>
      <c r="B21" s="210" t="s">
        <v>212</v>
      </c>
      <c r="C21" s="98">
        <v>4519.4824354335142</v>
      </c>
      <c r="D21" s="98">
        <v>131.95995433000002</v>
      </c>
      <c r="E21" s="211">
        <v>0.36766232863346099</v>
      </c>
      <c r="F21" s="211">
        <v>0.24150892612053537</v>
      </c>
      <c r="G21" s="211">
        <v>0.99580650525077896</v>
      </c>
    </row>
    <row r="22" spans="1:7" s="350" customFormat="1" x14ac:dyDescent="0.2">
      <c r="A22" s="80"/>
      <c r="B22" s="210" t="s">
        <v>213</v>
      </c>
      <c r="C22" s="98">
        <v>4478.2147807547344</v>
      </c>
      <c r="D22" s="98">
        <v>233.31361489</v>
      </c>
      <c r="E22" s="211">
        <v>0.41589382726694857</v>
      </c>
      <c r="F22" s="211">
        <v>0.26771362494098511</v>
      </c>
      <c r="G22" s="211">
        <v>0.96562806871062545</v>
      </c>
    </row>
    <row r="23" spans="1:7" s="350" customFormat="1" x14ac:dyDescent="0.2">
      <c r="A23" s="80"/>
      <c r="B23" s="210" t="s">
        <v>214</v>
      </c>
      <c r="C23" s="98">
        <v>6189.1467061451249</v>
      </c>
      <c r="D23" s="98">
        <v>579.84556558000008</v>
      </c>
      <c r="E23" s="211">
        <v>0.53799966732104609</v>
      </c>
      <c r="F23" s="211">
        <v>0.27495928299422318</v>
      </c>
      <c r="G23" s="211">
        <v>0.90570957081017411</v>
      </c>
    </row>
    <row r="24" spans="1:7" s="350" customFormat="1" x14ac:dyDescent="0.2">
      <c r="A24" s="80"/>
      <c r="B24" s="210" t="s">
        <v>215</v>
      </c>
      <c r="C24" s="98">
        <v>7174.8345009352906</v>
      </c>
      <c r="D24" s="98">
        <v>644.43759955025507</v>
      </c>
      <c r="E24" s="211">
        <v>0.62666789161737169</v>
      </c>
      <c r="F24" s="211">
        <v>0.28239247019303709</v>
      </c>
      <c r="G24" s="211">
        <v>0.97530445498552354</v>
      </c>
    </row>
    <row r="25" spans="1:7" s="350" customFormat="1" x14ac:dyDescent="0.2">
      <c r="A25" s="80"/>
      <c r="B25" s="210" t="s">
        <v>216</v>
      </c>
      <c r="C25" s="98">
        <v>4526.009819120156</v>
      </c>
      <c r="D25" s="98">
        <v>585.03932242550002</v>
      </c>
      <c r="E25" s="211">
        <v>0.80614592396117468</v>
      </c>
      <c r="F25" s="211">
        <v>0.33104683484918701</v>
      </c>
      <c r="G25" s="211">
        <v>0.96335381780064289</v>
      </c>
    </row>
    <row r="26" spans="1:7" s="350" customFormat="1" x14ac:dyDescent="0.2">
      <c r="A26" s="80"/>
      <c r="B26" s="210" t="s">
        <v>217</v>
      </c>
      <c r="C26" s="98">
        <v>2746.0493705574249</v>
      </c>
      <c r="D26" s="98">
        <v>223.00120984000003</v>
      </c>
      <c r="E26" s="211">
        <v>0.96791091064815793</v>
      </c>
      <c r="F26" s="211">
        <v>0.31525197842822178</v>
      </c>
      <c r="G26" s="211">
        <v>0.98408514016999016</v>
      </c>
    </row>
    <row r="27" spans="1:7" s="350" customFormat="1" x14ac:dyDescent="0.2">
      <c r="A27" s="80"/>
      <c r="B27" s="210" t="s">
        <v>218</v>
      </c>
      <c r="C27" s="98">
        <v>623.97168369138501</v>
      </c>
      <c r="D27" s="98">
        <v>83.421689999999998</v>
      </c>
      <c r="E27" s="211">
        <v>1.3882846232058506</v>
      </c>
      <c r="F27" s="211">
        <v>0.36263647450544578</v>
      </c>
      <c r="G27" s="211">
        <v>0.93680574984205012</v>
      </c>
    </row>
    <row r="28" spans="1:7" s="350" customFormat="1" x14ac:dyDescent="0.2">
      <c r="A28" s="80"/>
      <c r="B28" s="210" t="s">
        <v>219</v>
      </c>
      <c r="C28" s="98">
        <v>68.983615493894987</v>
      </c>
      <c r="D28" s="98">
        <v>0.41163877226999995</v>
      </c>
      <c r="E28" s="211">
        <v>0.698064727796055</v>
      </c>
      <c r="F28" s="211">
        <v>0.15564434644824457</v>
      </c>
      <c r="G28" s="211">
        <v>0.99793025675014058</v>
      </c>
    </row>
    <row r="29" spans="1:7" s="350" customFormat="1" x14ac:dyDescent="0.2">
      <c r="A29" s="80"/>
      <c r="B29" s="210" t="s">
        <v>220</v>
      </c>
      <c r="C29" s="98">
        <v>547.85708327000009</v>
      </c>
      <c r="D29" s="98">
        <v>118.78812798</v>
      </c>
      <c r="E29" s="211">
        <v>1.0753569261316196</v>
      </c>
      <c r="F29" s="211">
        <v>8.9179777385500467E-2</v>
      </c>
      <c r="G29" s="211">
        <v>0.82314263096668916</v>
      </c>
    </row>
    <row r="30" spans="1:7" s="350" customFormat="1" x14ac:dyDescent="0.2">
      <c r="A30" s="212" t="s">
        <v>233</v>
      </c>
      <c r="B30" s="213"/>
      <c r="C30" s="214">
        <f>SUM(C19:C29)</f>
        <v>32175.893136602026</v>
      </c>
      <c r="D30" s="214">
        <f>SUM(D19:D29)</f>
        <v>2871.1050930206507</v>
      </c>
      <c r="E30" s="215">
        <v>0.60513603293088813</v>
      </c>
      <c r="F30" s="215"/>
      <c r="G30" s="215">
        <v>0.95369848053549422</v>
      </c>
    </row>
    <row r="31" spans="1:7" s="350" customFormat="1" x14ac:dyDescent="0.2">
      <c r="A31" s="80" t="s">
        <v>84</v>
      </c>
      <c r="B31" s="382"/>
      <c r="C31" s="198"/>
      <c r="D31" s="198"/>
      <c r="E31" s="383"/>
      <c r="F31" s="383"/>
      <c r="G31" s="383"/>
    </row>
    <row r="32" spans="1:7" s="350" customFormat="1" x14ac:dyDescent="0.2">
      <c r="B32" s="210" t="s">
        <v>210</v>
      </c>
      <c r="C32" s="98">
        <v>0</v>
      </c>
      <c r="D32" s="98">
        <v>0</v>
      </c>
      <c r="E32" s="211">
        <v>0</v>
      </c>
      <c r="F32" s="211">
        <v>0</v>
      </c>
      <c r="G32" s="211">
        <v>0</v>
      </c>
    </row>
    <row r="33" spans="1:7" s="350" customFormat="1" x14ac:dyDescent="0.2">
      <c r="A33" s="80"/>
      <c r="B33" s="210" t="s">
        <v>211</v>
      </c>
      <c r="C33" s="98">
        <v>9.6795695516100011</v>
      </c>
      <c r="D33" s="98">
        <v>0</v>
      </c>
      <c r="E33" s="211">
        <v>0.13817296635005125</v>
      </c>
      <c r="F33" s="211">
        <v>0</v>
      </c>
      <c r="G33" s="211">
        <v>1</v>
      </c>
    </row>
    <row r="34" spans="1:7" s="350" customFormat="1" x14ac:dyDescent="0.2">
      <c r="A34" s="80"/>
      <c r="B34" s="210" t="s">
        <v>212</v>
      </c>
      <c r="C34" s="98">
        <v>140.50654062705001</v>
      </c>
      <c r="D34" s="98">
        <v>98.528531389999998</v>
      </c>
      <c r="E34" s="211">
        <v>0.47730687646551129</v>
      </c>
      <c r="F34" s="211">
        <v>0.25489928142361817</v>
      </c>
      <c r="G34" s="211">
        <v>0.64460050955954362</v>
      </c>
    </row>
    <row r="35" spans="1:7" s="350" customFormat="1" x14ac:dyDescent="0.2">
      <c r="A35" s="80"/>
      <c r="B35" s="210" t="s">
        <v>213</v>
      </c>
      <c r="C35" s="98">
        <v>1460.6017306441306</v>
      </c>
      <c r="D35" s="98">
        <v>963.2238807</v>
      </c>
      <c r="E35" s="211">
        <v>0.42325157118797213</v>
      </c>
      <c r="F35" s="211">
        <v>0.12729208794749336</v>
      </c>
      <c r="G35" s="211">
        <v>0.88754005485744347</v>
      </c>
    </row>
    <row r="36" spans="1:7" s="350" customFormat="1" x14ac:dyDescent="0.2">
      <c r="A36" s="80"/>
      <c r="B36" s="210" t="s">
        <v>214</v>
      </c>
      <c r="C36" s="98">
        <v>1848.275679950518</v>
      </c>
      <c r="D36" s="98">
        <v>347.82047100949995</v>
      </c>
      <c r="E36" s="211">
        <v>0.6094744507541362</v>
      </c>
      <c r="F36" s="211">
        <v>5.5182557273047182E-2</v>
      </c>
      <c r="G36" s="211">
        <v>0.88812241850255869</v>
      </c>
    </row>
    <row r="37" spans="1:7" s="350" customFormat="1" x14ac:dyDescent="0.2">
      <c r="A37" s="80"/>
      <c r="B37" s="210" t="s">
        <v>215</v>
      </c>
      <c r="C37" s="98">
        <v>3440.8170037539148</v>
      </c>
      <c r="D37" s="98">
        <v>863.50129737939005</v>
      </c>
      <c r="E37" s="211">
        <v>0.80299172542576769</v>
      </c>
      <c r="F37" s="211">
        <v>7.6255316812568391E-2</v>
      </c>
      <c r="G37" s="211">
        <v>0.76797216854914274</v>
      </c>
    </row>
    <row r="38" spans="1:7" s="350" customFormat="1" x14ac:dyDescent="0.2">
      <c r="A38" s="80"/>
      <c r="B38" s="210" t="s">
        <v>216</v>
      </c>
      <c r="C38" s="98">
        <v>1117.0853648116126</v>
      </c>
      <c r="D38" s="98">
        <v>408.32991959000003</v>
      </c>
      <c r="E38" s="211">
        <v>1.2001133758699694</v>
      </c>
      <c r="F38" s="211">
        <v>0.15598602114787835</v>
      </c>
      <c r="G38" s="211">
        <v>0.76250437352968359</v>
      </c>
    </row>
    <row r="39" spans="1:7" s="350" customFormat="1" x14ac:dyDescent="0.2">
      <c r="A39" s="80"/>
      <c r="B39" s="210" t="s">
        <v>217</v>
      </c>
      <c r="C39" s="98">
        <v>615.04830802697268</v>
      </c>
      <c r="D39" s="98">
        <v>37.521473400000005</v>
      </c>
      <c r="E39" s="211">
        <v>1.0586977411204357</v>
      </c>
      <c r="F39" s="211">
        <v>2.3572290100769975E-2</v>
      </c>
      <c r="G39" s="211">
        <v>0.98530517443365584</v>
      </c>
    </row>
    <row r="40" spans="1:7" s="350" customFormat="1" x14ac:dyDescent="0.2">
      <c r="A40" s="80"/>
      <c r="B40" s="210" t="s">
        <v>218</v>
      </c>
      <c r="C40" s="98">
        <v>140.74805287826999</v>
      </c>
      <c r="D40" s="98">
        <v>56.907179999999997</v>
      </c>
      <c r="E40" s="211">
        <v>1.155500847709628</v>
      </c>
      <c r="F40" s="211">
        <v>8.6857035686429621E-2</v>
      </c>
      <c r="G40" s="211">
        <v>0.38207635019589065</v>
      </c>
    </row>
    <row r="41" spans="1:7" s="350" customFormat="1" x14ac:dyDescent="0.2">
      <c r="A41" s="80"/>
      <c r="B41" s="210" t="s">
        <v>219</v>
      </c>
      <c r="C41" s="98">
        <v>41.348864849507663</v>
      </c>
      <c r="D41" s="98">
        <v>0</v>
      </c>
      <c r="E41" s="211">
        <v>0</v>
      </c>
      <c r="F41" s="211">
        <v>0</v>
      </c>
      <c r="G41" s="211">
        <v>0</v>
      </c>
    </row>
    <row r="42" spans="1:7" s="350" customFormat="1" x14ac:dyDescent="0.2">
      <c r="A42" s="80"/>
      <c r="B42" s="210" t="s">
        <v>220</v>
      </c>
      <c r="C42" s="98">
        <v>374.19409467999992</v>
      </c>
      <c r="D42" s="98">
        <v>0</v>
      </c>
      <c r="E42" s="211">
        <v>0</v>
      </c>
      <c r="F42" s="211">
        <v>0</v>
      </c>
      <c r="G42" s="211">
        <v>0</v>
      </c>
    </row>
    <row r="43" spans="1:7" s="350" customFormat="1" x14ac:dyDescent="0.2">
      <c r="A43" s="212" t="s">
        <v>246</v>
      </c>
      <c r="B43" s="213"/>
      <c r="C43" s="214">
        <f>SUM(C32:C42)</f>
        <v>9188.3052097735872</v>
      </c>
      <c r="D43" s="214">
        <f>SUM(D32:D42)</f>
        <v>2775.8327534688901</v>
      </c>
      <c r="E43" s="215">
        <v>0.73844257155882065</v>
      </c>
      <c r="F43" s="215"/>
      <c r="G43" s="215">
        <v>0.81254994351744403</v>
      </c>
    </row>
    <row r="44" spans="1:7" s="350" customFormat="1" x14ac:dyDescent="0.2">
      <c r="A44" s="560" t="s">
        <v>916</v>
      </c>
      <c r="B44" s="382"/>
      <c r="C44" s="198"/>
      <c r="D44" s="198"/>
      <c r="E44" s="383"/>
      <c r="F44" s="383"/>
      <c r="G44" s="383"/>
    </row>
    <row r="45" spans="1:7" s="350" customFormat="1" x14ac:dyDescent="0.2">
      <c r="A45" s="80"/>
      <c r="B45" s="210" t="s">
        <v>210</v>
      </c>
      <c r="C45" s="98">
        <v>0</v>
      </c>
      <c r="D45" s="98">
        <v>0</v>
      </c>
      <c r="E45" s="211">
        <v>0</v>
      </c>
      <c r="F45" s="211">
        <v>0</v>
      </c>
      <c r="G45" s="211">
        <v>0</v>
      </c>
    </row>
    <row r="46" spans="1:7" s="350" customFormat="1" x14ac:dyDescent="0.2">
      <c r="A46" s="80"/>
      <c r="B46" s="210" t="s">
        <v>211</v>
      </c>
      <c r="C46" s="98">
        <v>1779.6147873657858</v>
      </c>
      <c r="D46" s="98">
        <v>570.7819279353879</v>
      </c>
      <c r="E46" s="211">
        <v>7.1726372854279588E-2</v>
      </c>
      <c r="F46" s="211">
        <v>0.16719164695696603</v>
      </c>
      <c r="G46" s="211">
        <v>0.99945568911006732</v>
      </c>
    </row>
    <row r="47" spans="1:7" s="350" customFormat="1" x14ac:dyDescent="0.2">
      <c r="A47" s="80"/>
      <c r="B47" s="210" t="s">
        <v>212</v>
      </c>
      <c r="C47" s="98">
        <v>1545.20331090679</v>
      </c>
      <c r="D47" s="98">
        <v>129.453841450347</v>
      </c>
      <c r="E47" s="211">
        <v>0.13507507386841935</v>
      </c>
      <c r="F47" s="211">
        <v>0.21526286443721515</v>
      </c>
      <c r="G47" s="211">
        <v>0.99968387944023696</v>
      </c>
    </row>
    <row r="48" spans="1:7" s="350" customFormat="1" x14ac:dyDescent="0.2">
      <c r="A48" s="80"/>
      <c r="B48" s="210" t="s">
        <v>213</v>
      </c>
      <c r="C48" s="98">
        <v>769.56911073675599</v>
      </c>
      <c r="D48" s="98">
        <v>15.676783214159</v>
      </c>
      <c r="E48" s="211">
        <v>0.21562003111069877</v>
      </c>
      <c r="F48" s="211">
        <v>0.23987518944175532</v>
      </c>
      <c r="G48" s="211">
        <v>0.99992691249162302</v>
      </c>
    </row>
    <row r="49" spans="1:7" s="350" customFormat="1" x14ac:dyDescent="0.2">
      <c r="A49" s="80"/>
      <c r="B49" s="210" t="s">
        <v>214</v>
      </c>
      <c r="C49" s="98">
        <v>735.75436030588105</v>
      </c>
      <c r="D49" s="98">
        <v>6.7939215817350007</v>
      </c>
      <c r="E49" s="211">
        <v>0.30373677600304766</v>
      </c>
      <c r="F49" s="211">
        <v>0.24357811385424635</v>
      </c>
      <c r="G49" s="211">
        <v>0.99971262253943127</v>
      </c>
    </row>
    <row r="50" spans="1:7" s="350" customFormat="1" x14ac:dyDescent="0.2">
      <c r="A50" s="80"/>
      <c r="B50" s="210" t="s">
        <v>215</v>
      </c>
      <c r="C50" s="98">
        <v>391.474390837822</v>
      </c>
      <c r="D50" s="98">
        <v>6.0417244081470001</v>
      </c>
      <c r="E50" s="211">
        <v>0.40746312595239259</v>
      </c>
      <c r="F50" s="211">
        <v>0.22997286062671818</v>
      </c>
      <c r="G50" s="211">
        <v>0.9999521064405883</v>
      </c>
    </row>
    <row r="51" spans="1:7" s="350" customFormat="1" x14ac:dyDescent="0.2">
      <c r="A51" s="80"/>
      <c r="B51" s="210" t="s">
        <v>216</v>
      </c>
      <c r="C51" s="98">
        <v>92.181682247330997</v>
      </c>
      <c r="D51" s="98">
        <v>0.94871778436999998</v>
      </c>
      <c r="E51" s="211">
        <v>0.55642150252843658</v>
      </c>
      <c r="F51" s="211">
        <v>0.21243530474795222</v>
      </c>
      <c r="G51" s="211">
        <v>0.99911395015328663</v>
      </c>
    </row>
    <row r="52" spans="1:7" s="350" customFormat="1" x14ac:dyDescent="0.2">
      <c r="A52" s="80"/>
      <c r="B52" s="210" t="s">
        <v>217</v>
      </c>
      <c r="C52" s="98">
        <v>75.280267518692014</v>
      </c>
      <c r="D52" s="98">
        <v>0.59024221365999996</v>
      </c>
      <c r="E52" s="211">
        <v>0.93994850320162648</v>
      </c>
      <c r="F52" s="211">
        <v>0.2324003487697385</v>
      </c>
      <c r="G52" s="211">
        <v>0.99920361312779893</v>
      </c>
    </row>
    <row r="53" spans="1:7" s="350" customFormat="1" x14ac:dyDescent="0.2">
      <c r="A53" s="80"/>
      <c r="B53" s="210" t="s">
        <v>218</v>
      </c>
      <c r="C53" s="98">
        <v>151.60256365950002</v>
      </c>
      <c r="D53" s="98">
        <v>1.0309378617489999</v>
      </c>
      <c r="E53" s="211">
        <v>1.1690842248493711</v>
      </c>
      <c r="F53" s="211">
        <v>0.22223305210853145</v>
      </c>
      <c r="G53" s="211">
        <v>0.99951459091469341</v>
      </c>
    </row>
    <row r="54" spans="1:7" s="350" customFormat="1" x14ac:dyDescent="0.2">
      <c r="A54" s="80"/>
      <c r="B54" s="210" t="s">
        <v>219</v>
      </c>
      <c r="C54" s="98">
        <v>7.7369912654000004</v>
      </c>
      <c r="D54" s="98">
        <v>0</v>
      </c>
      <c r="E54" s="211">
        <v>0.11700163493146308</v>
      </c>
      <c r="F54" s="211">
        <v>0.13130450894386447</v>
      </c>
      <c r="G54" s="211">
        <v>1</v>
      </c>
    </row>
    <row r="55" spans="1:7" s="350" customFormat="1" x14ac:dyDescent="0.2">
      <c r="A55" s="80"/>
      <c r="B55" s="210" t="s">
        <v>220</v>
      </c>
      <c r="C55" s="98">
        <v>13.154860810000001</v>
      </c>
      <c r="D55" s="98">
        <v>7.0480050080000004E-3</v>
      </c>
      <c r="E55" s="211">
        <v>0.65876265073534157</v>
      </c>
      <c r="F55" s="211">
        <v>0.52774241661681598</v>
      </c>
      <c r="G55" s="211">
        <v>1</v>
      </c>
    </row>
    <row r="56" spans="1:7" s="350" customFormat="1" x14ac:dyDescent="0.2">
      <c r="A56" s="212" t="s">
        <v>917</v>
      </c>
      <c r="B56" s="87"/>
      <c r="C56" s="216">
        <f>SUM(C45:C55)</f>
        <v>5561.5723256539595</v>
      </c>
      <c r="D56" s="216">
        <f>SUM(D45:D55)</f>
        <v>731.32514445456286</v>
      </c>
      <c r="E56" s="217">
        <v>0.21471339925249922</v>
      </c>
      <c r="F56" s="217"/>
      <c r="G56" s="218">
        <v>0.99964776130629862</v>
      </c>
    </row>
    <row r="57" spans="1:7" s="350" customFormat="1" x14ac:dyDescent="0.2">
      <c r="A57" s="80" t="s">
        <v>258</v>
      </c>
      <c r="B57" s="382"/>
      <c r="C57" s="198"/>
      <c r="D57" s="198"/>
      <c r="E57" s="383"/>
      <c r="F57" s="383"/>
      <c r="G57" s="383"/>
    </row>
    <row r="58" spans="1:7" s="350" customFormat="1" x14ac:dyDescent="0.2">
      <c r="B58" s="210" t="s">
        <v>210</v>
      </c>
      <c r="C58" s="98">
        <v>0</v>
      </c>
      <c r="D58" s="98">
        <v>0</v>
      </c>
      <c r="E58" s="211">
        <v>0</v>
      </c>
      <c r="F58" s="211">
        <v>0</v>
      </c>
      <c r="G58" s="211">
        <v>0</v>
      </c>
    </row>
    <row r="59" spans="1:7" s="350" customFormat="1" x14ac:dyDescent="0.2">
      <c r="A59" s="80"/>
      <c r="B59" s="210" t="s">
        <v>211</v>
      </c>
      <c r="C59" s="98">
        <v>37907.303700378492</v>
      </c>
      <c r="D59" s="98">
        <v>11046.698445915037</v>
      </c>
      <c r="E59" s="211">
        <v>7.071823575115864E-2</v>
      </c>
      <c r="F59" s="211">
        <v>0.16203691307002821</v>
      </c>
      <c r="G59" s="211">
        <v>0.99994037792803026</v>
      </c>
    </row>
    <row r="60" spans="1:7" s="350" customFormat="1" x14ac:dyDescent="0.2">
      <c r="A60" s="80"/>
      <c r="B60" s="210" t="s">
        <v>212</v>
      </c>
      <c r="C60" s="98">
        <v>33392.920376401067</v>
      </c>
      <c r="D60" s="98">
        <v>1807.2190805655432</v>
      </c>
      <c r="E60" s="211">
        <v>0.13093019010371054</v>
      </c>
      <c r="F60" s="211">
        <v>0.19932418342382965</v>
      </c>
      <c r="G60" s="211">
        <v>0.99995874295681297</v>
      </c>
    </row>
    <row r="61" spans="1:7" s="350" customFormat="1" x14ac:dyDescent="0.2">
      <c r="A61" s="80"/>
      <c r="B61" s="210" t="s">
        <v>213</v>
      </c>
      <c r="C61" s="98">
        <v>22701.684406333607</v>
      </c>
      <c r="D61" s="98">
        <v>267.19159227775503</v>
      </c>
      <c r="E61" s="211">
        <v>0.20759213077405991</v>
      </c>
      <c r="F61" s="211">
        <v>0.21900532194531785</v>
      </c>
      <c r="G61" s="211">
        <v>0.99998335186494869</v>
      </c>
    </row>
    <row r="62" spans="1:7" s="350" customFormat="1" x14ac:dyDescent="0.2">
      <c r="A62" s="80"/>
      <c r="B62" s="210" t="s">
        <v>214</v>
      </c>
      <c r="C62" s="98">
        <v>20562.687941025746</v>
      </c>
      <c r="D62" s="98">
        <v>85.518704057882005</v>
      </c>
      <c r="E62" s="211">
        <v>0.29583703690256091</v>
      </c>
      <c r="F62" s="211">
        <v>0.23196598515454162</v>
      </c>
      <c r="G62" s="211">
        <v>0.99997136886261628</v>
      </c>
    </row>
    <row r="63" spans="1:7" s="350" customFormat="1" x14ac:dyDescent="0.2">
      <c r="A63" s="80"/>
      <c r="B63" s="210" t="s">
        <v>215</v>
      </c>
      <c r="C63" s="98">
        <v>8289.7231052903117</v>
      </c>
      <c r="D63" s="98">
        <v>27.374211008190002</v>
      </c>
      <c r="E63" s="211">
        <v>0.41900836552407822</v>
      </c>
      <c r="F63" s="211">
        <v>0.23423819698674372</v>
      </c>
      <c r="G63" s="211">
        <v>0.99996439995765973</v>
      </c>
    </row>
    <row r="64" spans="1:7" s="350" customFormat="1" x14ac:dyDescent="0.2">
      <c r="A64" s="80"/>
      <c r="B64" s="210" t="s">
        <v>216</v>
      </c>
      <c r="C64" s="98">
        <v>1968.9287908910298</v>
      </c>
      <c r="D64" s="98">
        <v>5.8576862653200008</v>
      </c>
      <c r="E64" s="211">
        <v>0.59040606305901044</v>
      </c>
      <c r="F64" s="211">
        <v>0.22312121367103793</v>
      </c>
      <c r="G64" s="211">
        <v>0.99992750390372542</v>
      </c>
    </row>
    <row r="65" spans="1:7" s="350" customFormat="1" x14ac:dyDescent="0.2">
      <c r="A65" s="80"/>
      <c r="B65" s="210" t="s">
        <v>217</v>
      </c>
      <c r="C65" s="98">
        <v>1211.3643192763423</v>
      </c>
      <c r="D65" s="98">
        <v>11.084954367762</v>
      </c>
      <c r="E65" s="211">
        <v>0.86525240316133889</v>
      </c>
      <c r="F65" s="211">
        <v>0.21482571299042014</v>
      </c>
      <c r="G65" s="211">
        <v>0.99995831320601625</v>
      </c>
    </row>
    <row r="66" spans="1:7" s="350" customFormat="1" x14ac:dyDescent="0.2">
      <c r="A66" s="80"/>
      <c r="B66" s="210" t="s">
        <v>218</v>
      </c>
      <c r="C66" s="98">
        <v>1625.5758071012638</v>
      </c>
      <c r="D66" s="98">
        <v>4.7454517134600005</v>
      </c>
      <c r="E66" s="211">
        <v>1.2681647216997329</v>
      </c>
      <c r="F66" s="211">
        <v>0.22345163670115029</v>
      </c>
      <c r="G66" s="211">
        <v>0.99989558636696962</v>
      </c>
    </row>
    <row r="67" spans="1:7" s="350" customFormat="1" x14ac:dyDescent="0.2">
      <c r="A67" s="80"/>
      <c r="B67" s="210" t="s">
        <v>219</v>
      </c>
      <c r="C67" s="98">
        <v>186.15536439201352</v>
      </c>
      <c r="D67" s="98">
        <v>0.2394056772470001</v>
      </c>
      <c r="E67" s="211">
        <v>0.34544489441926796</v>
      </c>
      <c r="F67" s="211">
        <v>0.2437809582494965</v>
      </c>
      <c r="G67" s="211">
        <v>1</v>
      </c>
    </row>
    <row r="68" spans="1:7" s="350" customFormat="1" x14ac:dyDescent="0.2">
      <c r="A68" s="80"/>
      <c r="B68" s="210" t="s">
        <v>220</v>
      </c>
      <c r="C68" s="98">
        <v>161.08930387152498</v>
      </c>
      <c r="D68" s="98">
        <v>4.6699173604359991</v>
      </c>
      <c r="E68" s="211">
        <v>1.4898649267444488</v>
      </c>
      <c r="F68" s="211">
        <v>0.26421828539620268</v>
      </c>
      <c r="G68" s="211">
        <v>0.99988051534485656</v>
      </c>
    </row>
    <row r="69" spans="1:7" s="350" customFormat="1" x14ac:dyDescent="0.2">
      <c r="A69" s="212" t="s">
        <v>270</v>
      </c>
      <c r="B69" s="87"/>
      <c r="C69" s="216">
        <f>SUM(C58:C68)</f>
        <v>128007.4331149614</v>
      </c>
      <c r="D69" s="216">
        <f>SUM(D58:D68)</f>
        <v>13260.59944920863</v>
      </c>
      <c r="E69" s="217">
        <v>0.20232143134345756</v>
      </c>
      <c r="F69" s="217"/>
      <c r="G69" s="218">
        <v>0.9999587379367556</v>
      </c>
    </row>
    <row r="70" spans="1:7" s="350" customFormat="1" x14ac:dyDescent="0.2">
      <c r="A70" s="80" t="s">
        <v>180</v>
      </c>
      <c r="B70" s="210" t="s">
        <v>210</v>
      </c>
      <c r="C70" s="98">
        <v>0</v>
      </c>
      <c r="D70" s="98">
        <v>0</v>
      </c>
      <c r="E70" s="211">
        <v>0</v>
      </c>
      <c r="F70" s="211">
        <v>0</v>
      </c>
      <c r="G70" s="211">
        <v>0</v>
      </c>
    </row>
    <row r="71" spans="1:7" s="350" customFormat="1" x14ac:dyDescent="0.2">
      <c r="A71" s="80"/>
      <c r="B71" s="210" t="s">
        <v>211</v>
      </c>
      <c r="C71" s="98">
        <v>702.63676980736795</v>
      </c>
      <c r="D71" s="98">
        <v>363.68530286028397</v>
      </c>
      <c r="E71" s="211">
        <v>0.21442629293041005</v>
      </c>
      <c r="F71" s="211">
        <v>0.48354596937172284</v>
      </c>
      <c r="G71" s="211">
        <v>0.99826449291035202</v>
      </c>
    </row>
    <row r="72" spans="1:7" s="350" customFormat="1" x14ac:dyDescent="0.2">
      <c r="A72" s="80"/>
      <c r="B72" s="210" t="s">
        <v>212</v>
      </c>
      <c r="C72" s="98">
        <v>1202.3192139043788</v>
      </c>
      <c r="D72" s="98">
        <v>285.54324535932199</v>
      </c>
      <c r="E72" s="211">
        <v>0.31259225886220487</v>
      </c>
      <c r="F72" s="211">
        <v>0.49260814649970841</v>
      </c>
      <c r="G72" s="211">
        <v>0.9984964004224719</v>
      </c>
    </row>
    <row r="73" spans="1:7" s="350" customFormat="1" x14ac:dyDescent="0.2">
      <c r="A73" s="80"/>
      <c r="B73" s="210" t="s">
        <v>213</v>
      </c>
      <c r="C73" s="98">
        <v>952.77548797156498</v>
      </c>
      <c r="D73" s="98">
        <v>90.390450049395</v>
      </c>
      <c r="E73" s="211">
        <v>0.43039942018244931</v>
      </c>
      <c r="F73" s="211">
        <v>0.50373743081252986</v>
      </c>
      <c r="G73" s="211">
        <v>0.99901585666920456</v>
      </c>
    </row>
    <row r="74" spans="1:7" s="350" customFormat="1" x14ac:dyDescent="0.2">
      <c r="A74" s="80"/>
      <c r="B74" s="210" t="s">
        <v>214</v>
      </c>
      <c r="C74" s="98">
        <v>1022.4087684410189</v>
      </c>
      <c r="D74" s="98">
        <v>55.124127132607001</v>
      </c>
      <c r="E74" s="211">
        <v>0.53195212277773019</v>
      </c>
      <c r="F74" s="211">
        <v>0.50320869131022394</v>
      </c>
      <c r="G74" s="211">
        <v>0.99915847814881198</v>
      </c>
    </row>
    <row r="75" spans="1:7" s="350" customFormat="1" x14ac:dyDescent="0.2">
      <c r="A75" s="80"/>
      <c r="B75" s="210" t="s">
        <v>215</v>
      </c>
      <c r="C75" s="98">
        <v>433.631767039289</v>
      </c>
      <c r="D75" s="98">
        <v>20.218583217231</v>
      </c>
      <c r="E75" s="211">
        <v>0.65266551377896798</v>
      </c>
      <c r="F75" s="211">
        <v>0.50408971456278517</v>
      </c>
      <c r="G75" s="211">
        <v>0.99940048004710014</v>
      </c>
    </row>
    <row r="76" spans="1:7" s="350" customFormat="1" x14ac:dyDescent="0.2">
      <c r="A76" s="80"/>
      <c r="B76" s="210" t="s">
        <v>216</v>
      </c>
      <c r="C76" s="98">
        <v>178.04938789251798</v>
      </c>
      <c r="D76" s="98">
        <v>3.902694020802</v>
      </c>
      <c r="E76" s="211">
        <v>0.74657172340653943</v>
      </c>
      <c r="F76" s="211">
        <v>0.49815128704924472</v>
      </c>
      <c r="G76" s="211">
        <v>0.9992826686009193</v>
      </c>
    </row>
    <row r="77" spans="1:7" s="350" customFormat="1" x14ac:dyDescent="0.2">
      <c r="A77" s="80"/>
      <c r="B77" s="210" t="s">
        <v>217</v>
      </c>
      <c r="C77" s="98">
        <v>59.441548461103999</v>
      </c>
      <c r="D77" s="98">
        <v>1.5095639342</v>
      </c>
      <c r="E77" s="211">
        <v>0.82505694372796456</v>
      </c>
      <c r="F77" s="211">
        <v>0.50345980972164717</v>
      </c>
      <c r="G77" s="211">
        <v>0.99717396279629178</v>
      </c>
    </row>
    <row r="78" spans="1:7" s="350" customFormat="1" x14ac:dyDescent="0.2">
      <c r="A78" s="80"/>
      <c r="B78" s="210" t="s">
        <v>218</v>
      </c>
      <c r="C78" s="98">
        <v>72.219556932000003</v>
      </c>
      <c r="D78" s="98">
        <v>2.4415072200000001</v>
      </c>
      <c r="E78" s="211">
        <v>1.1122311855690972</v>
      </c>
      <c r="F78" s="211">
        <v>0.49390285955840613</v>
      </c>
      <c r="G78" s="211">
        <v>0.99385866061806882</v>
      </c>
    </row>
    <row r="79" spans="1:7" s="350" customFormat="1" x14ac:dyDescent="0.2">
      <c r="A79" s="80"/>
      <c r="B79" s="210" t="s">
        <v>219</v>
      </c>
      <c r="C79" s="98">
        <v>7.8519054399999986</v>
      </c>
      <c r="D79" s="98">
        <v>0.13826966999999998</v>
      </c>
      <c r="E79" s="211">
        <v>1.848109180744286E-3</v>
      </c>
      <c r="F79" s="211">
        <v>0.50595117011080981</v>
      </c>
      <c r="G79" s="211">
        <v>0.99755445821531108</v>
      </c>
    </row>
    <row r="80" spans="1:7" s="350" customFormat="1" x14ac:dyDescent="0.2">
      <c r="A80" s="80"/>
      <c r="B80" s="210" t="s">
        <v>220</v>
      </c>
      <c r="C80" s="98">
        <v>28.282117769999999</v>
      </c>
      <c r="D80" s="98">
        <v>0</v>
      </c>
      <c r="E80" s="211">
        <v>6.62045835054169E-2</v>
      </c>
      <c r="F80" s="211">
        <v>0.88220373696971599</v>
      </c>
      <c r="G80" s="211">
        <v>1</v>
      </c>
    </row>
    <row r="81" spans="1:7" s="350" customFormat="1" x14ac:dyDescent="0.2">
      <c r="A81" s="212" t="s">
        <v>984</v>
      </c>
      <c r="B81" s="87"/>
      <c r="C81" s="216">
        <f>SUM(C70:C80)</f>
        <v>4659.6165236592415</v>
      </c>
      <c r="D81" s="216">
        <f>SUM(D70:D80)</f>
        <v>822.95374346384074</v>
      </c>
      <c r="E81" s="217">
        <v>0.4351524551254895</v>
      </c>
      <c r="F81" s="217"/>
      <c r="G81" s="218">
        <v>0.99874412675784507</v>
      </c>
    </row>
    <row r="82" spans="1:7" s="350" customFormat="1" x14ac:dyDescent="0.2">
      <c r="A82" s="206"/>
      <c r="B82" s="85"/>
      <c r="C82" s="15"/>
      <c r="D82" s="15"/>
      <c r="E82" s="15"/>
      <c r="F82" s="15"/>
      <c r="G82" s="15"/>
    </row>
    <row r="83" spans="1:7" x14ac:dyDescent="0.2">
      <c r="A83" s="206"/>
      <c r="B83" s="85"/>
      <c r="C83" s="15"/>
      <c r="D83" s="15"/>
      <c r="E83" s="15"/>
      <c r="F83" s="15"/>
      <c r="G83" s="15"/>
    </row>
    <row r="84" spans="1:7" x14ac:dyDescent="0.2">
      <c r="A84" s="208"/>
      <c r="B84" s="85"/>
      <c r="C84" s="15"/>
      <c r="D84" s="15"/>
      <c r="E84" s="15"/>
      <c r="F84" s="15"/>
      <c r="G84" s="15"/>
    </row>
    <row r="85" spans="1:7" ht="51" customHeight="1" thickBot="1" x14ac:dyDescent="0.25">
      <c r="A85" s="76">
        <v>2015</v>
      </c>
      <c r="B85" s="209" t="s">
        <v>204</v>
      </c>
      <c r="C85" s="343" t="s">
        <v>205</v>
      </c>
      <c r="D85" s="343" t="s">
        <v>206</v>
      </c>
      <c r="E85" s="343" t="s">
        <v>207</v>
      </c>
      <c r="F85" s="343" t="s">
        <v>208</v>
      </c>
      <c r="G85" s="343" t="s">
        <v>209</v>
      </c>
    </row>
    <row r="86" spans="1:7" s="350" customFormat="1" ht="12" customHeight="1" x14ac:dyDescent="0.2">
      <c r="A86" s="80" t="s">
        <v>890</v>
      </c>
      <c r="B86" s="90"/>
      <c r="C86" s="72"/>
      <c r="D86" s="72"/>
      <c r="E86" s="72"/>
      <c r="F86" s="72"/>
      <c r="G86" s="72"/>
    </row>
    <row r="87" spans="1:7" ht="12" customHeight="1" x14ac:dyDescent="0.2">
      <c r="B87" s="210" t="s">
        <v>210</v>
      </c>
      <c r="C87" s="98">
        <v>0</v>
      </c>
      <c r="D87" s="98">
        <v>0</v>
      </c>
      <c r="E87" s="211">
        <v>0</v>
      </c>
      <c r="F87" s="211">
        <v>0</v>
      </c>
      <c r="G87" s="211">
        <v>0</v>
      </c>
    </row>
    <row r="88" spans="1:7" x14ac:dyDescent="0.2">
      <c r="A88" s="80"/>
      <c r="B88" s="210" t="s">
        <v>211</v>
      </c>
      <c r="C88" s="98">
        <v>639.65953764999995</v>
      </c>
      <c r="D88" s="98">
        <v>480.08986794000003</v>
      </c>
      <c r="E88" s="211">
        <v>0.24398337878838947</v>
      </c>
      <c r="F88" s="211">
        <v>0.18137852582660149</v>
      </c>
      <c r="G88" s="211">
        <v>0.97373875700845458</v>
      </c>
    </row>
    <row r="89" spans="1:7" x14ac:dyDescent="0.2">
      <c r="A89" s="80"/>
      <c r="B89" s="210" t="s">
        <v>212</v>
      </c>
      <c r="C89" s="98">
        <v>4933.2625837899996</v>
      </c>
      <c r="D89" s="98">
        <v>1261.7603195499998</v>
      </c>
      <c r="E89" s="211">
        <v>0.36129532362159683</v>
      </c>
      <c r="F89" s="211">
        <v>0.2874009138344838</v>
      </c>
      <c r="G89" s="211">
        <v>0.85888669765345871</v>
      </c>
    </row>
    <row r="90" spans="1:7" x14ac:dyDescent="0.2">
      <c r="A90" s="80"/>
      <c r="B90" s="210" t="s">
        <v>213</v>
      </c>
      <c r="C90" s="98">
        <v>3018.9211021400001</v>
      </c>
      <c r="D90" s="98">
        <v>474.43366993000001</v>
      </c>
      <c r="E90" s="211">
        <v>0.42283210901165924</v>
      </c>
      <c r="F90" s="211">
        <v>0.26615421313613835</v>
      </c>
      <c r="G90" s="211">
        <v>0.9074326985617156</v>
      </c>
    </row>
    <row r="91" spans="1:7" x14ac:dyDescent="0.2">
      <c r="A91" s="80"/>
      <c r="B91" s="210" t="s">
        <v>214</v>
      </c>
      <c r="C91" s="98">
        <v>4052.5237407499999</v>
      </c>
      <c r="D91" s="98">
        <v>650.93137563000005</v>
      </c>
      <c r="E91" s="211">
        <v>0.49939868902018969</v>
      </c>
      <c r="F91" s="211">
        <v>0.27322901043291686</v>
      </c>
      <c r="G91" s="211">
        <v>0.90021674643799232</v>
      </c>
    </row>
    <row r="92" spans="1:7" x14ac:dyDescent="0.2">
      <c r="A92" s="80"/>
      <c r="B92" s="210" t="s">
        <v>215</v>
      </c>
      <c r="C92" s="98">
        <v>5489.5834305999997</v>
      </c>
      <c r="D92" s="98">
        <v>1451.4397398799999</v>
      </c>
      <c r="E92" s="211">
        <v>0.72377874861127467</v>
      </c>
      <c r="F92" s="211">
        <v>0.32928029650756696</v>
      </c>
      <c r="G92" s="211">
        <v>0.94727234445578201</v>
      </c>
    </row>
    <row r="93" spans="1:7" x14ac:dyDescent="0.2">
      <c r="A93" s="80"/>
      <c r="B93" s="210" t="s">
        <v>216</v>
      </c>
      <c r="C93" s="98">
        <v>3850.9023848699999</v>
      </c>
      <c r="D93" s="98">
        <v>619.67663826</v>
      </c>
      <c r="E93" s="211">
        <v>0.82628000066458829</v>
      </c>
      <c r="F93" s="211">
        <v>0.31878063363014331</v>
      </c>
      <c r="G93" s="211">
        <v>0.79163813713167108</v>
      </c>
    </row>
    <row r="94" spans="1:7" x14ac:dyDescent="0.2">
      <c r="A94" s="80"/>
      <c r="B94" s="210" t="s">
        <v>217</v>
      </c>
      <c r="C94" s="98">
        <v>1276.0464169699999</v>
      </c>
      <c r="D94" s="98">
        <v>192.34209129999999</v>
      </c>
      <c r="E94" s="211">
        <v>0.95850140039866283</v>
      </c>
      <c r="F94" s="211">
        <v>0.33347583353624133</v>
      </c>
      <c r="G94" s="211">
        <v>0.85136941323297122</v>
      </c>
    </row>
    <row r="95" spans="1:7" x14ac:dyDescent="0.2">
      <c r="A95" s="80"/>
      <c r="B95" s="210" t="s">
        <v>218</v>
      </c>
      <c r="C95" s="98">
        <v>781.22465370999987</v>
      </c>
      <c r="D95" s="98">
        <v>113.47012174</v>
      </c>
      <c r="E95" s="211">
        <v>1.3479297678771089</v>
      </c>
      <c r="F95" s="211">
        <v>0.3191290401944783</v>
      </c>
      <c r="G95" s="211">
        <v>0.74084157669492201</v>
      </c>
    </row>
    <row r="96" spans="1:7" x14ac:dyDescent="0.2">
      <c r="A96" s="80"/>
      <c r="B96" s="210" t="s">
        <v>219</v>
      </c>
      <c r="C96" s="98">
        <v>12.582104429999999</v>
      </c>
      <c r="D96" s="98">
        <v>1.6911814999999999</v>
      </c>
      <c r="E96" s="211">
        <v>0.44857868083216984</v>
      </c>
      <c r="F96" s="211">
        <v>0.60166226109095333</v>
      </c>
      <c r="G96" s="211">
        <v>0.88151427591517995</v>
      </c>
    </row>
    <row r="97" spans="1:7" x14ac:dyDescent="0.2">
      <c r="A97" s="80"/>
      <c r="B97" s="210" t="s">
        <v>220</v>
      </c>
      <c r="C97" s="98">
        <v>142.0687293</v>
      </c>
      <c r="D97" s="98">
        <v>13.519307120000001</v>
      </c>
      <c r="E97" s="211">
        <v>1.0257578882698994</v>
      </c>
      <c r="F97" s="211">
        <v>0</v>
      </c>
      <c r="G97" s="211">
        <v>0.9604271084796534</v>
      </c>
    </row>
    <row r="98" spans="1:7" ht="12" customHeight="1" x14ac:dyDescent="0.2">
      <c r="A98" s="212" t="s">
        <v>915</v>
      </c>
      <c r="B98" s="213"/>
      <c r="C98" s="214">
        <v>24196.774684209999</v>
      </c>
      <c r="D98" s="214">
        <v>5259.3543128500005</v>
      </c>
      <c r="E98" s="215">
        <v>0.61253703803914616</v>
      </c>
      <c r="F98" s="215"/>
      <c r="G98" s="215">
        <v>0.87655363923078766</v>
      </c>
    </row>
    <row r="99" spans="1:7" s="350" customFormat="1" ht="12" customHeight="1" x14ac:dyDescent="0.2">
      <c r="A99" s="80" t="s">
        <v>221</v>
      </c>
      <c r="B99" s="382"/>
      <c r="C99" s="198"/>
      <c r="D99" s="198"/>
      <c r="E99" s="383"/>
      <c r="F99" s="383"/>
      <c r="G99" s="383"/>
    </row>
    <row r="100" spans="1:7" s="350" customFormat="1" ht="12" customHeight="1" x14ac:dyDescent="0.2">
      <c r="B100" s="210" t="s">
        <v>222</v>
      </c>
      <c r="C100" s="98">
        <v>12.437854999999999</v>
      </c>
      <c r="D100" s="98">
        <v>3</v>
      </c>
      <c r="E100" s="211">
        <v>0.13272738382446167</v>
      </c>
      <c r="F100" s="211">
        <v>0.23288931221687365</v>
      </c>
      <c r="G100" s="211">
        <v>0.86147526762112514</v>
      </c>
    </row>
    <row r="101" spans="1:7" s="350" customFormat="1" ht="12" customHeight="1" x14ac:dyDescent="0.2">
      <c r="A101" s="80"/>
      <c r="B101" s="210" t="s">
        <v>223</v>
      </c>
      <c r="C101" s="98">
        <v>1560.7323809528555</v>
      </c>
      <c r="D101" s="98">
        <v>574.30257014362508</v>
      </c>
      <c r="E101" s="211">
        <v>0.26401054633532711</v>
      </c>
      <c r="F101" s="211">
        <v>0.30231512637017849</v>
      </c>
      <c r="G101" s="211">
        <v>0.76313469778623133</v>
      </c>
    </row>
    <row r="102" spans="1:7" s="350" customFormat="1" ht="12" customHeight="1" x14ac:dyDescent="0.2">
      <c r="A102" s="80"/>
      <c r="B102" s="210" t="s">
        <v>224</v>
      </c>
      <c r="C102" s="98">
        <v>5126.1103826678727</v>
      </c>
      <c r="D102" s="98">
        <v>328.35380321999997</v>
      </c>
      <c r="E102" s="211">
        <v>0.33564281938946811</v>
      </c>
      <c r="F102" s="211">
        <v>0.24767520507752006</v>
      </c>
      <c r="G102" s="211">
        <v>0.94071386199098728</v>
      </c>
    </row>
    <row r="103" spans="1:7" s="350" customFormat="1" ht="12" customHeight="1" x14ac:dyDescent="0.2">
      <c r="A103" s="80"/>
      <c r="B103" s="210" t="s">
        <v>225</v>
      </c>
      <c r="C103" s="98">
        <v>4118.5011348437902</v>
      </c>
      <c r="D103" s="98">
        <v>564.52751904750005</v>
      </c>
      <c r="E103" s="211">
        <v>0.51407260820410761</v>
      </c>
      <c r="F103" s="211">
        <v>0.32275751848835699</v>
      </c>
      <c r="G103" s="211">
        <v>0.93740700786265274</v>
      </c>
    </row>
    <row r="104" spans="1:7" s="350" customFormat="1" ht="12" customHeight="1" x14ac:dyDescent="0.2">
      <c r="A104" s="80"/>
      <c r="B104" s="210" t="s">
        <v>226</v>
      </c>
      <c r="C104" s="98">
        <v>6751.5506929339645</v>
      </c>
      <c r="D104" s="98">
        <v>317.086367048</v>
      </c>
      <c r="E104" s="211">
        <v>0.51713255925234802</v>
      </c>
      <c r="F104" s="211">
        <v>0.25961592372291847</v>
      </c>
      <c r="G104" s="211">
        <v>0.97459900756848428</v>
      </c>
    </row>
    <row r="105" spans="1:7" s="350" customFormat="1" ht="12" customHeight="1" x14ac:dyDescent="0.2">
      <c r="A105" s="80"/>
      <c r="B105" s="210" t="s">
        <v>227</v>
      </c>
      <c r="C105" s="98">
        <v>6171.6038833887151</v>
      </c>
      <c r="D105" s="98">
        <v>841.02205443602008</v>
      </c>
      <c r="E105" s="211">
        <v>0.67161369901233503</v>
      </c>
      <c r="F105" s="211">
        <v>0.2957276831348542</v>
      </c>
      <c r="G105" s="211">
        <v>0.94559205648850486</v>
      </c>
    </row>
    <row r="106" spans="1:7" s="350" customFormat="1" ht="12" customHeight="1" x14ac:dyDescent="0.2">
      <c r="A106" s="80"/>
      <c r="B106" s="210" t="s">
        <v>228</v>
      </c>
      <c r="C106" s="98">
        <v>7706.6144473436834</v>
      </c>
      <c r="D106" s="98">
        <v>1242.9370945687299</v>
      </c>
      <c r="E106" s="211">
        <v>0.70378699044319692</v>
      </c>
      <c r="F106" s="211">
        <v>0.29251629897075127</v>
      </c>
      <c r="G106" s="211">
        <v>0.97127565295002105</v>
      </c>
    </row>
    <row r="107" spans="1:7" s="350" customFormat="1" ht="12" customHeight="1" x14ac:dyDescent="0.2">
      <c r="A107" s="80"/>
      <c r="B107" s="210" t="s">
        <v>229</v>
      </c>
      <c r="C107" s="98">
        <v>2861.1647233068898</v>
      </c>
      <c r="D107" s="98">
        <v>551.64556345977996</v>
      </c>
      <c r="E107" s="211">
        <v>0.93238179773873842</v>
      </c>
      <c r="F107" s="211">
        <v>0.32959962705698559</v>
      </c>
      <c r="G107" s="211">
        <v>0.9797821948427583</v>
      </c>
    </row>
    <row r="108" spans="1:7" s="350" customFormat="1" ht="12" customHeight="1" x14ac:dyDescent="0.2">
      <c r="A108" s="80"/>
      <c r="B108" s="210" t="s">
        <v>230</v>
      </c>
      <c r="C108" s="98">
        <v>1243.9962816431598</v>
      </c>
      <c r="D108" s="98">
        <v>37.712308729999997</v>
      </c>
      <c r="E108" s="211">
        <v>1.3723366993471695</v>
      </c>
      <c r="F108" s="211">
        <v>0.34875254846237469</v>
      </c>
      <c r="G108" s="211">
        <v>0.92010804491947273</v>
      </c>
    </row>
    <row r="109" spans="1:7" s="350" customFormat="1" ht="12" customHeight="1" x14ac:dyDescent="0.2">
      <c r="A109" s="80"/>
      <c r="B109" s="210" t="s">
        <v>231</v>
      </c>
      <c r="C109" s="98">
        <v>95.418341486684994</v>
      </c>
      <c r="D109" s="98">
        <v>1.3536951505000001</v>
      </c>
      <c r="E109" s="211">
        <v>0.88164781928030267</v>
      </c>
      <c r="F109" s="211">
        <v>0.23482293646043684</v>
      </c>
      <c r="G109" s="211">
        <v>0.99843044779838852</v>
      </c>
    </row>
    <row r="110" spans="1:7" s="350" customFormat="1" ht="12" customHeight="1" x14ac:dyDescent="0.2">
      <c r="A110" s="80"/>
      <c r="B110" s="210" t="s">
        <v>232</v>
      </c>
      <c r="C110" s="98">
        <v>396.12189698042999</v>
      </c>
      <c r="D110" s="98">
        <v>4.3970482599999992</v>
      </c>
      <c r="E110" s="211">
        <v>0.95317657893802232</v>
      </c>
      <c r="F110" s="211">
        <v>7.2674897082037629E-2</v>
      </c>
      <c r="G110" s="211">
        <v>0.99610213036104267</v>
      </c>
    </row>
    <row r="111" spans="1:7" s="350" customFormat="1" ht="12" customHeight="1" x14ac:dyDescent="0.2">
      <c r="A111" s="212" t="s">
        <v>233</v>
      </c>
      <c r="B111" s="213"/>
      <c r="C111" s="214">
        <v>36044.252020548047</v>
      </c>
      <c r="D111" s="214">
        <v>4466.3380240641545</v>
      </c>
      <c r="E111" s="215">
        <v>0.61447317420934866</v>
      </c>
      <c r="F111" s="215"/>
      <c r="G111" s="215">
        <v>0.94712517117460049</v>
      </c>
    </row>
    <row r="112" spans="1:7" s="350" customFormat="1" ht="12" customHeight="1" x14ac:dyDescent="0.2">
      <c r="A112" s="80" t="s">
        <v>234</v>
      </c>
      <c r="B112" s="382"/>
      <c r="C112" s="198"/>
      <c r="D112" s="198"/>
      <c r="E112" s="383"/>
      <c r="F112" s="383"/>
      <c r="G112" s="383"/>
    </row>
    <row r="113" spans="1:7" s="350" customFormat="1" ht="12" customHeight="1" x14ac:dyDescent="0.2">
      <c r="B113" s="210" t="s">
        <v>235</v>
      </c>
      <c r="C113" s="98">
        <v>0</v>
      </c>
      <c r="D113" s="98">
        <v>0</v>
      </c>
      <c r="E113" s="211">
        <v>0</v>
      </c>
      <c r="F113" s="211">
        <v>0</v>
      </c>
      <c r="G113" s="211">
        <v>0</v>
      </c>
    </row>
    <row r="114" spans="1:7" s="350" customFormat="1" ht="12" customHeight="1" x14ac:dyDescent="0.2">
      <c r="A114" s="80"/>
      <c r="B114" s="210" t="s">
        <v>236</v>
      </c>
      <c r="C114" s="98">
        <v>0.22256347784999997</v>
      </c>
      <c r="D114" s="98">
        <v>0</v>
      </c>
      <c r="E114" s="211">
        <v>7.6715716405855186E-2</v>
      </c>
      <c r="F114" s="211">
        <v>0</v>
      </c>
      <c r="G114" s="211">
        <v>0.99999999999999978</v>
      </c>
    </row>
    <row r="115" spans="1:7" s="350" customFormat="1" ht="12" customHeight="1" x14ac:dyDescent="0.2">
      <c r="A115" s="80"/>
      <c r="B115" s="210" t="s">
        <v>237</v>
      </c>
      <c r="C115" s="98">
        <v>305.13716266846001</v>
      </c>
      <c r="D115" s="98">
        <v>180.00931649999998</v>
      </c>
      <c r="E115" s="211">
        <v>0.63290421968468624</v>
      </c>
      <c r="F115" s="211">
        <v>0.23983026836501747</v>
      </c>
      <c r="G115" s="211">
        <v>0.85214893726093821</v>
      </c>
    </row>
    <row r="116" spans="1:7" s="350" customFormat="1" ht="12" customHeight="1" x14ac:dyDescent="0.2">
      <c r="A116" s="80"/>
      <c r="B116" s="210" t="s">
        <v>238</v>
      </c>
      <c r="C116" s="98">
        <v>1088.7234719170642</v>
      </c>
      <c r="D116" s="98">
        <v>465.40763589999995</v>
      </c>
      <c r="E116" s="211">
        <v>0.37861919689796464</v>
      </c>
      <c r="F116" s="211">
        <v>8.4873134054671659E-2</v>
      </c>
      <c r="G116" s="211">
        <v>0.87020009532623099</v>
      </c>
    </row>
    <row r="117" spans="1:7" s="350" customFormat="1" ht="12" customHeight="1" x14ac:dyDescent="0.2">
      <c r="A117" s="80"/>
      <c r="B117" s="210" t="s">
        <v>239</v>
      </c>
      <c r="C117" s="98">
        <v>2609.5678787042812</v>
      </c>
      <c r="D117" s="98">
        <v>768.07755708000002</v>
      </c>
      <c r="E117" s="211">
        <v>0.68997748187157026</v>
      </c>
      <c r="F117" s="211">
        <v>9.5412486760065821E-2</v>
      </c>
      <c r="G117" s="211">
        <v>0.80984475400698808</v>
      </c>
    </row>
    <row r="118" spans="1:7" s="350" customFormat="1" ht="12" customHeight="1" x14ac:dyDescent="0.2">
      <c r="A118" s="80"/>
      <c r="B118" s="210" t="s">
        <v>240</v>
      </c>
      <c r="C118" s="98">
        <v>3702.6458172133948</v>
      </c>
      <c r="D118" s="98">
        <v>622.97749857000008</v>
      </c>
      <c r="E118" s="211">
        <v>0.70461445216102292</v>
      </c>
      <c r="F118" s="211">
        <v>4.6667181913330955E-2</v>
      </c>
      <c r="G118" s="211">
        <v>0.76957649479613277</v>
      </c>
    </row>
    <row r="119" spans="1:7" s="350" customFormat="1" ht="12" customHeight="1" x14ac:dyDescent="0.2">
      <c r="A119" s="80"/>
      <c r="B119" s="210" t="s">
        <v>241</v>
      </c>
      <c r="C119" s="98">
        <v>861.27008484269004</v>
      </c>
      <c r="D119" s="98">
        <v>119.75818031484501</v>
      </c>
      <c r="E119" s="211">
        <v>1.3867451722324591</v>
      </c>
      <c r="F119" s="211">
        <v>6.4842278932879999E-2</v>
      </c>
      <c r="G119" s="211">
        <v>0.88303208713785231</v>
      </c>
    </row>
    <row r="120" spans="1:7" s="350" customFormat="1" ht="12" customHeight="1" x14ac:dyDescent="0.2">
      <c r="A120" s="80"/>
      <c r="B120" s="210" t="s">
        <v>242</v>
      </c>
      <c r="C120" s="98">
        <v>492.97791512684989</v>
      </c>
      <c r="D120" s="98">
        <v>5.4747545999999989</v>
      </c>
      <c r="E120" s="211">
        <v>1.0347135627916249</v>
      </c>
      <c r="F120" s="211">
        <v>3.7723415210237548E-3</v>
      </c>
      <c r="G120" s="211">
        <v>0.99006793380373681</v>
      </c>
    </row>
    <row r="121" spans="1:7" s="350" customFormat="1" ht="12" customHeight="1" x14ac:dyDescent="0.2">
      <c r="A121" s="80"/>
      <c r="B121" s="210" t="s">
        <v>243</v>
      </c>
      <c r="C121" s="98">
        <v>80.080336566824997</v>
      </c>
      <c r="D121" s="98">
        <v>2.4149999999999998E-2</v>
      </c>
      <c r="E121" s="211">
        <v>0.49333643751536382</v>
      </c>
      <c r="F121" s="211">
        <v>5.1249916805252223E-5</v>
      </c>
      <c r="G121" s="211">
        <v>1</v>
      </c>
    </row>
    <row r="122" spans="1:7" s="350" customFormat="1" ht="12" customHeight="1" x14ac:dyDescent="0.2">
      <c r="A122" s="80"/>
      <c r="B122" s="210" t="s">
        <v>244</v>
      </c>
      <c r="C122" s="98">
        <v>49.042972751512629</v>
      </c>
      <c r="D122" s="98">
        <v>0</v>
      </c>
      <c r="E122" s="211">
        <v>0</v>
      </c>
      <c r="F122" s="211">
        <v>0</v>
      </c>
      <c r="G122" s="211">
        <v>0</v>
      </c>
    </row>
    <row r="123" spans="1:7" s="350" customFormat="1" ht="12" customHeight="1" x14ac:dyDescent="0.2">
      <c r="A123" s="80"/>
      <c r="B123" s="210" t="s">
        <v>245</v>
      </c>
      <c r="C123" s="98">
        <f>525.631307167975+0.3</f>
        <v>525.93130716797498</v>
      </c>
      <c r="D123" s="98">
        <v>3.538062</v>
      </c>
      <c r="E123" s="211">
        <v>0</v>
      </c>
      <c r="F123" s="211">
        <v>0</v>
      </c>
      <c r="G123" s="211">
        <v>0</v>
      </c>
    </row>
    <row r="124" spans="1:7" s="350" customFormat="1" ht="12" customHeight="1" x14ac:dyDescent="0.2">
      <c r="A124" s="212" t="s">
        <v>246</v>
      </c>
      <c r="B124" s="213"/>
      <c r="C124" s="214">
        <f>SUM(C113:C123)</f>
        <v>9715.5995104369049</v>
      </c>
      <c r="D124" s="214">
        <v>2165.2671549648453</v>
      </c>
      <c r="E124" s="215">
        <v>0.70300738950781105</v>
      </c>
      <c r="F124" s="215"/>
      <c r="G124" s="215">
        <v>0.8251082548581089</v>
      </c>
    </row>
    <row r="125" spans="1:7" s="350" customFormat="1" ht="12" customHeight="1" x14ac:dyDescent="0.2">
      <c r="A125" s="437" t="s">
        <v>916</v>
      </c>
      <c r="B125" s="382"/>
      <c r="C125" s="198"/>
      <c r="D125" s="198"/>
      <c r="E125" s="383"/>
      <c r="F125" s="383"/>
      <c r="G125" s="383"/>
    </row>
    <row r="126" spans="1:7" s="350" customFormat="1" ht="12" customHeight="1" x14ac:dyDescent="0.2">
      <c r="A126" s="436"/>
      <c r="B126" s="210" t="s">
        <v>247</v>
      </c>
      <c r="C126" s="98">
        <v>0</v>
      </c>
      <c r="D126" s="98">
        <v>0</v>
      </c>
      <c r="E126" s="211">
        <v>0</v>
      </c>
      <c r="F126" s="211">
        <v>0</v>
      </c>
      <c r="G126" s="211">
        <v>0</v>
      </c>
    </row>
    <row r="127" spans="1:7" s="350" customFormat="1" ht="12" customHeight="1" x14ac:dyDescent="0.2">
      <c r="A127" s="80"/>
      <c r="B127" s="210" t="s">
        <v>248</v>
      </c>
      <c r="C127" s="98">
        <v>1764.1644804286407</v>
      </c>
      <c r="D127" s="98">
        <v>572.92303736183203</v>
      </c>
      <c r="E127" s="211">
        <v>7.6117127185288097E-2</v>
      </c>
      <c r="F127" s="211">
        <v>0.17779264235702794</v>
      </c>
      <c r="G127" s="211">
        <v>0.9994698934003784</v>
      </c>
    </row>
    <row r="128" spans="1:7" s="350" customFormat="1" ht="12" customHeight="1" x14ac:dyDescent="0.2">
      <c r="A128" s="80"/>
      <c r="B128" s="210" t="s">
        <v>249</v>
      </c>
      <c r="C128" s="98">
        <v>1553.188678520268</v>
      </c>
      <c r="D128" s="98">
        <v>161.67652472910302</v>
      </c>
      <c r="E128" s="211">
        <v>0.13804884319362737</v>
      </c>
      <c r="F128" s="211">
        <v>0.21766894243266588</v>
      </c>
      <c r="G128" s="211">
        <v>0.9994729755770706</v>
      </c>
    </row>
    <row r="129" spans="1:7" s="350" customFormat="1" ht="12" customHeight="1" x14ac:dyDescent="0.2">
      <c r="A129" s="80"/>
      <c r="B129" s="210" t="s">
        <v>250</v>
      </c>
      <c r="C129" s="98">
        <v>801.38290763267798</v>
      </c>
      <c r="D129" s="98">
        <v>26.704612093068</v>
      </c>
      <c r="E129" s="211">
        <v>0.20697874273442679</v>
      </c>
      <c r="F129" s="211">
        <v>0.22598697172298429</v>
      </c>
      <c r="G129" s="211">
        <v>0.99984591514325538</v>
      </c>
    </row>
    <row r="130" spans="1:7" s="350" customFormat="1" ht="12" customHeight="1" x14ac:dyDescent="0.2">
      <c r="A130" s="80"/>
      <c r="B130" s="210" t="s">
        <v>251</v>
      </c>
      <c r="C130" s="98">
        <v>804.82394335479091</v>
      </c>
      <c r="D130" s="98">
        <v>11.922991363440998</v>
      </c>
      <c r="E130" s="211">
        <v>0.29230855647318676</v>
      </c>
      <c r="F130" s="211">
        <v>0.23926104006197452</v>
      </c>
      <c r="G130" s="211">
        <v>0.99961233260778171</v>
      </c>
    </row>
    <row r="131" spans="1:7" s="350" customFormat="1" ht="12" customHeight="1" x14ac:dyDescent="0.2">
      <c r="A131" s="80"/>
      <c r="B131" s="210" t="s">
        <v>252</v>
      </c>
      <c r="C131" s="98">
        <v>473.27593635458902</v>
      </c>
      <c r="D131" s="98">
        <v>4.0462771761649998</v>
      </c>
      <c r="E131" s="211">
        <v>0.42181132827917983</v>
      </c>
      <c r="F131" s="211">
        <v>0.23390501115094903</v>
      </c>
      <c r="G131" s="211">
        <v>0.99936045491745362</v>
      </c>
    </row>
    <row r="132" spans="1:7" s="350" customFormat="1" ht="12" customHeight="1" x14ac:dyDescent="0.2">
      <c r="A132" s="80"/>
      <c r="B132" s="210" t="s">
        <v>253</v>
      </c>
      <c r="C132" s="98">
        <v>103.20513909695799</v>
      </c>
      <c r="D132" s="98">
        <v>1.0845790328210001</v>
      </c>
      <c r="E132" s="211">
        <v>0.5383467175696528</v>
      </c>
      <c r="F132" s="211">
        <v>0.1991672549692671</v>
      </c>
      <c r="G132" s="211">
        <v>0.9998183560010766</v>
      </c>
    </row>
    <row r="133" spans="1:7" s="350" customFormat="1" ht="12" customHeight="1" x14ac:dyDescent="0.2">
      <c r="A133" s="80"/>
      <c r="B133" s="210" t="s">
        <v>254</v>
      </c>
      <c r="C133" s="98">
        <v>83.905414585974</v>
      </c>
      <c r="D133" s="98">
        <v>1.6810679759319997</v>
      </c>
      <c r="E133" s="211">
        <v>0.87152136113806167</v>
      </c>
      <c r="F133" s="211">
        <v>0.21435095827339321</v>
      </c>
      <c r="G133" s="211">
        <v>0.99898797975436837</v>
      </c>
    </row>
    <row r="134" spans="1:7" s="350" customFormat="1" ht="12" customHeight="1" x14ac:dyDescent="0.2">
      <c r="A134" s="80"/>
      <c r="B134" s="210" t="s">
        <v>255</v>
      </c>
      <c r="C134" s="98">
        <v>137.46084442583202</v>
      </c>
      <c r="D134" s="98">
        <v>0.73385886813000001</v>
      </c>
      <c r="E134" s="211">
        <v>1.1299525217401993</v>
      </c>
      <c r="F134" s="211">
        <v>0.20731592533337545</v>
      </c>
      <c r="G134" s="211">
        <v>0.99885190141903024</v>
      </c>
    </row>
    <row r="135" spans="1:7" s="350" customFormat="1" ht="12" customHeight="1" x14ac:dyDescent="0.2">
      <c r="A135" s="80"/>
      <c r="B135" s="210" t="s">
        <v>256</v>
      </c>
      <c r="C135" s="98">
        <v>0.69466099999999997</v>
      </c>
      <c r="D135" s="98">
        <v>0</v>
      </c>
      <c r="E135" s="211">
        <v>2.5950000000000001E-2</v>
      </c>
      <c r="F135" s="211">
        <v>0.40450199999999997</v>
      </c>
      <c r="G135" s="211">
        <v>1</v>
      </c>
    </row>
    <row r="136" spans="1:7" s="350" customFormat="1" ht="12" customHeight="1" x14ac:dyDescent="0.2">
      <c r="A136" s="80"/>
      <c r="B136" s="210" t="s">
        <v>257</v>
      </c>
      <c r="C136" s="98">
        <v>14.5776261184</v>
      </c>
      <c r="D136" s="98">
        <v>1.7461900728E-2</v>
      </c>
      <c r="E136" s="211">
        <v>0.14847724651966676</v>
      </c>
      <c r="F136" s="211">
        <v>0.83285967352145684</v>
      </c>
      <c r="G136" s="211">
        <v>1</v>
      </c>
    </row>
    <row r="137" spans="1:7" s="350" customFormat="1" ht="12" customHeight="1" x14ac:dyDescent="0.2">
      <c r="A137" s="212" t="s">
        <v>917</v>
      </c>
      <c r="B137" s="87"/>
      <c r="C137" s="216">
        <v>5736.6796315181309</v>
      </c>
      <c r="D137" s="216">
        <v>780.79041050122009</v>
      </c>
      <c r="E137" s="217">
        <v>0.21539472726248202</v>
      </c>
      <c r="F137" s="217"/>
      <c r="G137" s="218">
        <v>0.99951999779506651</v>
      </c>
    </row>
    <row r="138" spans="1:7" s="350" customFormat="1" ht="12" customHeight="1" x14ac:dyDescent="0.2">
      <c r="A138" s="80" t="s">
        <v>258</v>
      </c>
      <c r="B138" s="382"/>
      <c r="C138" s="198"/>
      <c r="D138" s="198"/>
      <c r="E138" s="383"/>
      <c r="F138" s="383"/>
      <c r="G138" s="383"/>
    </row>
    <row r="139" spans="1:7" ht="12" customHeight="1" x14ac:dyDescent="0.2">
      <c r="B139" s="210" t="s">
        <v>259</v>
      </c>
      <c r="C139" s="98">
        <v>0</v>
      </c>
      <c r="D139" s="98">
        <v>0</v>
      </c>
      <c r="E139" s="211">
        <v>0</v>
      </c>
      <c r="F139" s="211">
        <v>0</v>
      </c>
      <c r="G139" s="211">
        <v>0</v>
      </c>
    </row>
    <row r="140" spans="1:7" x14ac:dyDescent="0.2">
      <c r="A140" s="80"/>
      <c r="B140" s="210" t="s">
        <v>260</v>
      </c>
      <c r="C140" s="98">
        <v>35348.369283811175</v>
      </c>
      <c r="D140" s="98">
        <v>9169.3469197932882</v>
      </c>
      <c r="E140" s="211">
        <v>7.0610353396574912E-2</v>
      </c>
      <c r="F140" s="211">
        <v>0.15852466681953861</v>
      </c>
      <c r="G140" s="211">
        <v>0.99992571109483497</v>
      </c>
    </row>
    <row r="141" spans="1:7" x14ac:dyDescent="0.2">
      <c r="A141" s="80"/>
      <c r="B141" s="210" t="s">
        <v>261</v>
      </c>
      <c r="C141" s="98">
        <v>33232.407638255267</v>
      </c>
      <c r="D141" s="98">
        <v>1900.6390035140637</v>
      </c>
      <c r="E141" s="211">
        <v>0.12974204951736379</v>
      </c>
      <c r="F141" s="211">
        <v>0.19693227441925948</v>
      </c>
      <c r="G141" s="211">
        <v>0.99995612344625673</v>
      </c>
    </row>
    <row r="142" spans="1:7" x14ac:dyDescent="0.2">
      <c r="A142" s="80"/>
      <c r="B142" s="210" t="s">
        <v>262</v>
      </c>
      <c r="C142" s="98">
        <v>22516.742998698955</v>
      </c>
      <c r="D142" s="98">
        <v>292.41690817667308</v>
      </c>
      <c r="E142" s="211">
        <v>0.2066993878471082</v>
      </c>
      <c r="F142" s="211">
        <v>0.21754250965411603</v>
      </c>
      <c r="G142" s="211">
        <v>0.99997814429714904</v>
      </c>
    </row>
    <row r="143" spans="1:7" x14ac:dyDescent="0.2">
      <c r="A143" s="80"/>
      <c r="B143" s="210" t="s">
        <v>263</v>
      </c>
      <c r="C143" s="98">
        <v>21516.166006222636</v>
      </c>
      <c r="D143" s="98">
        <v>119.009181231225</v>
      </c>
      <c r="E143" s="211">
        <v>0.29536136694981097</v>
      </c>
      <c r="F143" s="211">
        <v>0.23211098121412421</v>
      </c>
      <c r="G143" s="211">
        <v>0.99995584910172319</v>
      </c>
    </row>
    <row r="144" spans="1:7" x14ac:dyDescent="0.2">
      <c r="A144" s="80"/>
      <c r="B144" s="210" t="s">
        <v>264</v>
      </c>
      <c r="C144" s="98">
        <v>9747.8576007304509</v>
      </c>
      <c r="D144" s="98">
        <v>35.165251981849998</v>
      </c>
      <c r="E144" s="211">
        <v>0.41923905137022321</v>
      </c>
      <c r="F144" s="211">
        <v>0.23362730853183139</v>
      </c>
      <c r="G144" s="211">
        <v>0.99996512719419806</v>
      </c>
    </row>
    <row r="145" spans="1:7" x14ac:dyDescent="0.2">
      <c r="A145" s="80"/>
      <c r="B145" s="210" t="s">
        <v>265</v>
      </c>
      <c r="C145" s="98">
        <v>2252.1751464676959</v>
      </c>
      <c r="D145" s="98">
        <v>20.275383660621998</v>
      </c>
      <c r="E145" s="211">
        <v>0.59329795843383515</v>
      </c>
      <c r="F145" s="211">
        <v>0.22080392446698272</v>
      </c>
      <c r="G145" s="211">
        <v>0.99991497831833898</v>
      </c>
    </row>
    <row r="146" spans="1:7" x14ac:dyDescent="0.2">
      <c r="A146" s="80"/>
      <c r="B146" s="210" t="s">
        <v>266</v>
      </c>
      <c r="C146" s="98">
        <v>1367.770859198904</v>
      </c>
      <c r="D146" s="98">
        <v>7.7191530495029994</v>
      </c>
      <c r="E146" s="211">
        <v>0.95980408976644271</v>
      </c>
      <c r="F146" s="211">
        <v>0.2372673583166173</v>
      </c>
      <c r="G146" s="211">
        <v>0.99986530990764166</v>
      </c>
    </row>
    <row r="147" spans="1:7" x14ac:dyDescent="0.2">
      <c r="A147" s="80"/>
      <c r="B147" s="210" t="s">
        <v>267</v>
      </c>
      <c r="C147" s="98">
        <v>1726.7959999999355</v>
      </c>
      <c r="D147" s="98">
        <v>5.6448261571840002</v>
      </c>
      <c r="E147" s="211">
        <v>1.3282650472539244</v>
      </c>
      <c r="F147" s="211">
        <v>0.22966427724450847</v>
      </c>
      <c r="G147" s="211">
        <v>0.9999665576775103</v>
      </c>
    </row>
    <row r="148" spans="1:7" x14ac:dyDescent="0.2">
      <c r="A148" s="80"/>
      <c r="B148" s="210" t="s">
        <v>268</v>
      </c>
      <c r="C148" s="98">
        <v>203.90492619392768</v>
      </c>
      <c r="D148" s="98">
        <v>0.14529175459999999</v>
      </c>
      <c r="E148" s="211">
        <v>0.3867456172775276</v>
      </c>
      <c r="F148" s="211">
        <v>0.25972841420396059</v>
      </c>
      <c r="G148" s="211">
        <v>0.99978303418123182</v>
      </c>
    </row>
    <row r="149" spans="1:7" x14ac:dyDescent="0.2">
      <c r="A149" s="80"/>
      <c r="B149" s="210" t="s">
        <v>269</v>
      </c>
      <c r="C149" s="98">
        <v>150.79479837853299</v>
      </c>
      <c r="D149" s="98">
        <v>11.666591805132999</v>
      </c>
      <c r="E149" s="211">
        <v>1.625792972977756</v>
      </c>
      <c r="F149" s="211">
        <v>0.25093269298318527</v>
      </c>
      <c r="G149" s="211">
        <v>0.99987235937098062</v>
      </c>
    </row>
    <row r="150" spans="1:7" ht="12" customHeight="1" x14ac:dyDescent="0.2">
      <c r="A150" s="212" t="s">
        <v>270</v>
      </c>
      <c r="B150" s="87"/>
      <c r="C150" s="216">
        <v>128062.98525795745</v>
      </c>
      <c r="D150" s="216">
        <v>11562.028511124143</v>
      </c>
      <c r="E150" s="217">
        <v>0.21216272174247283</v>
      </c>
      <c r="F150" s="217"/>
      <c r="G150" s="218">
        <v>0.9999503124571637</v>
      </c>
    </row>
    <row r="151" spans="1:7" x14ac:dyDescent="0.2">
      <c r="A151" s="80" t="s">
        <v>271</v>
      </c>
      <c r="B151" s="210" t="s">
        <v>272</v>
      </c>
      <c r="C151" s="98">
        <v>0</v>
      </c>
      <c r="D151" s="98">
        <v>0</v>
      </c>
      <c r="E151" s="211">
        <v>0</v>
      </c>
      <c r="F151" s="211">
        <v>0</v>
      </c>
      <c r="G151" s="211">
        <v>0</v>
      </c>
    </row>
    <row r="152" spans="1:7" x14ac:dyDescent="0.2">
      <c r="A152" s="80"/>
      <c r="B152" s="210" t="s">
        <v>273</v>
      </c>
      <c r="C152" s="98">
        <v>376.27225593548303</v>
      </c>
      <c r="D152" s="98">
        <v>146.04986212319099</v>
      </c>
      <c r="E152" s="211">
        <v>0.20327852534358509</v>
      </c>
      <c r="F152" s="211">
        <v>0.45874544499538061</v>
      </c>
      <c r="G152" s="211">
        <v>0.99683566525137435</v>
      </c>
    </row>
    <row r="153" spans="1:7" x14ac:dyDescent="0.2">
      <c r="A153" s="80"/>
      <c r="B153" s="210" t="s">
        <v>274</v>
      </c>
      <c r="C153" s="98">
        <v>439.84479581690795</v>
      </c>
      <c r="D153" s="98">
        <v>192.841368625434</v>
      </c>
      <c r="E153" s="211">
        <v>0.29395844210448624</v>
      </c>
      <c r="F153" s="211">
        <v>0.46467431322749092</v>
      </c>
      <c r="G153" s="211">
        <v>0.99719421772894046</v>
      </c>
    </row>
    <row r="154" spans="1:7" x14ac:dyDescent="0.2">
      <c r="A154" s="80"/>
      <c r="B154" s="210" t="s">
        <v>275</v>
      </c>
      <c r="C154" s="98">
        <v>271.31272229308797</v>
      </c>
      <c r="D154" s="98">
        <v>58.806412743220001</v>
      </c>
      <c r="E154" s="211">
        <v>0.40755541500357051</v>
      </c>
      <c r="F154" s="211">
        <v>0.47909727625766796</v>
      </c>
      <c r="G154" s="211">
        <v>0.99706938701683923</v>
      </c>
    </row>
    <row r="155" spans="1:7" x14ac:dyDescent="0.2">
      <c r="A155" s="80"/>
      <c r="B155" s="210" t="s">
        <v>276</v>
      </c>
      <c r="C155" s="98">
        <v>292.63077276058698</v>
      </c>
      <c r="D155" s="98">
        <v>41.345579349665002</v>
      </c>
      <c r="E155" s="211">
        <v>0.51191950364902317</v>
      </c>
      <c r="F155" s="211">
        <v>0.48709390800675112</v>
      </c>
      <c r="G155" s="211">
        <v>0.99811979626303993</v>
      </c>
    </row>
    <row r="156" spans="1:7" x14ac:dyDescent="0.2">
      <c r="A156" s="80"/>
      <c r="B156" s="210" t="s">
        <v>277</v>
      </c>
      <c r="C156" s="98">
        <v>301.16393361363799</v>
      </c>
      <c r="D156" s="98">
        <v>13.439447224549999</v>
      </c>
      <c r="E156" s="211">
        <v>0.6277367417429851</v>
      </c>
      <c r="F156" s="211">
        <v>0.48241245964390889</v>
      </c>
      <c r="G156" s="211">
        <v>0.99845011872308698</v>
      </c>
    </row>
    <row r="157" spans="1:7" x14ac:dyDescent="0.2">
      <c r="A157" s="80"/>
      <c r="B157" s="210" t="s">
        <v>278</v>
      </c>
      <c r="C157" s="98">
        <v>238.93985779975895</v>
      </c>
      <c r="D157" s="98">
        <v>6.1846169473999995</v>
      </c>
      <c r="E157" s="211">
        <v>0.75709679637710381</v>
      </c>
      <c r="F157" s="211">
        <v>0.5052589554159217</v>
      </c>
      <c r="G157" s="211">
        <v>0.9988874973101658</v>
      </c>
    </row>
    <row r="158" spans="1:7" x14ac:dyDescent="0.2">
      <c r="A158" s="80"/>
      <c r="B158" s="210" t="s">
        <v>279</v>
      </c>
      <c r="C158" s="98">
        <v>49.958120377937</v>
      </c>
      <c r="D158" s="98">
        <v>1.5288081282869999</v>
      </c>
      <c r="E158" s="211">
        <v>0.80715295171194734</v>
      </c>
      <c r="F158" s="211">
        <v>0.49852690988460052</v>
      </c>
      <c r="G158" s="211">
        <v>0.99891830606845877</v>
      </c>
    </row>
    <row r="159" spans="1:7" x14ac:dyDescent="0.2">
      <c r="A159" s="80"/>
      <c r="B159" s="210" t="s">
        <v>280</v>
      </c>
      <c r="C159" s="98">
        <v>59.878355108184003</v>
      </c>
      <c r="D159" s="98">
        <v>2.7149875199999998</v>
      </c>
      <c r="E159" s="211">
        <v>1.1458129948112104</v>
      </c>
      <c r="F159" s="211">
        <v>0.48190437818219267</v>
      </c>
      <c r="G159" s="211">
        <v>0.99288735864883182</v>
      </c>
    </row>
    <row r="160" spans="1:7" x14ac:dyDescent="0.2">
      <c r="A160" s="80"/>
      <c r="B160" s="210" t="s">
        <v>281</v>
      </c>
      <c r="C160" s="98">
        <v>7.6262616320119996</v>
      </c>
      <c r="D160" s="98">
        <v>0.17302656</v>
      </c>
      <c r="E160" s="211">
        <v>3.0071091060050216E-2</v>
      </c>
      <c r="F160" s="211">
        <v>0.50542472880034983</v>
      </c>
      <c r="G160" s="211">
        <v>0.99748247021140712</v>
      </c>
    </row>
    <row r="161" spans="1:7" x14ac:dyDescent="0.2">
      <c r="A161" s="80"/>
      <c r="B161" s="210" t="s">
        <v>282</v>
      </c>
      <c r="C161" s="98">
        <v>28.480660060000002</v>
      </c>
      <c r="D161" s="98">
        <v>1E-8</v>
      </c>
      <c r="E161" s="211">
        <v>0.18065725100880967</v>
      </c>
      <c r="F161" s="211">
        <v>0.89360107656937748</v>
      </c>
      <c r="G161" s="211">
        <v>1</v>
      </c>
    </row>
    <row r="162" spans="1:7" x14ac:dyDescent="0.2">
      <c r="A162" s="212" t="s">
        <v>283</v>
      </c>
      <c r="B162" s="87"/>
      <c r="C162" s="216">
        <v>2066.1077353975961</v>
      </c>
      <c r="D162" s="216">
        <v>463.08410923174699</v>
      </c>
      <c r="E162" s="217">
        <v>0.46000631516574247</v>
      </c>
      <c r="F162" s="217"/>
      <c r="G162" s="218">
        <v>0.99757366365827249</v>
      </c>
    </row>
    <row r="163" spans="1:7" x14ac:dyDescent="0.2">
      <c r="A163" s="97"/>
      <c r="B163" s="94"/>
      <c r="C163" s="219"/>
      <c r="D163" s="219"/>
      <c r="E163" s="220"/>
      <c r="F163" s="220"/>
      <c r="G163" s="221"/>
    </row>
    <row r="164" spans="1:7" x14ac:dyDescent="0.2">
      <c r="A164" s="97"/>
      <c r="B164" s="94"/>
      <c r="C164" s="219"/>
      <c r="D164" s="219"/>
      <c r="E164" s="220"/>
      <c r="F164" s="220"/>
      <c r="G164" s="221"/>
    </row>
    <row r="165" spans="1:7" x14ac:dyDescent="0.2">
      <c r="A165" s="97"/>
      <c r="B165" s="94"/>
      <c r="C165" s="219"/>
      <c r="D165" s="219"/>
      <c r="E165" s="220"/>
      <c r="F165" s="220"/>
      <c r="G165" s="221"/>
    </row>
    <row r="166" spans="1:7" x14ac:dyDescent="0.2">
      <c r="A166" s="97"/>
      <c r="B166" s="94"/>
      <c r="C166" s="219"/>
      <c r="D166" s="219"/>
      <c r="E166" s="220"/>
      <c r="F166" s="220"/>
      <c r="G166" s="221"/>
    </row>
    <row r="167" spans="1:7" x14ac:dyDescent="0.2">
      <c r="A167" s="97"/>
      <c r="B167" s="94"/>
      <c r="C167" s="219"/>
      <c r="D167" s="219"/>
      <c r="E167" s="220"/>
      <c r="F167" s="220"/>
      <c r="G167" s="221"/>
    </row>
    <row r="168" spans="1:7" x14ac:dyDescent="0.2">
      <c r="A168" s="97"/>
      <c r="B168" s="94"/>
      <c r="C168" s="219"/>
      <c r="D168" s="219"/>
      <c r="E168" s="220"/>
      <c r="F168" s="220"/>
      <c r="G168" s="221"/>
    </row>
    <row r="169" spans="1:7" x14ac:dyDescent="0.2">
      <c r="A169" s="97"/>
      <c r="B169" s="94"/>
      <c r="C169" s="219"/>
      <c r="D169" s="219"/>
      <c r="E169" s="220"/>
      <c r="F169" s="220"/>
      <c r="G169" s="221"/>
    </row>
    <row r="170" spans="1:7" x14ac:dyDescent="0.2">
      <c r="A170" s="97"/>
      <c r="B170" s="94"/>
      <c r="C170" s="219"/>
      <c r="D170" s="219"/>
      <c r="E170" s="220"/>
      <c r="F170" s="220"/>
      <c r="G170" s="221"/>
    </row>
    <row r="171" spans="1:7" x14ac:dyDescent="0.2">
      <c r="A171" s="97"/>
      <c r="B171" s="94"/>
      <c r="C171" s="219"/>
      <c r="D171" s="219"/>
      <c r="E171" s="220"/>
      <c r="F171" s="220"/>
      <c r="G171" s="221"/>
    </row>
    <row r="172" spans="1:7" x14ac:dyDescent="0.2">
      <c r="A172" s="97"/>
      <c r="B172" s="94"/>
      <c r="C172" s="219"/>
      <c r="D172" s="219"/>
      <c r="E172" s="220"/>
      <c r="F172" s="220"/>
      <c r="G172" s="221"/>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activeCell="J1" sqref="J1"/>
    </sheetView>
  </sheetViews>
  <sheetFormatPr baseColWidth="10" defaultColWidth="11" defaultRowHeight="12" x14ac:dyDescent="0.2"/>
  <cols>
    <col min="1" max="1" width="12.5" style="223" customWidth="1"/>
    <col min="2" max="3" width="10.125" style="223" customWidth="1"/>
    <col min="4" max="4" width="3.75" style="223" customWidth="1"/>
    <col min="5" max="5" width="12.5" style="223" customWidth="1"/>
    <col min="6" max="7" width="10.125" style="223" customWidth="1"/>
    <col min="8" max="8" width="3.75" style="223" customWidth="1"/>
    <col min="9" max="9" width="12.5" style="223" customWidth="1"/>
    <col min="10" max="11" width="10.125" style="223" customWidth="1"/>
    <col min="12" max="16384" width="11" style="223"/>
  </cols>
  <sheetData>
    <row r="1" spans="1:11" x14ac:dyDescent="0.2">
      <c r="A1" s="222" t="s">
        <v>985</v>
      </c>
      <c r="C1" s="224"/>
      <c r="F1" s="17"/>
    </row>
    <row r="2" spans="1:11" x14ac:dyDescent="0.2">
      <c r="A2" s="222"/>
      <c r="C2" s="224"/>
      <c r="F2" s="350"/>
    </row>
    <row r="3" spans="1:11" ht="12.75" x14ac:dyDescent="0.2">
      <c r="A3" s="605" t="s">
        <v>258</v>
      </c>
      <c r="B3"/>
      <c r="C3"/>
      <c r="D3"/>
      <c r="E3" s="605" t="s">
        <v>180</v>
      </c>
      <c r="F3"/>
      <c r="G3"/>
      <c r="I3" s="605" t="s">
        <v>53</v>
      </c>
      <c r="J3"/>
      <c r="K3"/>
    </row>
    <row r="4" spans="1:11" ht="12.75" x14ac:dyDescent="0.2">
      <c r="A4"/>
      <c r="B4"/>
      <c r="C4"/>
      <c r="D4"/>
      <c r="E4"/>
      <c r="F4"/>
      <c r="G4"/>
      <c r="I4"/>
      <c r="J4"/>
      <c r="K4"/>
    </row>
    <row r="5" spans="1:11" ht="13.5" thickBot="1" x14ac:dyDescent="0.25">
      <c r="A5" s="595" t="s">
        <v>1078</v>
      </c>
      <c r="B5" s="606" t="s">
        <v>1077</v>
      </c>
      <c r="C5" s="606" t="s">
        <v>1074</v>
      </c>
      <c r="D5"/>
      <c r="E5" s="595" t="s">
        <v>1078</v>
      </c>
      <c r="F5" s="606" t="s">
        <v>1077</v>
      </c>
      <c r="G5" s="606" t="s">
        <v>1074</v>
      </c>
      <c r="I5" s="595" t="s">
        <v>1078</v>
      </c>
      <c r="J5" s="606" t="s">
        <v>1077</v>
      </c>
      <c r="K5" s="606" t="s">
        <v>1074</v>
      </c>
    </row>
    <row r="6" spans="1:11" ht="14.1" customHeight="1" thickTop="1" x14ac:dyDescent="0.2">
      <c r="A6" s="607">
        <v>2006</v>
      </c>
      <c r="B6" s="608">
        <v>8.5333333333333337E-3</v>
      </c>
      <c r="C6" s="608">
        <v>4.4166666666666668E-3</v>
      </c>
      <c r="D6" s="609"/>
      <c r="E6" s="607">
        <v>2006</v>
      </c>
      <c r="F6" s="608">
        <v>3.9149999999999997E-2</v>
      </c>
      <c r="G6" s="608">
        <v>2.258333333333333E-2</v>
      </c>
      <c r="I6" s="607">
        <v>2006</v>
      </c>
      <c r="J6" s="608">
        <v>2.8583333333333336E-2</v>
      </c>
      <c r="K6" s="608">
        <v>1.9183333333333333E-2</v>
      </c>
    </row>
    <row r="7" spans="1:11" ht="14.1" customHeight="1" x14ac:dyDescent="0.2">
      <c r="A7" s="607">
        <v>2007</v>
      </c>
      <c r="B7" s="608">
        <v>8.4333333333333326E-3</v>
      </c>
      <c r="C7" s="608">
        <v>4.1333333333333335E-3</v>
      </c>
      <c r="D7" s="609"/>
      <c r="E7" s="607">
        <v>2007</v>
      </c>
      <c r="F7" s="608">
        <v>3.9225000000000003E-2</v>
      </c>
      <c r="G7" s="608">
        <v>2.2608333333333331E-2</v>
      </c>
      <c r="I7" s="607">
        <v>2007</v>
      </c>
      <c r="J7" s="608">
        <v>2.8725000000000001E-2</v>
      </c>
      <c r="K7" s="608">
        <v>1.675833333333333E-2</v>
      </c>
    </row>
    <row r="8" spans="1:11" ht="14.1" customHeight="1" x14ac:dyDescent="0.2">
      <c r="A8" s="607">
        <v>2008</v>
      </c>
      <c r="B8" s="608">
        <v>8.4583333333333333E-3</v>
      </c>
      <c r="C8" s="608">
        <v>4.0499999999999998E-3</v>
      </c>
      <c r="D8" s="609"/>
      <c r="E8" s="607">
        <v>2008</v>
      </c>
      <c r="F8" s="608">
        <v>3.6441666666666664E-2</v>
      </c>
      <c r="G8" s="608">
        <v>1.9958333333333331E-2</v>
      </c>
      <c r="I8" s="607">
        <v>2008</v>
      </c>
      <c r="J8" s="608">
        <v>2.8599999999999997E-2</v>
      </c>
      <c r="K8" s="608">
        <v>1.7824999999999997E-2</v>
      </c>
    </row>
    <row r="9" spans="1:11" ht="14.1" customHeight="1" x14ac:dyDescent="0.2">
      <c r="A9" s="607">
        <v>2009</v>
      </c>
      <c r="B9" s="608">
        <v>9.3499999999999989E-3</v>
      </c>
      <c r="C9" s="608">
        <v>4.3E-3</v>
      </c>
      <c r="D9" s="609"/>
      <c r="E9" s="607">
        <v>2009</v>
      </c>
      <c r="F9" s="608">
        <v>3.9050000000000001E-2</v>
      </c>
      <c r="G9" s="608">
        <v>2.5816666666666665E-2</v>
      </c>
      <c r="I9" s="607">
        <v>2009</v>
      </c>
      <c r="J9" s="608">
        <v>2.9333333333333333E-2</v>
      </c>
      <c r="K9" s="608">
        <v>2.8208333333333332E-2</v>
      </c>
    </row>
    <row r="10" spans="1:11" ht="14.1" customHeight="1" x14ac:dyDescent="0.2">
      <c r="A10" s="607">
        <v>2010</v>
      </c>
      <c r="B10" s="608">
        <v>1.1450000000000002E-2</v>
      </c>
      <c r="C10" s="608">
        <v>4.1583333333333333E-3</v>
      </c>
      <c r="D10" s="609"/>
      <c r="E10" s="607">
        <v>2010</v>
      </c>
      <c r="F10" s="608">
        <v>4.2916666666666665E-2</v>
      </c>
      <c r="G10" s="608">
        <v>2.6633333333333332E-2</v>
      </c>
      <c r="I10" s="607">
        <v>2010</v>
      </c>
      <c r="J10" s="608">
        <v>3.3433333333333336E-2</v>
      </c>
      <c r="K10" s="608">
        <v>2.7066666666666659E-2</v>
      </c>
    </row>
    <row r="11" spans="1:11" ht="14.1" customHeight="1" x14ac:dyDescent="0.2">
      <c r="A11" s="607">
        <v>2011</v>
      </c>
      <c r="B11" s="608">
        <v>1.1174999999999997E-2</v>
      </c>
      <c r="C11" s="608">
        <v>3.2166666666666667E-3</v>
      </c>
      <c r="D11" s="609"/>
      <c r="E11" s="607">
        <v>2011</v>
      </c>
      <c r="F11" s="608">
        <v>3.7841666666666669E-2</v>
      </c>
      <c r="G11" s="608">
        <v>1.9066666666666666E-2</v>
      </c>
      <c r="I11" s="607">
        <v>2011</v>
      </c>
      <c r="J11" s="608">
        <v>3.6200000000000003E-2</v>
      </c>
      <c r="K11" s="608">
        <v>2.4041666666666666E-2</v>
      </c>
    </row>
    <row r="12" spans="1:11" ht="14.1" customHeight="1" x14ac:dyDescent="0.2">
      <c r="A12" s="607">
        <v>2012</v>
      </c>
      <c r="B12" s="608">
        <v>1.0266666666666669E-2</v>
      </c>
      <c r="C12" s="608">
        <v>2.6083333333333327E-3</v>
      </c>
      <c r="D12" s="609"/>
      <c r="E12" s="607">
        <v>2012</v>
      </c>
      <c r="F12" s="608">
        <v>3.3816666666666668E-2</v>
      </c>
      <c r="G12" s="608">
        <v>1.4341666666666667E-2</v>
      </c>
      <c r="I12" s="607">
        <v>2012</v>
      </c>
      <c r="J12" s="608">
        <v>3.414166666666666E-2</v>
      </c>
      <c r="K12" s="608">
        <v>1.9041666666666669E-2</v>
      </c>
    </row>
    <row r="13" spans="1:11" ht="14.1" customHeight="1" x14ac:dyDescent="0.2">
      <c r="A13" s="607">
        <v>2013</v>
      </c>
      <c r="B13" s="608">
        <v>1.0050000000000002E-2</v>
      </c>
      <c r="C13" s="608">
        <v>2.3833333333333332E-3</v>
      </c>
      <c r="D13" s="609"/>
      <c r="E13" s="607">
        <v>2013</v>
      </c>
      <c r="F13" s="608">
        <v>3.1174999999999998E-2</v>
      </c>
      <c r="G13" s="608">
        <v>1.5675000000000005E-2</v>
      </c>
      <c r="I13" s="607">
        <v>2013</v>
      </c>
      <c r="J13" s="608">
        <v>3.3058333333333335E-2</v>
      </c>
      <c r="K13" s="608">
        <v>2.0874999999999994E-2</v>
      </c>
    </row>
    <row r="14" spans="1:11" ht="14.1" customHeight="1" x14ac:dyDescent="0.2">
      <c r="A14" s="607">
        <v>2014</v>
      </c>
      <c r="B14" s="608">
        <v>9.8750000000000001E-3</v>
      </c>
      <c r="C14" s="608">
        <v>2.3583333333333334E-3</v>
      </c>
      <c r="D14" s="609"/>
      <c r="E14" s="607">
        <v>2014</v>
      </c>
      <c r="F14" s="608">
        <v>3.0108333333333334E-2</v>
      </c>
      <c r="G14" s="608">
        <v>1.5316666666666666E-2</v>
      </c>
      <c r="I14" s="607">
        <v>2014</v>
      </c>
      <c r="J14" s="608">
        <v>3.2091666666666671E-2</v>
      </c>
      <c r="K14" s="608">
        <v>2.1158333333333335E-2</v>
      </c>
    </row>
    <row r="15" spans="1:11" ht="14.1" customHeight="1" x14ac:dyDescent="0.2">
      <c r="A15" s="607">
        <v>2015</v>
      </c>
      <c r="B15" s="608">
        <v>9.7583333333333324E-3</v>
      </c>
      <c r="C15" s="608">
        <v>2.4083333333333331E-3</v>
      </c>
      <c r="D15" s="609"/>
      <c r="E15" s="607">
        <v>2015</v>
      </c>
      <c r="F15" s="608">
        <v>2.7591666666666667E-2</v>
      </c>
      <c r="G15" s="608">
        <v>1.3183333333333332E-2</v>
      </c>
      <c r="I15" s="607">
        <v>2015</v>
      </c>
      <c r="J15" s="608">
        <v>3.0974999999999992E-2</v>
      </c>
      <c r="K15" s="608">
        <v>1.9775000000000001E-2</v>
      </c>
    </row>
    <row r="16" spans="1:11" ht="14.1" customHeight="1" x14ac:dyDescent="0.2">
      <c r="A16" s="607">
        <v>2016</v>
      </c>
      <c r="B16" s="608">
        <v>8.8416666666666661E-3</v>
      </c>
      <c r="C16" s="608">
        <v>1.7500000000000005E-3</v>
      </c>
      <c r="D16" s="609"/>
      <c r="E16" s="607">
        <v>2016</v>
      </c>
      <c r="F16" s="608">
        <v>2.3908333333333334E-2</v>
      </c>
      <c r="G16" s="608">
        <v>8.4250000000000019E-3</v>
      </c>
      <c r="I16" s="607">
        <v>2016</v>
      </c>
      <c r="J16" s="608">
        <v>2.9849999999999998E-2</v>
      </c>
      <c r="K16" s="608">
        <v>1.7258333333333334E-2</v>
      </c>
    </row>
    <row r="17" spans="1:11" s="222" customFormat="1" ht="14.1" customHeight="1" x14ac:dyDescent="0.2">
      <c r="A17" s="610" t="s">
        <v>1075</v>
      </c>
      <c r="B17" s="611">
        <v>9.7071428571428673E-3</v>
      </c>
      <c r="C17" s="611">
        <v>3.197619047619052E-3</v>
      </c>
      <c r="D17" s="612"/>
      <c r="E17" s="610" t="s">
        <v>1075</v>
      </c>
      <c r="F17" s="611">
        <v>3.444285714285715E-2</v>
      </c>
      <c r="G17" s="611">
        <v>1.8315873015873001E-2</v>
      </c>
      <c r="I17" s="610" t="s">
        <v>1075</v>
      </c>
      <c r="J17" s="611">
        <v>3.1495238095238097E-2</v>
      </c>
      <c r="K17" s="611">
        <v>2.1104761904761907E-2</v>
      </c>
    </row>
    <row r="18" spans="1:11" x14ac:dyDescent="0.2">
      <c r="A18" s="222"/>
      <c r="C18" s="224"/>
      <c r="F18" s="350"/>
    </row>
    <row r="19" spans="1:11" x14ac:dyDescent="0.2">
      <c r="A19" s="222"/>
      <c r="C19" s="224"/>
      <c r="F19" s="350"/>
    </row>
    <row r="20" spans="1:11" x14ac:dyDescent="0.2">
      <c r="A20" s="222"/>
      <c r="C20" s="224"/>
      <c r="F20" s="350"/>
    </row>
    <row r="21" spans="1:11" x14ac:dyDescent="0.2">
      <c r="A21" s="222" t="s">
        <v>411</v>
      </c>
      <c r="C21" s="224"/>
      <c r="F21" s="350"/>
    </row>
    <row r="22" spans="1:11" x14ac:dyDescent="0.2">
      <c r="F22" s="17"/>
    </row>
    <row r="23" spans="1:11" ht="12.75" x14ac:dyDescent="0.2">
      <c r="A23" s="605" t="s">
        <v>258</v>
      </c>
      <c r="B23"/>
      <c r="C23"/>
      <c r="D23"/>
      <c r="E23" s="605" t="s">
        <v>180</v>
      </c>
      <c r="F23"/>
      <c r="G23"/>
      <c r="I23" s="605" t="s">
        <v>53</v>
      </c>
      <c r="J23"/>
      <c r="K23"/>
    </row>
    <row r="24" spans="1:11" ht="12.75" x14ac:dyDescent="0.2">
      <c r="A24"/>
      <c r="B24"/>
      <c r="C24"/>
      <c r="D24"/>
      <c r="E24"/>
      <c r="F24"/>
      <c r="G24"/>
      <c r="I24"/>
      <c r="J24"/>
      <c r="K24"/>
    </row>
    <row r="25" spans="1:11" ht="13.5" thickBot="1" x14ac:dyDescent="0.25">
      <c r="A25" s="595" t="s">
        <v>1078</v>
      </c>
      <c r="B25" s="606" t="s">
        <v>1077</v>
      </c>
      <c r="C25" s="606" t="s">
        <v>1074</v>
      </c>
      <c r="D25"/>
      <c r="E25" s="595" t="s">
        <v>1078</v>
      </c>
      <c r="F25" s="606" t="s">
        <v>1077</v>
      </c>
      <c r="G25" s="606" t="s">
        <v>1074</v>
      </c>
      <c r="I25" s="595" t="s">
        <v>1078</v>
      </c>
      <c r="J25" s="606" t="s">
        <v>1077</v>
      </c>
      <c r="K25" s="606" t="s">
        <v>1074</v>
      </c>
    </row>
    <row r="26" spans="1:11" ht="14.1" customHeight="1" thickTop="1" x14ac:dyDescent="0.2">
      <c r="A26" s="607">
        <v>2006</v>
      </c>
      <c r="B26" s="608">
        <v>1.0266666666666665E-2</v>
      </c>
      <c r="C26" s="608">
        <v>5.3333333333333332E-3</v>
      </c>
      <c r="D26" s="609"/>
      <c r="E26" s="607">
        <v>2006</v>
      </c>
      <c r="F26" s="608">
        <v>3.5516666666666669E-2</v>
      </c>
      <c r="G26" s="608">
        <v>1.7533333333333331E-2</v>
      </c>
      <c r="I26" s="607">
        <v>2006</v>
      </c>
      <c r="J26" s="608">
        <v>2.0283333333333334E-2</v>
      </c>
      <c r="K26" s="608">
        <v>3.4866666666666664E-2</v>
      </c>
    </row>
    <row r="27" spans="1:11" ht="14.1" customHeight="1" x14ac:dyDescent="0.2">
      <c r="A27" s="607">
        <v>2007</v>
      </c>
      <c r="B27" s="608">
        <v>1.0100000000000001E-2</v>
      </c>
      <c r="C27" s="608">
        <v>4.9249999999999997E-3</v>
      </c>
      <c r="D27" s="609"/>
      <c r="E27" s="607">
        <v>2007</v>
      </c>
      <c r="F27" s="608">
        <v>3.4416666666666665E-2</v>
      </c>
      <c r="G27" s="608">
        <v>1.6366666666666668E-2</v>
      </c>
      <c r="I27" s="607">
        <v>2007</v>
      </c>
      <c r="J27" s="608">
        <v>2.2591666666666666E-2</v>
      </c>
      <c r="K27" s="608">
        <v>1.7841666666666669E-2</v>
      </c>
    </row>
    <row r="28" spans="1:11" ht="14.1" customHeight="1" x14ac:dyDescent="0.2">
      <c r="A28" s="607">
        <v>2008</v>
      </c>
      <c r="B28" s="608">
        <v>1.0041666666666666E-2</v>
      </c>
      <c r="C28" s="608">
        <v>5.3750000000000004E-3</v>
      </c>
      <c r="D28" s="609"/>
      <c r="E28" s="607">
        <v>2008</v>
      </c>
      <c r="F28" s="608">
        <v>3.1049999999999994E-2</v>
      </c>
      <c r="G28" s="608">
        <v>9.5000000000000015E-3</v>
      </c>
      <c r="I28" s="607">
        <v>2008</v>
      </c>
      <c r="J28" s="608">
        <v>2.5316666666666664E-2</v>
      </c>
      <c r="K28" s="608">
        <v>2.7275000000000004E-2</v>
      </c>
    </row>
    <row r="29" spans="1:11" ht="14.1" customHeight="1" x14ac:dyDescent="0.2">
      <c r="A29" s="607">
        <v>2009</v>
      </c>
      <c r="B29" s="608">
        <v>1.1525000000000001E-2</v>
      </c>
      <c r="C29" s="608">
        <v>6.1166666666666661E-3</v>
      </c>
      <c r="D29" s="609"/>
      <c r="E29" s="607">
        <v>2009</v>
      </c>
      <c r="F29" s="608">
        <v>3.5716666666666667E-2</v>
      </c>
      <c r="G29" s="608">
        <v>3.9016666666666665E-2</v>
      </c>
      <c r="I29" s="607">
        <v>2009</v>
      </c>
      <c r="J29" s="608">
        <v>2.6158333333333336E-2</v>
      </c>
      <c r="K29" s="608">
        <v>3.4333333333333334E-2</v>
      </c>
    </row>
    <row r="30" spans="1:11" ht="14.1" customHeight="1" x14ac:dyDescent="0.2">
      <c r="A30" s="607">
        <v>2010</v>
      </c>
      <c r="B30" s="608">
        <v>1.3925000000000002E-2</v>
      </c>
      <c r="C30" s="608">
        <v>6.0666666666666655E-3</v>
      </c>
      <c r="D30" s="609"/>
      <c r="E30" s="607">
        <v>2010</v>
      </c>
      <c r="F30" s="608">
        <v>4.1033333333333331E-2</v>
      </c>
      <c r="G30" s="608">
        <v>1.2724999999999995E-2</v>
      </c>
      <c r="I30" s="607">
        <v>2010</v>
      </c>
      <c r="J30" s="608">
        <v>2.8866666666666669E-2</v>
      </c>
      <c r="K30" s="608">
        <v>1.3975000000000001E-2</v>
      </c>
    </row>
    <row r="31" spans="1:11" ht="14.1" customHeight="1" x14ac:dyDescent="0.2">
      <c r="A31" s="607">
        <v>2011</v>
      </c>
      <c r="B31" s="608">
        <v>1.355E-2</v>
      </c>
      <c r="C31" s="608">
        <v>4.783333333333333E-3</v>
      </c>
      <c r="D31" s="609"/>
      <c r="E31" s="607">
        <v>2011</v>
      </c>
      <c r="F31" s="608">
        <v>4.0875000000000002E-2</v>
      </c>
      <c r="G31" s="608">
        <v>1.1108333333333331E-2</v>
      </c>
      <c r="I31" s="607">
        <v>2011</v>
      </c>
      <c r="J31" s="608">
        <v>2.9483333333333334E-2</v>
      </c>
      <c r="K31" s="608">
        <v>1.2541666666666665E-2</v>
      </c>
    </row>
    <row r="32" spans="1:11" ht="14.1" customHeight="1" x14ac:dyDescent="0.2">
      <c r="A32" s="607">
        <v>2012</v>
      </c>
      <c r="B32" s="608">
        <v>1.2016666666666667E-2</v>
      </c>
      <c r="C32" s="608">
        <v>3.8083333333333333E-3</v>
      </c>
      <c r="D32" s="609"/>
      <c r="E32" s="607">
        <v>2012</v>
      </c>
      <c r="F32" s="608">
        <v>3.7175000000000007E-2</v>
      </c>
      <c r="G32" s="608">
        <v>9.6333333333333323E-3</v>
      </c>
      <c r="I32" s="607">
        <v>2012</v>
      </c>
      <c r="J32" s="608">
        <v>2.6550000000000004E-2</v>
      </c>
      <c r="K32" s="608">
        <v>1.7124999999999998E-2</v>
      </c>
    </row>
    <row r="33" spans="1:11" ht="14.1" customHeight="1" x14ac:dyDescent="0.2">
      <c r="A33" s="607">
        <v>2013</v>
      </c>
      <c r="B33" s="608">
        <v>1.1516666666666668E-2</v>
      </c>
      <c r="C33" s="608">
        <v>2.8333333333333331E-3</v>
      </c>
      <c r="D33" s="609"/>
      <c r="E33" s="607">
        <v>2013</v>
      </c>
      <c r="F33" s="608">
        <v>3.4141666666666674E-2</v>
      </c>
      <c r="G33" s="608">
        <v>7.9583333333333329E-3</v>
      </c>
      <c r="I33" s="607">
        <v>2013</v>
      </c>
      <c r="J33" s="608">
        <v>2.6216666666666666E-2</v>
      </c>
      <c r="K33" s="608">
        <v>1.2783333333333334E-2</v>
      </c>
    </row>
    <row r="34" spans="1:11" ht="14.1" customHeight="1" x14ac:dyDescent="0.2">
      <c r="A34" s="607">
        <v>2014</v>
      </c>
      <c r="B34" s="608">
        <v>1.1491666666666666E-2</v>
      </c>
      <c r="C34" s="608">
        <v>3.7500000000000012E-3</v>
      </c>
      <c r="D34" s="609"/>
      <c r="E34" s="607">
        <v>2014</v>
      </c>
      <c r="F34" s="608">
        <v>3.3774999999999993E-2</v>
      </c>
      <c r="G34" s="608">
        <v>1.2191666666666668E-2</v>
      </c>
      <c r="I34" s="607">
        <v>2014</v>
      </c>
      <c r="J34" s="608">
        <v>2.3691666666666666E-2</v>
      </c>
      <c r="K34" s="608">
        <v>1.7441666666666664E-2</v>
      </c>
    </row>
    <row r="35" spans="1:11" ht="14.1" customHeight="1" x14ac:dyDescent="0.2">
      <c r="A35" s="607">
        <v>2015</v>
      </c>
      <c r="B35" s="608">
        <v>1.1391666666666668E-2</v>
      </c>
      <c r="C35" s="608">
        <v>2.725E-3</v>
      </c>
      <c r="D35" s="609"/>
      <c r="E35" s="607">
        <v>2015</v>
      </c>
      <c r="F35" s="608">
        <v>2.9149999999999995E-2</v>
      </c>
      <c r="G35" s="608">
        <v>1.0116666666666668E-2</v>
      </c>
      <c r="I35" s="607">
        <v>2015</v>
      </c>
      <c r="J35" s="608">
        <v>2.185833333333333E-2</v>
      </c>
      <c r="K35" s="608">
        <v>8.2083333333333331E-3</v>
      </c>
    </row>
    <row r="36" spans="1:11" ht="14.1" customHeight="1" x14ac:dyDescent="0.2">
      <c r="A36" s="607">
        <v>2016</v>
      </c>
      <c r="B36" s="608">
        <v>1.0050000000000002E-2</v>
      </c>
      <c r="C36" s="608">
        <v>2.4166666666666672E-3</v>
      </c>
      <c r="D36" s="609"/>
      <c r="E36" s="607">
        <v>2016</v>
      </c>
      <c r="F36" s="608">
        <v>2.8891666666666663E-2</v>
      </c>
      <c r="G36" s="608">
        <v>4.6749999999999995E-3</v>
      </c>
      <c r="I36" s="607">
        <v>2016</v>
      </c>
      <c r="J36" s="608">
        <v>2.0658333333333331E-2</v>
      </c>
      <c r="K36" s="608">
        <v>1.6375000000000001E-2</v>
      </c>
    </row>
    <row r="37" spans="1:11" s="222" customFormat="1" ht="14.1" customHeight="1" x14ac:dyDescent="0.2">
      <c r="A37" s="610" t="s">
        <v>1075</v>
      </c>
      <c r="B37" s="611">
        <v>1.1499206349206361E-2</v>
      </c>
      <c r="C37" s="611">
        <v>4.3301587301587301E-3</v>
      </c>
      <c r="D37" s="612"/>
      <c r="E37" s="610" t="s">
        <v>1075</v>
      </c>
      <c r="F37" s="611">
        <v>3.4665079365079357E-2</v>
      </c>
      <c r="G37" s="611">
        <v>1.3529365079365079E-2</v>
      </c>
      <c r="I37" s="610" t="s">
        <v>1075</v>
      </c>
      <c r="J37" s="611">
        <v>2.4907936507936507E-2</v>
      </c>
      <c r="K37" s="611">
        <v>1.8603174603174618E-2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C1" sqref="C1"/>
    </sheetView>
  </sheetViews>
  <sheetFormatPr baseColWidth="10" defaultColWidth="11" defaultRowHeight="12" x14ac:dyDescent="0.2"/>
  <cols>
    <col min="1" max="1" width="31.375" style="223" bestFit="1" customWidth="1"/>
    <col min="2" max="5" width="14.875" style="223" customWidth="1"/>
    <col min="6" max="16384" width="11" style="223"/>
  </cols>
  <sheetData>
    <row r="1" spans="1:5" x14ac:dyDescent="0.2">
      <c r="A1" s="222" t="s">
        <v>1079</v>
      </c>
      <c r="B1" s="224"/>
      <c r="C1" s="224"/>
    </row>
    <row r="3" spans="1:5" ht="12.75" customHeight="1" x14ac:dyDescent="0.2">
      <c r="A3" s="225"/>
      <c r="B3" s="404"/>
      <c r="C3" s="226"/>
      <c r="D3" s="226"/>
    </row>
    <row r="4" spans="1:5" ht="12" customHeight="1" x14ac:dyDescent="0.2">
      <c r="A4" s="405"/>
      <c r="B4" s="406" t="s">
        <v>340</v>
      </c>
      <c r="C4" s="406" t="s">
        <v>341</v>
      </c>
      <c r="D4" s="406" t="s">
        <v>342</v>
      </c>
      <c r="E4" s="406" t="s">
        <v>343</v>
      </c>
    </row>
    <row r="5" spans="1:5" ht="12.75" thickBot="1" x14ac:dyDescent="0.25">
      <c r="A5" s="407" t="s">
        <v>258</v>
      </c>
      <c r="B5" s="407">
        <v>2016</v>
      </c>
      <c r="C5" s="408">
        <v>2016</v>
      </c>
      <c r="D5" s="408" t="s">
        <v>1076</v>
      </c>
      <c r="E5" s="408" t="s">
        <v>1076</v>
      </c>
    </row>
    <row r="6" spans="1:5" ht="14.1" customHeight="1" thickTop="1" x14ac:dyDescent="0.2">
      <c r="A6" s="409" t="s">
        <v>210</v>
      </c>
      <c r="B6" s="411">
        <v>0</v>
      </c>
      <c r="C6" s="412">
        <v>0</v>
      </c>
      <c r="D6" s="411">
        <v>0</v>
      </c>
      <c r="E6" s="412">
        <v>0</v>
      </c>
    </row>
    <row r="7" spans="1:5" ht="14.1" customHeight="1" x14ac:dyDescent="0.2">
      <c r="A7" s="409" t="s">
        <v>211</v>
      </c>
      <c r="B7" s="613">
        <v>2.1000000000000003E-3</v>
      </c>
      <c r="C7" s="613">
        <v>1.2500000000000003E-4</v>
      </c>
      <c r="D7" s="613">
        <v>2.099999999999996E-3</v>
      </c>
      <c r="E7" s="613">
        <v>2.0317460317460266E-4</v>
      </c>
    </row>
    <row r="8" spans="1:5" ht="14.1" customHeight="1" x14ac:dyDescent="0.2">
      <c r="A8" s="410" t="s">
        <v>212</v>
      </c>
      <c r="B8" s="613">
        <v>3.5999999999999995E-3</v>
      </c>
      <c r="C8" s="613">
        <v>1.5833333333333335E-4</v>
      </c>
      <c r="D8" s="613">
        <v>3.5952380952380906E-3</v>
      </c>
      <c r="E8" s="613">
        <v>6.5555555555555484E-4</v>
      </c>
    </row>
    <row r="9" spans="1:5" ht="14.1" customHeight="1" x14ac:dyDescent="0.2">
      <c r="A9" s="410" t="s">
        <v>213</v>
      </c>
      <c r="B9" s="613">
        <v>6.1499999999999992E-3</v>
      </c>
      <c r="C9" s="613">
        <v>3.3333333333333327E-4</v>
      </c>
      <c r="D9" s="613">
        <v>6.1476190476190372E-3</v>
      </c>
      <c r="E9" s="613">
        <v>1.2079365079365079E-3</v>
      </c>
    </row>
    <row r="10" spans="1:5" ht="14.1" customHeight="1" x14ac:dyDescent="0.2">
      <c r="A10" s="409" t="s">
        <v>214</v>
      </c>
      <c r="B10" s="613">
        <v>9.4833333333333332E-3</v>
      </c>
      <c r="C10" s="613">
        <v>6.9166666666666671E-4</v>
      </c>
      <c r="D10" s="613">
        <v>9.5349206349206635E-3</v>
      </c>
      <c r="E10" s="613">
        <v>2.4023809523809527E-3</v>
      </c>
    </row>
    <row r="11" spans="1:5" ht="14.1" customHeight="1" x14ac:dyDescent="0.2">
      <c r="A11" s="410" t="s">
        <v>215</v>
      </c>
      <c r="B11" s="613">
        <v>1.6500000000000001E-2</v>
      </c>
      <c r="C11" s="613">
        <v>2.4166666666666664E-3</v>
      </c>
      <c r="D11" s="613">
        <v>1.679206349206348E-2</v>
      </c>
      <c r="E11" s="613">
        <v>5.7103174603174555E-3</v>
      </c>
    </row>
    <row r="12" spans="1:5" ht="14.1" customHeight="1" x14ac:dyDescent="0.2">
      <c r="A12" s="410" t="s">
        <v>216</v>
      </c>
      <c r="B12" s="413">
        <v>3.4708333333333334E-2</v>
      </c>
      <c r="C12" s="613">
        <v>8.4666666666666657E-3</v>
      </c>
      <c r="D12" s="613">
        <v>3.450238095238093E-2</v>
      </c>
      <c r="E12" s="613">
        <v>1.3440476190476202E-2</v>
      </c>
    </row>
    <row r="13" spans="1:5" ht="14.1" customHeight="1" x14ac:dyDescent="0.2">
      <c r="A13" s="409" t="s">
        <v>217</v>
      </c>
      <c r="B13" s="613">
        <v>7.0449999999999999E-2</v>
      </c>
      <c r="C13" s="613">
        <v>2.3591666666666664E-2</v>
      </c>
      <c r="D13" s="613">
        <v>7.0315079365079372E-2</v>
      </c>
      <c r="E13" s="613">
        <v>2.9043650793650795E-2</v>
      </c>
    </row>
    <row r="14" spans="1:5" ht="14.1" customHeight="1" x14ac:dyDescent="0.2">
      <c r="A14" s="410" t="s">
        <v>218</v>
      </c>
      <c r="B14" s="613">
        <v>0.23005833333333336</v>
      </c>
      <c r="C14" s="613">
        <v>8.2224999999999993E-2</v>
      </c>
      <c r="D14" s="613">
        <v>0.21943888888888904</v>
      </c>
      <c r="E14" s="613">
        <v>0.1008349206349206</v>
      </c>
    </row>
    <row r="15" spans="1:5" ht="14.1" customHeight="1" x14ac:dyDescent="0.2">
      <c r="A15" s="561" t="s">
        <v>987</v>
      </c>
      <c r="B15" s="562">
        <v>8.8416666666666661E-3</v>
      </c>
      <c r="C15" s="563">
        <v>1.7500000000000005E-3</v>
      </c>
      <c r="D15" s="564">
        <v>9.7071428571428673E-3</v>
      </c>
      <c r="E15" s="564">
        <v>3.197619047619052E-3</v>
      </c>
    </row>
    <row r="18" spans="1:5" x14ac:dyDescent="0.2">
      <c r="B18" s="406" t="s">
        <v>344</v>
      </c>
      <c r="C18" s="406" t="s">
        <v>345</v>
      </c>
      <c r="D18" s="406" t="s">
        <v>346</v>
      </c>
      <c r="E18" s="406" t="s">
        <v>347</v>
      </c>
    </row>
    <row r="19" spans="1:5" ht="12.75" thickBot="1" x14ac:dyDescent="0.25">
      <c r="A19" s="407" t="s">
        <v>348</v>
      </c>
      <c r="B19" s="407">
        <v>2016</v>
      </c>
      <c r="C19" s="408">
        <v>2016</v>
      </c>
      <c r="D19" s="408" t="s">
        <v>1076</v>
      </c>
      <c r="E19" s="408" t="s">
        <v>1076</v>
      </c>
    </row>
    <row r="20" spans="1:5" ht="14.1" customHeight="1" thickTop="1" x14ac:dyDescent="0.2">
      <c r="A20" s="410" t="s">
        <v>210</v>
      </c>
      <c r="B20" s="413">
        <v>0</v>
      </c>
      <c r="C20" s="412">
        <v>0</v>
      </c>
      <c r="D20" s="414">
        <v>0</v>
      </c>
      <c r="E20" s="414">
        <v>0</v>
      </c>
    </row>
    <row r="21" spans="1:5" ht="14.1" customHeight="1" x14ac:dyDescent="0.2">
      <c r="A21" s="410" t="s">
        <v>211</v>
      </c>
      <c r="B21" s="413">
        <v>0</v>
      </c>
      <c r="C21" s="412">
        <v>0</v>
      </c>
      <c r="D21" s="613">
        <v>2.4442622950819693E-3</v>
      </c>
      <c r="E21" s="613">
        <v>0</v>
      </c>
    </row>
    <row r="22" spans="1:5" ht="14.1" customHeight="1" x14ac:dyDescent="0.2">
      <c r="A22" s="410" t="s">
        <v>212</v>
      </c>
      <c r="B22" s="613">
        <v>4.1000000000000003E-3</v>
      </c>
      <c r="C22" s="613">
        <v>0</v>
      </c>
      <c r="D22" s="613">
        <v>4.080952380952377E-3</v>
      </c>
      <c r="E22" s="613">
        <v>2.7539682539682534E-4</v>
      </c>
    </row>
    <row r="23" spans="1:5" ht="14.1" customHeight="1" x14ac:dyDescent="0.2">
      <c r="A23" s="410" t="s">
        <v>213</v>
      </c>
      <c r="B23" s="613">
        <v>6.1000000000000004E-3</v>
      </c>
      <c r="C23" s="613">
        <v>3.5833333333333333E-4</v>
      </c>
      <c r="D23" s="613">
        <v>6.1650793650793586E-3</v>
      </c>
      <c r="E23" s="613">
        <v>8.0873015873015794E-4</v>
      </c>
    </row>
    <row r="24" spans="1:5" ht="14.1" customHeight="1" x14ac:dyDescent="0.2">
      <c r="A24" s="409" t="s">
        <v>214</v>
      </c>
      <c r="B24" s="613">
        <v>9.6416666666666647E-3</v>
      </c>
      <c r="C24" s="613">
        <v>1.5583333333333332E-3</v>
      </c>
      <c r="D24" s="613">
        <v>9.7277777777778004E-3</v>
      </c>
      <c r="E24" s="613">
        <v>2.5634920634920633E-3</v>
      </c>
    </row>
    <row r="25" spans="1:5" ht="14.1" customHeight="1" x14ac:dyDescent="0.2">
      <c r="A25" s="410" t="s">
        <v>215</v>
      </c>
      <c r="B25" s="613">
        <v>1.7366666666666669E-2</v>
      </c>
      <c r="C25" s="613">
        <v>4.3416666666666664E-3</v>
      </c>
      <c r="D25" s="613">
        <v>1.7715873015873053E-2</v>
      </c>
      <c r="E25" s="613">
        <v>7.5222222222222183E-3</v>
      </c>
    </row>
    <row r="26" spans="1:5" ht="14.1" customHeight="1" x14ac:dyDescent="0.2">
      <c r="A26" s="410" t="s">
        <v>216</v>
      </c>
      <c r="B26" s="613">
        <v>3.4341666666666666E-2</v>
      </c>
      <c r="C26" s="613">
        <v>9.0916666666666663E-3</v>
      </c>
      <c r="D26" s="613">
        <v>3.495238095238095E-2</v>
      </c>
      <c r="E26" s="613">
        <v>1.7985714285714282E-2</v>
      </c>
    </row>
    <row r="27" spans="1:5" ht="14.1" customHeight="1" x14ac:dyDescent="0.2">
      <c r="A27" s="409" t="s">
        <v>217</v>
      </c>
      <c r="B27" s="613">
        <v>6.9883333333333325E-2</v>
      </c>
      <c r="C27" s="613">
        <v>2.0716666666666668E-2</v>
      </c>
      <c r="D27" s="613">
        <v>6.9402380952381007E-2</v>
      </c>
      <c r="E27" s="613">
        <v>3.6388095238095268E-2</v>
      </c>
    </row>
    <row r="28" spans="1:5" ht="14.1" customHeight="1" x14ac:dyDescent="0.2">
      <c r="A28" s="410" t="s">
        <v>218</v>
      </c>
      <c r="B28" s="613">
        <v>0.23276666666666671</v>
      </c>
      <c r="C28" s="613">
        <v>0.11570000000000001</v>
      </c>
      <c r="D28" s="613">
        <v>0.21960476190476186</v>
      </c>
      <c r="E28" s="613">
        <v>0.13430555555555554</v>
      </c>
    </row>
    <row r="29" spans="1:5" ht="14.1" customHeight="1" x14ac:dyDescent="0.2">
      <c r="A29" s="565" t="s">
        <v>283</v>
      </c>
      <c r="B29" s="562">
        <v>2.3908333333333334E-2</v>
      </c>
      <c r="C29" s="563">
        <v>8.4250000000000019E-3</v>
      </c>
      <c r="D29" s="564">
        <v>3.444285714285715E-2</v>
      </c>
      <c r="E29" s="564">
        <v>1.8315873015873001E-2</v>
      </c>
    </row>
    <row r="33" spans="1:5" x14ac:dyDescent="0.2">
      <c r="B33" s="406" t="s">
        <v>349</v>
      </c>
      <c r="C33" s="406" t="s">
        <v>350</v>
      </c>
      <c r="D33" s="406" t="s">
        <v>351</v>
      </c>
      <c r="E33" s="406" t="s">
        <v>352</v>
      </c>
    </row>
    <row r="34" spans="1:5" ht="12.75" thickBot="1" x14ac:dyDescent="0.25">
      <c r="A34" s="407" t="s">
        <v>353</v>
      </c>
      <c r="B34" s="407">
        <v>2016</v>
      </c>
      <c r="C34" s="408">
        <v>2016</v>
      </c>
      <c r="D34" s="408" t="s">
        <v>1076</v>
      </c>
      <c r="E34" s="408" t="s">
        <v>1076</v>
      </c>
    </row>
    <row r="35" spans="1:5" ht="14.1" customHeight="1" thickTop="1" x14ac:dyDescent="0.2">
      <c r="A35" s="409" t="s">
        <v>210</v>
      </c>
      <c r="B35" s="613">
        <v>9.5833333333333328E-4</v>
      </c>
      <c r="C35" s="613">
        <v>0</v>
      </c>
      <c r="D35" s="613">
        <v>8.8877551020408185E-4</v>
      </c>
      <c r="E35" s="613">
        <v>0</v>
      </c>
    </row>
    <row r="36" spans="1:5" ht="14.1" customHeight="1" x14ac:dyDescent="0.2">
      <c r="A36" s="409" t="s">
        <v>211</v>
      </c>
      <c r="B36" s="613">
        <v>2.2583333333333335E-3</v>
      </c>
      <c r="C36" s="613">
        <v>0</v>
      </c>
      <c r="D36" s="613">
        <v>2.2444444444444465E-3</v>
      </c>
      <c r="E36" s="613">
        <v>0</v>
      </c>
    </row>
    <row r="37" spans="1:5" ht="14.1" customHeight="1" x14ac:dyDescent="0.2">
      <c r="A37" s="410" t="s">
        <v>212</v>
      </c>
      <c r="B37" s="613">
        <v>3.7000000000000015E-3</v>
      </c>
      <c r="C37" s="613">
        <v>0</v>
      </c>
      <c r="D37" s="613">
        <v>3.7134920634920568E-3</v>
      </c>
      <c r="E37" s="613">
        <v>8.3492063492063479E-4</v>
      </c>
    </row>
    <row r="38" spans="1:5" ht="14.1" customHeight="1" x14ac:dyDescent="0.2">
      <c r="A38" s="410" t="s">
        <v>213</v>
      </c>
      <c r="B38" s="613">
        <v>6.1666666666666667E-3</v>
      </c>
      <c r="C38" s="613">
        <v>1.0583333333333332E-3</v>
      </c>
      <c r="D38" s="613">
        <v>6.187301587301579E-3</v>
      </c>
      <c r="E38" s="613">
        <v>2.9888888888888916E-3</v>
      </c>
    </row>
    <row r="39" spans="1:5" ht="14.1" customHeight="1" x14ac:dyDescent="0.2">
      <c r="A39" s="409" t="s">
        <v>214</v>
      </c>
      <c r="B39" s="613">
        <v>9.6833333333333337E-3</v>
      </c>
      <c r="C39" s="613">
        <v>6.6916666666666661E-3</v>
      </c>
      <c r="D39" s="613">
        <v>9.7468253968254117E-3</v>
      </c>
      <c r="E39" s="613">
        <v>5.7984126984126968E-3</v>
      </c>
    </row>
    <row r="40" spans="1:5" ht="14.1" customHeight="1" x14ac:dyDescent="0.2">
      <c r="A40" s="410" t="s">
        <v>215</v>
      </c>
      <c r="B40" s="613">
        <v>1.7724999999999998E-2</v>
      </c>
      <c r="C40" s="613">
        <v>9.3583333333333331E-3</v>
      </c>
      <c r="D40" s="613">
        <v>1.771349206349207E-2</v>
      </c>
      <c r="E40" s="613">
        <v>1.2061904761904758E-2</v>
      </c>
    </row>
    <row r="41" spans="1:5" ht="14.1" customHeight="1" x14ac:dyDescent="0.2">
      <c r="A41" s="410" t="s">
        <v>216</v>
      </c>
      <c r="B41" s="613">
        <v>3.5475E-2</v>
      </c>
      <c r="C41" s="613">
        <v>1.799166666666667E-2</v>
      </c>
      <c r="D41" s="613">
        <v>3.5396825396825392E-2</v>
      </c>
      <c r="E41" s="613">
        <v>2.1365079365079368E-2</v>
      </c>
    </row>
    <row r="42" spans="1:5" ht="14.1" customHeight="1" x14ac:dyDescent="0.2">
      <c r="A42" s="409" t="s">
        <v>217</v>
      </c>
      <c r="B42" s="613">
        <v>6.9741666666666674E-2</v>
      </c>
      <c r="C42" s="613">
        <v>4.1975000000000005E-2</v>
      </c>
      <c r="D42" s="613">
        <v>7.036111111111111E-2</v>
      </c>
      <c r="E42" s="613">
        <v>3.9826190476190501E-2</v>
      </c>
    </row>
    <row r="43" spans="1:5" ht="14.1" customHeight="1" x14ac:dyDescent="0.2">
      <c r="A43" s="410" t="s">
        <v>218</v>
      </c>
      <c r="B43" s="613">
        <v>0.15898333333333334</v>
      </c>
      <c r="C43" s="613">
        <v>0.10493333333333332</v>
      </c>
      <c r="D43" s="613">
        <v>0.1605833333333333</v>
      </c>
      <c r="E43" s="613">
        <v>0.12619999999999998</v>
      </c>
    </row>
    <row r="44" spans="1:5" ht="14.1" customHeight="1" x14ac:dyDescent="0.2">
      <c r="A44" s="565" t="s">
        <v>284</v>
      </c>
      <c r="B44" s="562">
        <v>2.9849999999999998E-2</v>
      </c>
      <c r="C44" s="563">
        <v>1.7258333333333334E-2</v>
      </c>
      <c r="D44" s="564">
        <v>3.1495238095238097E-2</v>
      </c>
      <c r="E44" s="564">
        <v>2.1104761904761907E-2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0"/>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x14ac:dyDescent="0.2">
      <c r="A1" s="89" t="s">
        <v>428</v>
      </c>
    </row>
    <row r="2" spans="1:5" x14ac:dyDescent="0.2">
      <c r="A2" s="523" t="s">
        <v>908</v>
      </c>
    </row>
    <row r="3" spans="1:5" s="290" customFormat="1" x14ac:dyDescent="0.2">
      <c r="A3" s="81"/>
    </row>
    <row r="4" spans="1:5" s="349" customFormat="1" x14ac:dyDescent="0.2">
      <c r="A4" s="90" t="s">
        <v>429</v>
      </c>
    </row>
    <row r="5" spans="1:5" s="349" customFormat="1" ht="12.75" thickBot="1" x14ac:dyDescent="0.25">
      <c r="A5" s="419" t="s">
        <v>1150</v>
      </c>
      <c r="B5" s="92" t="s">
        <v>430</v>
      </c>
      <c r="C5" s="92" t="s">
        <v>431</v>
      </c>
      <c r="D5" s="92" t="s">
        <v>432</v>
      </c>
      <c r="E5" s="93" t="s">
        <v>433</v>
      </c>
    </row>
    <row r="6" spans="1:5" s="349" customFormat="1" x14ac:dyDescent="0.2">
      <c r="A6" s="94" t="s">
        <v>434</v>
      </c>
      <c r="B6" s="94"/>
      <c r="C6" s="94"/>
      <c r="D6" s="94"/>
      <c r="E6" s="94"/>
    </row>
    <row r="7" spans="1:5" s="349" customFormat="1" x14ac:dyDescent="0.2">
      <c r="A7" s="81" t="s">
        <v>436</v>
      </c>
      <c r="B7" s="86">
        <v>150</v>
      </c>
      <c r="C7" s="86">
        <v>97205</v>
      </c>
      <c r="D7" s="95">
        <v>1</v>
      </c>
      <c r="E7" s="96" t="s">
        <v>447</v>
      </c>
    </row>
    <row r="8" spans="1:5" s="349" customFormat="1" x14ac:dyDescent="0.2">
      <c r="A8" s="15" t="s">
        <v>437</v>
      </c>
      <c r="B8" s="86">
        <v>4700</v>
      </c>
      <c r="C8" s="86">
        <v>224225</v>
      </c>
      <c r="D8" s="95">
        <v>1</v>
      </c>
      <c r="E8" s="96" t="s">
        <v>447</v>
      </c>
    </row>
    <row r="9" spans="1:5" s="349" customFormat="1" x14ac:dyDescent="0.2">
      <c r="A9" s="15" t="s">
        <v>438</v>
      </c>
      <c r="B9" s="86">
        <v>6000</v>
      </c>
      <c r="C9" s="86">
        <v>29018</v>
      </c>
      <c r="D9" s="95">
        <v>1</v>
      </c>
      <c r="E9" s="96" t="s">
        <v>447</v>
      </c>
    </row>
    <row r="10" spans="1:5" s="349" customFormat="1" x14ac:dyDescent="0.2">
      <c r="A10" s="15" t="s">
        <v>919</v>
      </c>
      <c r="B10" s="311">
        <v>9000</v>
      </c>
      <c r="C10" s="86">
        <v>80125</v>
      </c>
      <c r="D10" s="95">
        <v>1</v>
      </c>
      <c r="E10" s="96" t="s">
        <v>447</v>
      </c>
    </row>
    <row r="11" spans="1:5" s="349" customFormat="1" x14ac:dyDescent="0.2">
      <c r="A11" s="15" t="s">
        <v>439</v>
      </c>
      <c r="B11" s="86">
        <v>90000</v>
      </c>
      <c r="C11" s="86">
        <v>184382</v>
      </c>
      <c r="D11" s="95">
        <v>1</v>
      </c>
      <c r="E11" s="96" t="s">
        <v>447</v>
      </c>
    </row>
    <row r="12" spans="1:5" s="349" customFormat="1" x14ac:dyDescent="0.2">
      <c r="A12" s="15" t="s">
        <v>440</v>
      </c>
      <c r="B12" s="86">
        <v>8000</v>
      </c>
      <c r="C12" s="86">
        <v>258016</v>
      </c>
      <c r="D12" s="95">
        <v>1</v>
      </c>
      <c r="E12" s="96" t="s">
        <v>447</v>
      </c>
    </row>
    <row r="13" spans="1:5" s="349" customFormat="1" x14ac:dyDescent="0.2">
      <c r="A13" s="15" t="s">
        <v>920</v>
      </c>
      <c r="B13" s="311">
        <v>3025000</v>
      </c>
      <c r="C13" s="86">
        <v>3025150</v>
      </c>
      <c r="D13" s="95">
        <v>1</v>
      </c>
      <c r="E13" s="96" t="s">
        <v>447</v>
      </c>
    </row>
    <row r="14" spans="1:5" s="349" customFormat="1" x14ac:dyDescent="0.2">
      <c r="A14" s="99" t="s">
        <v>441</v>
      </c>
      <c r="B14" s="100"/>
      <c r="C14" s="100">
        <f>SUM(C7:C13)</f>
        <v>3898121</v>
      </c>
      <c r="D14" s="101"/>
      <c r="E14" s="102"/>
    </row>
    <row r="15" spans="1:5" s="349" customFormat="1" x14ac:dyDescent="0.2">
      <c r="A15" s="81"/>
    </row>
    <row r="16" spans="1:5" s="290" customFormat="1" x14ac:dyDescent="0.2">
      <c r="A16" s="90" t="s">
        <v>442</v>
      </c>
    </row>
    <row r="17" spans="1:10" s="290" customFormat="1" ht="12.75" thickBot="1" x14ac:dyDescent="0.25">
      <c r="A17" s="419" t="s">
        <v>1150</v>
      </c>
      <c r="B17" s="92" t="s">
        <v>443</v>
      </c>
      <c r="C17" s="92" t="s">
        <v>444</v>
      </c>
      <c r="D17" s="92" t="s">
        <v>445</v>
      </c>
      <c r="E17" s="93" t="s">
        <v>446</v>
      </c>
    </row>
    <row r="18" spans="1:10" s="290" customFormat="1" x14ac:dyDescent="0.2">
      <c r="A18" s="94" t="s">
        <v>434</v>
      </c>
      <c r="B18" s="94"/>
      <c r="C18" s="94"/>
      <c r="D18" s="94"/>
      <c r="E18" s="94"/>
    </row>
    <row r="19" spans="1:10" s="290" customFormat="1" ht="12" customHeight="1" x14ac:dyDescent="0.2">
      <c r="A19" s="15" t="s">
        <v>435</v>
      </c>
      <c r="B19" s="86">
        <v>334000</v>
      </c>
      <c r="C19" s="86">
        <v>883228</v>
      </c>
      <c r="D19" s="95">
        <v>1</v>
      </c>
      <c r="E19" s="96" t="s">
        <v>447</v>
      </c>
    </row>
    <row r="20" spans="1:10" s="290" customFormat="1" ht="12" customHeight="1" x14ac:dyDescent="0.2">
      <c r="A20" s="81" t="s">
        <v>436</v>
      </c>
      <c r="B20" s="86">
        <v>150</v>
      </c>
      <c r="C20" s="86">
        <v>97205</v>
      </c>
      <c r="D20" s="95">
        <v>1</v>
      </c>
      <c r="E20" s="96" t="s">
        <v>448</v>
      </c>
    </row>
    <row r="21" spans="1:10" s="290" customFormat="1" x14ac:dyDescent="0.2">
      <c r="A21" s="15" t="s">
        <v>437</v>
      </c>
      <c r="B21" s="86">
        <v>3500</v>
      </c>
      <c r="C21" s="86">
        <v>164225</v>
      </c>
      <c r="D21" s="95">
        <v>1</v>
      </c>
      <c r="E21" s="96" t="s">
        <v>449</v>
      </c>
    </row>
    <row r="22" spans="1:10" s="290" customFormat="1" x14ac:dyDescent="0.2">
      <c r="A22" s="15" t="s">
        <v>438</v>
      </c>
      <c r="B22" s="86">
        <v>6000</v>
      </c>
      <c r="C22" s="86">
        <v>29018</v>
      </c>
      <c r="D22" s="95">
        <v>1</v>
      </c>
      <c r="E22" s="96" t="s">
        <v>450</v>
      </c>
    </row>
    <row r="23" spans="1:10" s="290" customFormat="1" x14ac:dyDescent="0.2">
      <c r="A23" s="15" t="s">
        <v>919</v>
      </c>
      <c r="B23" s="311">
        <v>8000</v>
      </c>
      <c r="C23" s="86">
        <v>70125</v>
      </c>
      <c r="D23" s="95">
        <v>1</v>
      </c>
      <c r="E23" s="96" t="s">
        <v>451</v>
      </c>
    </row>
    <row r="24" spans="1:10" s="290" customFormat="1" x14ac:dyDescent="0.2">
      <c r="A24" s="15" t="s">
        <v>439</v>
      </c>
      <c r="B24" s="86">
        <v>90000</v>
      </c>
      <c r="C24" s="86">
        <v>186246</v>
      </c>
      <c r="D24" s="95">
        <v>1</v>
      </c>
      <c r="E24" s="96" t="s">
        <v>452</v>
      </c>
    </row>
    <row r="25" spans="1:10" s="290" customFormat="1" x14ac:dyDescent="0.2">
      <c r="A25" s="15" t="s">
        <v>440</v>
      </c>
      <c r="B25" s="86">
        <v>8000</v>
      </c>
      <c r="C25" s="86">
        <v>258016</v>
      </c>
      <c r="D25" s="95">
        <v>1</v>
      </c>
      <c r="E25" s="96" t="s">
        <v>453</v>
      </c>
    </row>
    <row r="26" spans="1:10" s="290" customFormat="1" x14ac:dyDescent="0.2">
      <c r="A26" s="15" t="s">
        <v>920</v>
      </c>
      <c r="B26" s="311">
        <v>3025000</v>
      </c>
      <c r="C26" s="86">
        <v>2025150</v>
      </c>
      <c r="D26" s="95">
        <v>1</v>
      </c>
      <c r="E26" s="96" t="s">
        <v>454</v>
      </c>
    </row>
    <row r="27" spans="1:10" s="290" customFormat="1" x14ac:dyDescent="0.2">
      <c r="A27" s="99" t="s">
        <v>455</v>
      </c>
      <c r="B27" s="100"/>
      <c r="C27" s="100">
        <f>SUM(C19:C26)</f>
        <v>3713213</v>
      </c>
      <c r="D27" s="101"/>
      <c r="E27" s="102"/>
    </row>
    <row r="28" spans="1:10" hidden="1" x14ac:dyDescent="0.2">
      <c r="A28" s="15"/>
      <c r="B28" s="85"/>
      <c r="C28" s="85"/>
      <c r="D28" s="95"/>
      <c r="E28" s="15"/>
      <c r="F28" s="15"/>
    </row>
    <row r="29" spans="1:10" hidden="1" x14ac:dyDescent="0.2">
      <c r="A29" s="15"/>
      <c r="B29" s="85"/>
      <c r="C29" s="85"/>
      <c r="D29" s="95"/>
      <c r="E29" s="15"/>
      <c r="F29" s="15"/>
      <c r="J29" s="15"/>
    </row>
    <row r="30" spans="1:10" hidden="1" x14ac:dyDescent="0.2">
      <c r="F30" s="15"/>
    </row>
    <row r="31" spans="1:10" x14ac:dyDescent="0.2">
      <c r="A31" s="15"/>
      <c r="B31" s="85"/>
      <c r="C31" s="85"/>
      <c r="D31" s="95"/>
      <c r="E31" s="15"/>
      <c r="F31" s="15"/>
    </row>
    <row r="32" spans="1:10" x14ac:dyDescent="0.2">
      <c r="A32" s="425" t="s">
        <v>881</v>
      </c>
      <c r="B32" s="85"/>
      <c r="C32" s="85"/>
      <c r="D32" s="95"/>
      <c r="E32" s="15"/>
      <c r="F32" s="15"/>
    </row>
    <row r="33" spans="1:6" s="350" customFormat="1" x14ac:dyDescent="0.2">
      <c r="A33" s="15"/>
      <c r="B33" s="85"/>
      <c r="C33" s="85"/>
      <c r="D33" s="95"/>
      <c r="E33" s="15"/>
      <c r="F33" s="15"/>
    </row>
    <row r="34" spans="1:6" x14ac:dyDescent="0.2">
      <c r="C34" s="85"/>
      <c r="D34" s="95"/>
      <c r="E34" s="15"/>
      <c r="F34" s="15"/>
    </row>
    <row r="35" spans="1:6" x14ac:dyDescent="0.2">
      <c r="A35" s="545" t="s">
        <v>971</v>
      </c>
      <c r="B35" s="85"/>
      <c r="C35" s="85"/>
      <c r="D35" s="95"/>
      <c r="E35" s="15"/>
      <c r="F35" s="15"/>
    </row>
    <row r="36" spans="1:6" x14ac:dyDescent="0.2">
      <c r="B36" s="85"/>
      <c r="C36" s="85"/>
      <c r="D36" s="95"/>
      <c r="E36" s="15"/>
      <c r="F36" s="15"/>
    </row>
    <row r="37" spans="1:6" s="350" customFormat="1" ht="12.75" customHeight="1" x14ac:dyDescent="0.2">
      <c r="B37" s="633" t="s">
        <v>1151</v>
      </c>
      <c r="C37" s="680" t="s">
        <v>1063</v>
      </c>
      <c r="D37" s="680"/>
    </row>
    <row r="38" spans="1:6" ht="24.75" thickBot="1" x14ac:dyDescent="0.25">
      <c r="A38" s="1" t="s">
        <v>456</v>
      </c>
      <c r="B38" s="366" t="s">
        <v>457</v>
      </c>
      <c r="C38" s="617" t="s">
        <v>1098</v>
      </c>
      <c r="D38" s="544" t="s">
        <v>458</v>
      </c>
    </row>
    <row r="39" spans="1:6" x14ac:dyDescent="0.2">
      <c r="A39" s="350" t="s">
        <v>459</v>
      </c>
      <c r="B39" s="361">
        <v>19</v>
      </c>
      <c r="C39" s="84">
        <v>1078</v>
      </c>
      <c r="D39" s="635">
        <v>17</v>
      </c>
    </row>
    <row r="40" spans="1:6" x14ac:dyDescent="0.2">
      <c r="A40" s="15" t="s">
        <v>460</v>
      </c>
      <c r="B40" s="361">
        <v>83</v>
      </c>
      <c r="C40" s="84">
        <v>6553</v>
      </c>
      <c r="D40" s="18">
        <v>71</v>
      </c>
    </row>
    <row r="41" spans="1:6" x14ac:dyDescent="0.2">
      <c r="A41" s="20" t="s">
        <v>461</v>
      </c>
      <c r="B41" s="367">
        <v>22.43</v>
      </c>
      <c r="C41" s="525">
        <v>16.45</v>
      </c>
      <c r="D41" s="525">
        <v>24.71</v>
      </c>
    </row>
    <row r="42" spans="1:6" x14ac:dyDescent="0.2">
      <c r="A42" s="15"/>
      <c r="B42" s="85"/>
      <c r="C42" s="85"/>
      <c r="D42" s="95"/>
      <c r="E42" s="15"/>
      <c r="F42" s="15"/>
    </row>
    <row r="43" spans="1:6" x14ac:dyDescent="0.2">
      <c r="B43" s="15"/>
      <c r="D43" s="95"/>
      <c r="E43" s="15"/>
      <c r="F43" s="15"/>
    </row>
    <row r="44" spans="1:6" x14ac:dyDescent="0.2">
      <c r="A44" s="14" t="s">
        <v>972</v>
      </c>
      <c r="B44" s="85"/>
    </row>
    <row r="45" spans="1:6" x14ac:dyDescent="0.2">
      <c r="A45" s="350"/>
      <c r="B45" s="85"/>
    </row>
    <row r="46" spans="1:6" x14ac:dyDescent="0.2">
      <c r="A46" s="350"/>
      <c r="B46" s="546" t="s">
        <v>1151</v>
      </c>
      <c r="C46" s="546" t="s">
        <v>1063</v>
      </c>
    </row>
    <row r="47" spans="1:6" ht="13.5" customHeight="1" thickBot="1" x14ac:dyDescent="0.25">
      <c r="A47" s="1" t="s">
        <v>7</v>
      </c>
      <c r="B47" s="679" t="s">
        <v>945</v>
      </c>
      <c r="C47" s="679"/>
    </row>
    <row r="48" spans="1:6" x14ac:dyDescent="0.2">
      <c r="A48" s="350" t="s">
        <v>459</v>
      </c>
      <c r="B48" s="361">
        <v>2970</v>
      </c>
      <c r="C48" s="84">
        <v>1974</v>
      </c>
    </row>
    <row r="49" spans="1:3" x14ac:dyDescent="0.2">
      <c r="A49" s="15" t="s">
        <v>460</v>
      </c>
      <c r="B49" s="361">
        <v>14820</v>
      </c>
      <c r="C49" s="84">
        <v>12089</v>
      </c>
    </row>
    <row r="50" spans="1:3" x14ac:dyDescent="0.2">
      <c r="A50" s="20" t="s">
        <v>461</v>
      </c>
      <c r="B50" s="363">
        <v>20.04</v>
      </c>
      <c r="C50" s="362">
        <v>16.329999999999998</v>
      </c>
    </row>
  </sheetData>
  <mergeCells count="2">
    <mergeCell ref="B47:C47"/>
    <mergeCell ref="C37:D37"/>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A25" sqref="A25"/>
    </sheetView>
  </sheetViews>
  <sheetFormatPr baseColWidth="10" defaultColWidth="11" defaultRowHeight="12" x14ac:dyDescent="0.2"/>
  <cols>
    <col min="1" max="1" width="30.375" style="223" customWidth="1"/>
    <col min="2" max="5" width="13.875" style="223" customWidth="1"/>
    <col min="6" max="16384" width="11" style="223"/>
  </cols>
  <sheetData>
    <row r="1" spans="1:7" x14ac:dyDescent="0.2">
      <c r="A1" s="566" t="s">
        <v>988</v>
      </c>
      <c r="B1" s="224"/>
      <c r="C1" s="224"/>
      <c r="E1" s="350"/>
      <c r="G1" s="17"/>
    </row>
    <row r="2" spans="1:7" x14ac:dyDescent="0.2">
      <c r="E2" s="350"/>
      <c r="G2" s="17"/>
    </row>
    <row r="3" spans="1:7" ht="12.75" customHeight="1" x14ac:dyDescent="0.2">
      <c r="A3" s="225"/>
      <c r="B3" s="228"/>
      <c r="C3" s="226"/>
      <c r="D3" s="226"/>
    </row>
    <row r="4" spans="1:7" ht="12" customHeight="1" x14ac:dyDescent="0.2">
      <c r="B4" s="398" t="s">
        <v>174</v>
      </c>
      <c r="C4" s="398" t="s">
        <v>175</v>
      </c>
      <c r="D4" s="398" t="s">
        <v>176</v>
      </c>
      <c r="E4" s="398" t="s">
        <v>177</v>
      </c>
    </row>
    <row r="5" spans="1:7" ht="12" customHeight="1" thickBot="1" x14ac:dyDescent="0.25">
      <c r="A5" s="397" t="s">
        <v>178</v>
      </c>
      <c r="B5" s="397">
        <v>2015</v>
      </c>
      <c r="C5" s="396">
        <v>2015</v>
      </c>
      <c r="D5" s="396" t="s">
        <v>986</v>
      </c>
      <c r="E5" s="396" t="s">
        <v>986</v>
      </c>
    </row>
    <row r="6" spans="1:7" ht="12.75" customHeight="1" thickTop="1" x14ac:dyDescent="0.2">
      <c r="A6" s="401" t="s">
        <v>179</v>
      </c>
      <c r="B6" s="399">
        <v>0.2</v>
      </c>
      <c r="C6" s="400">
        <v>5.9749999999999995E-5</v>
      </c>
      <c r="D6" s="399">
        <v>0.2</v>
      </c>
      <c r="E6" s="400">
        <v>3.1681453703703705E-2</v>
      </c>
    </row>
    <row r="7" spans="1:7" ht="12.75" customHeight="1" x14ac:dyDescent="0.2">
      <c r="A7" s="401" t="s">
        <v>180</v>
      </c>
      <c r="B7" s="402">
        <v>0.221</v>
      </c>
      <c r="C7" s="400">
        <v>5.9579999999999998E-3</v>
      </c>
      <c r="D7" s="403">
        <v>0.21480714285714289</v>
      </c>
      <c r="E7" s="403">
        <v>0.10336780952380953</v>
      </c>
    </row>
    <row r="8" spans="1:7" ht="12.75" customHeight="1" x14ac:dyDescent="0.2">
      <c r="A8" s="401" t="s">
        <v>181</v>
      </c>
      <c r="B8" s="402">
        <v>0.43587999999999999</v>
      </c>
      <c r="C8" s="400">
        <v>0.31018333333333337</v>
      </c>
      <c r="D8" s="403">
        <v>0.56411453703703696</v>
      </c>
      <c r="E8" s="403">
        <v>0.2494790740740741</v>
      </c>
    </row>
    <row r="10" spans="1:7" x14ac:dyDescent="0.2">
      <c r="A10" s="223" t="s">
        <v>1080</v>
      </c>
    </row>
    <row r="13" spans="1:7" x14ac:dyDescent="0.2">
      <c r="A13" s="566" t="s">
        <v>989</v>
      </c>
    </row>
    <row r="15" spans="1:7" x14ac:dyDescent="0.2">
      <c r="B15" s="398" t="s">
        <v>174</v>
      </c>
      <c r="C15" s="398" t="s">
        <v>175</v>
      </c>
      <c r="D15" s="398" t="s">
        <v>174</v>
      </c>
      <c r="E15" s="398" t="s">
        <v>175</v>
      </c>
    </row>
    <row r="16" spans="1:7" ht="12.75" thickBot="1" x14ac:dyDescent="0.25">
      <c r="A16" s="397" t="s">
        <v>178</v>
      </c>
      <c r="B16" s="397">
        <v>2015</v>
      </c>
      <c r="C16" s="396">
        <v>2015</v>
      </c>
      <c r="D16" s="396" t="s">
        <v>986</v>
      </c>
      <c r="E16" s="396" t="s">
        <v>986</v>
      </c>
    </row>
    <row r="17" spans="1:5" ht="12.75" customHeight="1" thickTop="1" x14ac:dyDescent="0.2">
      <c r="A17" s="401" t="s">
        <v>179</v>
      </c>
      <c r="B17" s="399">
        <v>0.2</v>
      </c>
      <c r="C17" s="400">
        <v>1.1949999999999999E-4</v>
      </c>
      <c r="D17" s="399">
        <v>0.2</v>
      </c>
      <c r="E17" s="400">
        <v>3.2358564814814812E-2</v>
      </c>
    </row>
    <row r="18" spans="1:5" ht="12.75" customHeight="1" x14ac:dyDescent="0.2">
      <c r="A18" s="401" t="s">
        <v>180</v>
      </c>
      <c r="B18" s="402">
        <v>0.20144999999999999</v>
      </c>
      <c r="C18" s="400">
        <v>5.5442500000000006E-3</v>
      </c>
      <c r="D18" s="403">
        <v>0.21955499999999997</v>
      </c>
      <c r="E18" s="403">
        <v>0.10467072619047621</v>
      </c>
    </row>
    <row r="19" spans="1:5" ht="12.75" customHeight="1" x14ac:dyDescent="0.2">
      <c r="A19" s="401" t="s">
        <v>181</v>
      </c>
      <c r="B19" s="402">
        <v>0.4837413333333333</v>
      </c>
      <c r="C19" s="400">
        <v>0.30850666666666665</v>
      </c>
      <c r="D19" s="403">
        <v>0.53495636111111122</v>
      </c>
      <c r="E19" s="403">
        <v>0.1885526111111111</v>
      </c>
    </row>
    <row r="22" spans="1:5" x14ac:dyDescent="0.2">
      <c r="A22" s="223" t="s">
        <v>1081</v>
      </c>
    </row>
    <row r="24" spans="1:5" x14ac:dyDescent="0.2">
      <c r="A24" s="223" t="s">
        <v>1105</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baseColWidth="10" defaultRowHeight="12.75" x14ac:dyDescent="0.2"/>
  <cols>
    <col min="4" max="4" width="4.375" customWidth="1"/>
  </cols>
  <sheetData>
    <row r="1" spans="1:7" x14ac:dyDescent="0.2">
      <c r="A1" s="222" t="s">
        <v>1100</v>
      </c>
      <c r="B1" s="223"/>
      <c r="C1" s="224"/>
      <c r="D1" s="223"/>
      <c r="E1" s="223"/>
      <c r="F1" s="31"/>
      <c r="G1" s="31"/>
    </row>
    <row r="2" spans="1:7" x14ac:dyDescent="0.2">
      <c r="A2" s="223"/>
      <c r="B2" s="223"/>
      <c r="C2" s="223"/>
      <c r="D2" s="223"/>
      <c r="E2" s="223"/>
      <c r="F2" s="31"/>
      <c r="G2" s="31"/>
    </row>
    <row r="3" spans="1:7" x14ac:dyDescent="0.2">
      <c r="A3" s="622" t="s">
        <v>1101</v>
      </c>
      <c r="B3" s="31"/>
      <c r="C3" s="31"/>
      <c r="D3" s="31"/>
      <c r="E3" s="622" t="s">
        <v>53</v>
      </c>
      <c r="F3" s="31"/>
      <c r="G3" s="31"/>
    </row>
    <row r="4" spans="1:7" x14ac:dyDescent="0.2">
      <c r="A4" s="31"/>
      <c r="B4" s="31"/>
      <c r="C4" s="31"/>
      <c r="D4" s="31"/>
      <c r="E4" s="31"/>
      <c r="F4" s="31"/>
      <c r="G4" s="31"/>
    </row>
    <row r="5" spans="1:7" ht="13.5" thickBot="1" x14ac:dyDescent="0.25">
      <c r="A5" s="623" t="s">
        <v>1078</v>
      </c>
      <c r="B5" s="624" t="s">
        <v>340</v>
      </c>
      <c r="C5" s="624" t="s">
        <v>341</v>
      </c>
      <c r="D5" s="31"/>
      <c r="E5" s="623" t="s">
        <v>1078</v>
      </c>
      <c r="F5" s="624" t="s">
        <v>340</v>
      </c>
      <c r="G5" s="624" t="s">
        <v>341</v>
      </c>
    </row>
    <row r="6" spans="1:7" ht="13.5" thickTop="1" x14ac:dyDescent="0.2">
      <c r="A6" s="607">
        <v>2014</v>
      </c>
      <c r="B6" s="625">
        <v>1.1648283268533301E-3</v>
      </c>
      <c r="C6" s="625">
        <v>9.9682613146187738E-5</v>
      </c>
      <c r="D6" s="31"/>
      <c r="E6" s="607">
        <v>2014</v>
      </c>
      <c r="F6" s="625">
        <v>8.9022707330347218E-3</v>
      </c>
      <c r="G6" s="625">
        <v>2.4536680586075511E-3</v>
      </c>
    </row>
    <row r="7" spans="1:7" x14ac:dyDescent="0.2">
      <c r="A7" s="607">
        <v>2015</v>
      </c>
      <c r="B7" s="625">
        <v>2.1215161002105074E-3</v>
      </c>
      <c r="C7" s="625">
        <v>1.1496828079295341E-4</v>
      </c>
      <c r="D7" s="31"/>
      <c r="E7" s="607">
        <v>2015</v>
      </c>
      <c r="F7" s="625">
        <v>9.5206448159855326E-3</v>
      </c>
      <c r="G7" s="625">
        <v>3.5527250002808752E-3</v>
      </c>
    </row>
    <row r="8" spans="1:7" x14ac:dyDescent="0.2">
      <c r="A8" s="607">
        <v>2016</v>
      </c>
      <c r="B8" s="625">
        <v>2.6046155958987256E-3</v>
      </c>
      <c r="C8" s="625">
        <v>2.0755123769366634E-4</v>
      </c>
      <c r="D8" s="31"/>
      <c r="E8" s="607">
        <v>2016</v>
      </c>
      <c r="F8" s="625">
        <v>1.1141431882119536E-2</v>
      </c>
      <c r="G8" s="625">
        <v>7.7699736334275677E-3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I21"/>
  <sheetViews>
    <sheetView showGridLines="0" zoomScaleNormal="100" workbookViewId="0">
      <selection activeCell="G1" sqref="G1"/>
    </sheetView>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29" t="s">
        <v>901</v>
      </c>
      <c r="F1" s="15"/>
      <c r="G1" s="15"/>
      <c r="H1" s="15"/>
      <c r="I1" s="15"/>
    </row>
    <row r="3" spans="1:9" x14ac:dyDescent="0.2">
      <c r="A3" s="229"/>
    </row>
    <row r="4" spans="1:9" ht="12.75" x14ac:dyDescent="0.2">
      <c r="A4" s="230"/>
      <c r="B4" s="350"/>
      <c r="C4" s="705">
        <v>2016</v>
      </c>
      <c r="D4" s="706"/>
      <c r="E4" s="542"/>
      <c r="F4" s="707">
        <v>2015</v>
      </c>
      <c r="G4" s="706"/>
      <c r="H4" s="350"/>
      <c r="I4" s="350"/>
    </row>
    <row r="5" spans="1:9" ht="51" thickBot="1" x14ac:dyDescent="0.25">
      <c r="A5" s="704" t="s">
        <v>902</v>
      </c>
      <c r="B5" s="704"/>
      <c r="C5" s="93" t="s">
        <v>990</v>
      </c>
      <c r="D5" s="204" t="s">
        <v>991</v>
      </c>
      <c r="E5" s="204"/>
      <c r="F5" s="567" t="s">
        <v>990</v>
      </c>
      <c r="G5" s="231" t="s">
        <v>992</v>
      </c>
      <c r="H5" s="1"/>
      <c r="I5" s="350"/>
    </row>
    <row r="6" spans="1:9" s="350" customFormat="1" x14ac:dyDescent="0.2">
      <c r="A6" s="573" t="s">
        <v>53</v>
      </c>
      <c r="B6" s="573"/>
      <c r="C6" s="75"/>
      <c r="D6" s="574"/>
      <c r="E6" s="574"/>
      <c r="F6" s="569"/>
      <c r="G6" s="568"/>
      <c r="H6" s="15"/>
    </row>
    <row r="7" spans="1:9" x14ac:dyDescent="0.2">
      <c r="A7" s="71" t="s">
        <v>221</v>
      </c>
      <c r="B7" s="71"/>
      <c r="C7" s="205">
        <v>33738</v>
      </c>
      <c r="D7" s="232">
        <v>0.53</v>
      </c>
      <c r="E7" s="568"/>
      <c r="F7" s="205">
        <v>38057</v>
      </c>
      <c r="G7" s="232">
        <v>0.5</v>
      </c>
      <c r="H7" s="15"/>
      <c r="I7" s="350"/>
    </row>
    <row r="8" spans="1:9" x14ac:dyDescent="0.2">
      <c r="A8" s="71" t="s">
        <v>890</v>
      </c>
      <c r="B8" s="71"/>
      <c r="C8" s="205">
        <v>27353</v>
      </c>
      <c r="D8" s="232">
        <v>0.18</v>
      </c>
      <c r="E8" s="568"/>
      <c r="F8" s="205">
        <v>27604</v>
      </c>
      <c r="G8" s="232">
        <v>0.14000000000000001</v>
      </c>
      <c r="H8" s="15"/>
      <c r="I8" s="350"/>
    </row>
    <row r="9" spans="1:9" x14ac:dyDescent="0.2">
      <c r="A9" s="570" t="s">
        <v>84</v>
      </c>
      <c r="B9" s="570"/>
      <c r="C9" s="571">
        <v>11308</v>
      </c>
      <c r="D9" s="572">
        <v>0.05</v>
      </c>
      <c r="E9" s="571"/>
      <c r="F9" s="571">
        <v>11775</v>
      </c>
      <c r="G9" s="572">
        <v>0.04</v>
      </c>
      <c r="H9" s="20"/>
      <c r="I9" s="350"/>
    </row>
    <row r="10" spans="1:9" x14ac:dyDescent="0.2">
      <c r="A10" s="543" t="s">
        <v>54</v>
      </c>
      <c r="B10" s="73"/>
      <c r="C10" s="73"/>
      <c r="D10" s="73"/>
      <c r="E10" s="73"/>
      <c r="F10" s="73"/>
      <c r="G10" s="232"/>
      <c r="H10" s="350"/>
      <c r="I10" s="350"/>
    </row>
    <row r="11" spans="1:9" x14ac:dyDescent="0.2">
      <c r="A11" s="447" t="s">
        <v>258</v>
      </c>
      <c r="B11" s="447"/>
      <c r="C11" s="205">
        <v>128013</v>
      </c>
      <c r="D11" s="232">
        <v>0.87</v>
      </c>
      <c r="E11" s="232"/>
      <c r="F11" s="205">
        <v>128069</v>
      </c>
      <c r="G11" s="232">
        <v>0.87</v>
      </c>
      <c r="H11" s="350"/>
      <c r="I11" s="350"/>
    </row>
    <row r="12" spans="1:9" x14ac:dyDescent="0.2">
      <c r="A12" s="447" t="s">
        <v>916</v>
      </c>
      <c r="B12" s="73"/>
      <c r="C12" s="205">
        <v>5563</v>
      </c>
      <c r="D12" s="232">
        <v>0.85</v>
      </c>
      <c r="E12" s="232"/>
      <c r="F12" s="205">
        <v>5739</v>
      </c>
      <c r="G12" s="232">
        <v>0.84</v>
      </c>
      <c r="H12" s="350"/>
      <c r="I12" s="350"/>
    </row>
    <row r="13" spans="1:9" ht="14.25" x14ac:dyDescent="0.2">
      <c r="A13" s="447" t="s">
        <v>180</v>
      </c>
      <c r="B13" s="73"/>
      <c r="C13" s="205">
        <v>4666</v>
      </c>
      <c r="D13" s="232">
        <v>0.03</v>
      </c>
      <c r="E13" s="227" t="s">
        <v>285</v>
      </c>
      <c r="F13" s="205">
        <f>1688+383</f>
        <v>2071</v>
      </c>
      <c r="G13" s="232">
        <v>0.05</v>
      </c>
      <c r="H13" s="227" t="s">
        <v>285</v>
      </c>
      <c r="I13" s="350"/>
    </row>
    <row r="14" spans="1:9" x14ac:dyDescent="0.2">
      <c r="A14" s="115" t="s">
        <v>10</v>
      </c>
      <c r="B14" s="233"/>
      <c r="C14" s="234">
        <f>SUM(C7:C13)</f>
        <v>210641</v>
      </c>
      <c r="D14" s="235"/>
      <c r="E14" s="235"/>
      <c r="F14" s="235">
        <f>SUM(F7:F13)</f>
        <v>213315</v>
      </c>
      <c r="G14" s="236"/>
      <c r="H14" s="237"/>
      <c r="I14" s="350"/>
    </row>
    <row r="15" spans="1:9" x14ac:dyDescent="0.2">
      <c r="A15" s="369"/>
      <c r="B15" s="369"/>
      <c r="C15" s="238"/>
      <c r="D15" s="239"/>
      <c r="E15" s="239"/>
      <c r="F15" s="239"/>
      <c r="G15" s="239"/>
      <c r="H15" s="239"/>
      <c r="I15" s="239"/>
    </row>
    <row r="16" spans="1:9" x14ac:dyDescent="0.2">
      <c r="A16" s="350"/>
      <c r="B16" s="350"/>
      <c r="C16" s="350"/>
      <c r="D16" s="350"/>
      <c r="E16" s="350"/>
      <c r="F16" s="350"/>
      <c r="G16" s="350"/>
      <c r="H16" s="350"/>
      <c r="I16" s="350"/>
    </row>
    <row r="17" spans="1:9" ht="14.25" x14ac:dyDescent="0.2">
      <c r="A17" s="350" t="s">
        <v>286</v>
      </c>
      <c r="B17" s="350"/>
      <c r="C17" s="350"/>
      <c r="D17" s="350"/>
      <c r="E17" s="350"/>
      <c r="F17" s="350"/>
      <c r="G17" s="350"/>
      <c r="H17" s="350"/>
      <c r="I17" s="350"/>
    </row>
    <row r="18" spans="1:9" ht="14.25" x14ac:dyDescent="0.2">
      <c r="A18" s="350" t="s">
        <v>287</v>
      </c>
      <c r="B18" s="350"/>
      <c r="C18" s="350"/>
      <c r="D18" s="350"/>
      <c r="E18" s="350"/>
      <c r="F18" s="350"/>
      <c r="G18" s="350"/>
      <c r="H18" s="350"/>
      <c r="I18" s="350"/>
    </row>
    <row r="19" spans="1:9" x14ac:dyDescent="0.2">
      <c r="A19" s="350" t="s">
        <v>288</v>
      </c>
      <c r="B19" s="350"/>
      <c r="C19" s="350"/>
      <c r="D19" s="350"/>
      <c r="E19" s="350"/>
      <c r="F19" s="350"/>
      <c r="G19" s="350"/>
      <c r="H19" s="350"/>
      <c r="I19" s="350"/>
    </row>
    <row r="20" spans="1:9" x14ac:dyDescent="0.2">
      <c r="A20" s="350"/>
      <c r="B20" s="350"/>
      <c r="C20" s="350"/>
      <c r="D20" s="350"/>
      <c r="E20" s="350"/>
      <c r="F20" s="350"/>
      <c r="G20" s="350"/>
      <c r="H20" s="350"/>
      <c r="I20" s="350"/>
    </row>
    <row r="21" spans="1:9" x14ac:dyDescent="0.2">
      <c r="A21" s="514" t="s">
        <v>993</v>
      </c>
      <c r="B21" s="350"/>
      <c r="C21" s="350"/>
      <c r="D21" s="350"/>
      <c r="E21" s="350"/>
      <c r="F21" s="350"/>
      <c r="G21" s="350"/>
      <c r="H21" s="350"/>
      <c r="I21" s="350"/>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2"/>
  <sheetViews>
    <sheetView zoomScaleNormal="100" workbookViewId="0">
      <selection activeCell="D10" sqref="D10"/>
    </sheetView>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75</v>
      </c>
      <c r="B1" s="207"/>
      <c r="C1" s="207"/>
      <c r="D1" s="207"/>
      <c r="E1" s="207"/>
      <c r="F1" s="207"/>
      <c r="G1" s="207"/>
      <c r="H1" s="207"/>
      <c r="I1" s="207"/>
    </row>
    <row r="2" spans="1:11" x14ac:dyDescent="0.2">
      <c r="B2" s="15"/>
      <c r="C2" s="15"/>
      <c r="D2" s="15"/>
      <c r="E2" s="15"/>
      <c r="F2" s="15"/>
      <c r="G2" s="15"/>
      <c r="H2" s="15"/>
      <c r="I2" s="15"/>
    </row>
    <row r="3" spans="1:11" ht="24.75" thickBot="1" x14ac:dyDescent="0.25">
      <c r="A3" s="704" t="s">
        <v>903</v>
      </c>
      <c r="B3" s="704"/>
      <c r="C3" s="240" t="s">
        <v>1082</v>
      </c>
      <c r="D3" s="438" t="s">
        <v>1083</v>
      </c>
      <c r="E3" s="240" t="s">
        <v>994</v>
      </c>
      <c r="F3" s="438" t="s">
        <v>995</v>
      </c>
      <c r="G3" s="240" t="s">
        <v>76</v>
      </c>
      <c r="H3" s="438" t="s">
        <v>77</v>
      </c>
      <c r="I3" s="240" t="s">
        <v>996</v>
      </c>
    </row>
    <row r="4" spans="1:11" ht="12" customHeight="1" x14ac:dyDescent="0.2">
      <c r="A4" s="712" t="s">
        <v>78</v>
      </c>
      <c r="B4" s="712"/>
      <c r="C4" s="168">
        <f>SUM(C5:C7)</f>
        <v>138242</v>
      </c>
      <c r="D4" s="241">
        <f>(C4-E4)/E4</f>
        <v>1.7390472405596154E-2</v>
      </c>
      <c r="E4" s="170">
        <f>SUM(E5:E7)</f>
        <v>135879</v>
      </c>
      <c r="F4" s="321">
        <f>(E4-G4)/G4</f>
        <v>7.0992811652689322E-2</v>
      </c>
      <c r="G4" s="170">
        <v>126872</v>
      </c>
      <c r="H4" s="321">
        <f>(G4-I4)/I4</f>
        <v>6.8054012189783478E-2</v>
      </c>
      <c r="I4" s="170">
        <v>118788</v>
      </c>
      <c r="K4" s="23"/>
    </row>
    <row r="5" spans="1:11" ht="12" customHeight="1" x14ac:dyDescent="0.2">
      <c r="A5" s="713" t="s">
        <v>79</v>
      </c>
      <c r="B5" s="713"/>
      <c r="C5" s="239">
        <v>5563</v>
      </c>
      <c r="D5" s="241">
        <f t="shared" ref="D5:H8" si="0">(C5-E5)/E5</f>
        <v>-3.0667363652204217E-2</v>
      </c>
      <c r="E5" s="190">
        <v>5739</v>
      </c>
      <c r="F5" s="321">
        <f t="shared" si="0"/>
        <v>-1.1199172984148863E-2</v>
      </c>
      <c r="G5" s="190">
        <v>5804</v>
      </c>
      <c r="H5" s="321">
        <f t="shared" si="0"/>
        <v>2.7074854008140151E-2</v>
      </c>
      <c r="I5" s="190">
        <v>5651</v>
      </c>
      <c r="K5" s="23"/>
    </row>
    <row r="6" spans="1:11" ht="12" customHeight="1" x14ac:dyDescent="0.2">
      <c r="A6" s="713" t="s">
        <v>80</v>
      </c>
      <c r="B6" s="713"/>
      <c r="C6" s="239">
        <v>128013</v>
      </c>
      <c r="D6" s="241">
        <f>(C6-E6)/E6</f>
        <v>-4.3726428722017037E-4</v>
      </c>
      <c r="E6" s="190">
        <v>128069</v>
      </c>
      <c r="F6" s="321">
        <f>(E6-G6)/G6</f>
        <v>7.4674834270370055E-2</v>
      </c>
      <c r="G6" s="190">
        <v>119170</v>
      </c>
      <c r="H6" s="321">
        <f>(G6-I6)/I6</f>
        <v>7.1537756037908892E-2</v>
      </c>
      <c r="I6" s="190">
        <v>111214</v>
      </c>
    </row>
    <row r="7" spans="1:11" ht="12" customHeight="1" x14ac:dyDescent="0.2">
      <c r="A7" s="713" t="s">
        <v>81</v>
      </c>
      <c r="B7" s="713"/>
      <c r="C7" s="239">
        <v>4666</v>
      </c>
      <c r="D7" s="241">
        <f t="shared" si="0"/>
        <v>1.2530178657653308</v>
      </c>
      <c r="E7" s="190">
        <f>383+1688</f>
        <v>2071</v>
      </c>
      <c r="F7" s="321">
        <f t="shared" si="0"/>
        <v>9.114857744994731E-2</v>
      </c>
      <c r="G7" s="190">
        <v>1898</v>
      </c>
      <c r="H7" s="321">
        <f t="shared" si="0"/>
        <v>-1.3000520020800831E-2</v>
      </c>
      <c r="I7" s="190">
        <v>1923</v>
      </c>
    </row>
    <row r="8" spans="1:11" ht="12" customHeight="1" x14ac:dyDescent="0.2">
      <c r="A8" s="714" t="s">
        <v>82</v>
      </c>
      <c r="B8" s="715"/>
      <c r="C8" s="239">
        <v>33738</v>
      </c>
      <c r="D8" s="241">
        <f t="shared" si="0"/>
        <v>-0.11348766324197913</v>
      </c>
      <c r="E8" s="190">
        <v>38057</v>
      </c>
      <c r="F8" s="321">
        <f t="shared" si="0"/>
        <v>-5.314358221580872E-2</v>
      </c>
      <c r="G8" s="190">
        <v>40193</v>
      </c>
      <c r="H8" s="321">
        <f t="shared" si="0"/>
        <v>0.18086200311425801</v>
      </c>
      <c r="I8" s="190">
        <v>34037</v>
      </c>
    </row>
    <row r="9" spans="1:11" s="350" customFormat="1" ht="12" customHeight="1" x14ac:dyDescent="0.2">
      <c r="A9" s="381" t="s">
        <v>83</v>
      </c>
      <c r="B9" s="381"/>
      <c r="C9" s="239">
        <v>27353</v>
      </c>
      <c r="D9" s="241">
        <f>(C9-E9)/E9</f>
        <v>-9.0928850891175191E-3</v>
      </c>
      <c r="E9" s="190">
        <v>27604</v>
      </c>
      <c r="F9" s="321">
        <f>(E9-G9)/G9</f>
        <v>4.3274500170074455E-2</v>
      </c>
      <c r="G9" s="190">
        <v>26459</v>
      </c>
      <c r="H9" s="321">
        <f>(G9+G10-I10)/I10</f>
        <v>7.5249612039937921E-2</v>
      </c>
      <c r="I9" s="190"/>
    </row>
    <row r="10" spans="1:11" x14ac:dyDescent="0.2">
      <c r="A10" s="715" t="s">
        <v>84</v>
      </c>
      <c r="B10" s="715"/>
      <c r="C10" s="242">
        <v>11308</v>
      </c>
      <c r="D10" s="241">
        <f>(C10-E10)/E10</f>
        <v>-3.9660297239915071E-2</v>
      </c>
      <c r="E10" s="322">
        <v>11775</v>
      </c>
      <c r="F10" s="321">
        <f>(E10-G10)/G10</f>
        <v>0.14721356196414653</v>
      </c>
      <c r="G10" s="322">
        <v>10264</v>
      </c>
      <c r="H10" s="321"/>
      <c r="I10" s="322">
        <v>34153</v>
      </c>
    </row>
    <row r="11" spans="1:11" x14ac:dyDescent="0.2">
      <c r="A11" s="99" t="s">
        <v>918</v>
      </c>
      <c r="B11" s="237"/>
      <c r="C11" s="214">
        <f>C4+C8+C9+C10</f>
        <v>210641</v>
      </c>
      <c r="D11" s="243">
        <f>(C11-E11)/E11</f>
        <v>-1.253545226542906E-2</v>
      </c>
      <c r="E11" s="214">
        <f>E4+E8+E9+E10</f>
        <v>213315</v>
      </c>
      <c r="F11" s="243">
        <f>(E11-G11)/G11</f>
        <v>4.6749563271635229E-2</v>
      </c>
      <c r="G11" s="214">
        <f>G4+G8+G9+G10</f>
        <v>203788</v>
      </c>
      <c r="H11" s="243">
        <f>(G11-I11)/I11</f>
        <v>8.9903625025404055E-2</v>
      </c>
      <c r="I11" s="214">
        <f>I4+I8+I10</f>
        <v>186978</v>
      </c>
    </row>
    <row r="12" spans="1:11" x14ac:dyDescent="0.2">
      <c r="A12" s="70"/>
      <c r="B12" s="70"/>
      <c r="C12" s="70"/>
      <c r="D12" s="70"/>
      <c r="E12" s="238"/>
      <c r="F12" s="70"/>
      <c r="G12" s="244"/>
      <c r="H12" s="245"/>
      <c r="I12" s="244"/>
    </row>
    <row r="13" spans="1:11" x14ac:dyDescent="0.2">
      <c r="A13" s="710" t="s">
        <v>862</v>
      </c>
      <c r="B13" s="711"/>
      <c r="C13" s="711"/>
      <c r="D13" s="711"/>
      <c r="E13" s="711"/>
      <c r="F13" s="711"/>
      <c r="G13" s="711"/>
      <c r="H13" s="711"/>
      <c r="I13" s="711"/>
    </row>
    <row r="14" spans="1:11" x14ac:dyDescent="0.2">
      <c r="A14" s="389" t="s">
        <v>863</v>
      </c>
      <c r="B14" s="389"/>
      <c r="C14" s="389"/>
      <c r="D14" s="389"/>
      <c r="E14" s="389"/>
      <c r="F14" s="389"/>
      <c r="G14" s="389"/>
      <c r="H14" s="389"/>
      <c r="I14" s="389"/>
    </row>
    <row r="16" spans="1:11" x14ac:dyDescent="0.2">
      <c r="A16" s="708"/>
      <c r="B16" s="709"/>
      <c r="C16" s="709"/>
      <c r="D16" s="709"/>
      <c r="E16" s="709"/>
      <c r="F16" s="709"/>
      <c r="G16" s="709"/>
      <c r="H16" s="709"/>
      <c r="I16" s="709"/>
    </row>
    <row r="17" spans="3:9" x14ac:dyDescent="0.2">
      <c r="C17" s="268"/>
      <c r="D17" s="164"/>
      <c r="E17" s="268"/>
      <c r="F17" s="164"/>
      <c r="G17" s="268"/>
      <c r="H17" s="164"/>
      <c r="I17" s="268"/>
    </row>
    <row r="18" spans="3:9" x14ac:dyDescent="0.2">
      <c r="C18" s="268"/>
      <c r="D18" s="164"/>
      <c r="E18" s="268"/>
      <c r="F18" s="164"/>
      <c r="G18" s="268"/>
      <c r="H18" s="164"/>
      <c r="I18" s="268"/>
    </row>
    <row r="19" spans="3:9" x14ac:dyDescent="0.2">
      <c r="C19" s="268"/>
      <c r="D19" s="164"/>
      <c r="E19" s="268"/>
      <c r="F19" s="164"/>
      <c r="G19" s="268"/>
      <c r="H19" s="164"/>
      <c r="I19" s="268"/>
    </row>
    <row r="20" spans="3:9" x14ac:dyDescent="0.2">
      <c r="C20" s="268"/>
      <c r="D20" s="164"/>
      <c r="E20" s="268"/>
      <c r="F20" s="164"/>
      <c r="G20" s="268"/>
      <c r="H20" s="164"/>
      <c r="I20" s="268"/>
    </row>
    <row r="21" spans="3:9" x14ac:dyDescent="0.2">
      <c r="C21" s="268"/>
      <c r="D21" s="164"/>
      <c r="E21" s="268"/>
      <c r="F21" s="164"/>
      <c r="G21" s="268"/>
      <c r="H21" s="164"/>
      <c r="I21" s="268"/>
    </row>
    <row r="22" spans="3:9" x14ac:dyDescent="0.2">
      <c r="C22" s="268"/>
      <c r="D22" s="164"/>
      <c r="E22" s="268"/>
      <c r="F22" s="164"/>
      <c r="G22" s="268"/>
      <c r="H22" s="164"/>
      <c r="I22" s="268"/>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46"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29"/>
  <sheetViews>
    <sheetView zoomScaleNormal="100" workbookViewId="0">
      <selection activeCell="B26" sqref="B26"/>
    </sheetView>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46" t="s">
        <v>368</v>
      </c>
      <c r="B1" s="247"/>
      <c r="C1" s="207"/>
      <c r="D1" s="15"/>
    </row>
    <row r="2" spans="1:4" x14ac:dyDescent="0.2">
      <c r="A2" s="15"/>
      <c r="B2" s="15"/>
      <c r="C2" s="15"/>
      <c r="D2" s="15"/>
    </row>
    <row r="3" spans="1:4" x14ac:dyDescent="0.2">
      <c r="A3" s="15"/>
      <c r="B3" s="15"/>
    </row>
    <row r="4" spans="1:4" ht="12.75" thickBot="1" x14ac:dyDescent="0.25">
      <c r="A4" s="1"/>
      <c r="B4" s="91" t="s">
        <v>369</v>
      </c>
      <c r="C4" s="439">
        <v>42735</v>
      </c>
      <c r="D4" s="440">
        <v>42369</v>
      </c>
    </row>
    <row r="5" spans="1:4" x14ac:dyDescent="0.2">
      <c r="A5" s="248" t="s">
        <v>370</v>
      </c>
      <c r="B5" s="249" t="s">
        <v>1084</v>
      </c>
      <c r="C5" s="18">
        <v>32</v>
      </c>
      <c r="D5" s="18">
        <v>24</v>
      </c>
    </row>
    <row r="6" spans="1:4" x14ac:dyDescent="0.2">
      <c r="A6" s="248"/>
      <c r="B6" s="15" t="s">
        <v>1085</v>
      </c>
      <c r="C6" s="18">
        <v>24</v>
      </c>
      <c r="D6" s="18">
        <v>0</v>
      </c>
    </row>
    <row r="7" spans="1:4" x14ac:dyDescent="0.2">
      <c r="A7" s="248"/>
      <c r="B7" s="350" t="s">
        <v>372</v>
      </c>
      <c r="C7" s="364">
        <v>19</v>
      </c>
      <c r="D7" s="364">
        <v>17</v>
      </c>
    </row>
    <row r="8" spans="1:4" x14ac:dyDescent="0.2">
      <c r="A8" s="248"/>
      <c r="B8" s="249" t="s">
        <v>371</v>
      </c>
      <c r="C8" s="18">
        <v>10</v>
      </c>
      <c r="D8" s="18">
        <v>11</v>
      </c>
    </row>
    <row r="9" spans="1:4" s="350" customFormat="1" x14ac:dyDescent="0.2">
      <c r="A9" s="248"/>
      <c r="B9" s="350" t="s">
        <v>1086</v>
      </c>
      <c r="C9" s="350">
        <v>10</v>
      </c>
      <c r="D9" s="350">
        <v>7</v>
      </c>
    </row>
    <row r="10" spans="1:4" x14ac:dyDescent="0.2">
      <c r="A10" s="248"/>
      <c r="B10" s="350" t="s">
        <v>997</v>
      </c>
      <c r="C10" s="364">
        <v>9</v>
      </c>
      <c r="D10" s="364">
        <v>11</v>
      </c>
    </row>
    <row r="11" spans="1:4" s="350" customFormat="1" x14ac:dyDescent="0.2">
      <c r="A11" s="248"/>
      <c r="B11" s="250" t="s">
        <v>998</v>
      </c>
      <c r="C11" s="365">
        <v>57</v>
      </c>
      <c r="D11" s="365">
        <v>70</v>
      </c>
    </row>
    <row r="12" spans="1:4" x14ac:dyDescent="0.2">
      <c r="A12" s="251"/>
      <c r="B12" s="252"/>
      <c r="C12" s="253"/>
      <c r="D12" s="253"/>
    </row>
    <row r="13" spans="1:4" x14ac:dyDescent="0.2">
      <c r="A13" s="254" t="s">
        <v>373</v>
      </c>
      <c r="B13" s="255"/>
      <c r="C13" s="256">
        <f>SUM(C5:C12)</f>
        <v>161</v>
      </c>
      <c r="D13" s="257">
        <f>SUM(D5:D12)</f>
        <v>140</v>
      </c>
    </row>
    <row r="14" spans="1:4" x14ac:dyDescent="0.2">
      <c r="A14" s="248" t="s">
        <v>374</v>
      </c>
      <c r="B14" s="15" t="s">
        <v>1087</v>
      </c>
      <c r="C14" s="199">
        <v>127</v>
      </c>
      <c r="D14" s="199">
        <v>0</v>
      </c>
    </row>
    <row r="15" spans="1:4" s="315" customFormat="1" x14ac:dyDescent="0.2">
      <c r="A15" s="248"/>
      <c r="B15" s="104" t="s">
        <v>999</v>
      </c>
      <c r="C15" s="364">
        <v>0</v>
      </c>
      <c r="D15" s="364">
        <v>146</v>
      </c>
    </row>
    <row r="16" spans="1:4" x14ac:dyDescent="0.2">
      <c r="A16" s="254" t="s">
        <v>375</v>
      </c>
      <c r="B16" s="237"/>
      <c r="C16" s="214">
        <f>SUM(C14:C15)</f>
        <v>127</v>
      </c>
      <c r="D16" s="258">
        <f>SUM(D14:D15)</f>
        <v>146</v>
      </c>
    </row>
    <row r="17" spans="1:6" x14ac:dyDescent="0.2">
      <c r="A17" s="248" t="s">
        <v>376</v>
      </c>
      <c r="B17" s="15" t="s">
        <v>1000</v>
      </c>
      <c r="C17" s="199">
        <v>33</v>
      </c>
      <c r="D17" s="199">
        <v>95</v>
      </c>
    </row>
    <row r="18" spans="1:6" s="350" customFormat="1" x14ac:dyDescent="0.2">
      <c r="A18" s="248"/>
      <c r="B18" s="15" t="s">
        <v>1001</v>
      </c>
      <c r="C18" s="199">
        <v>2</v>
      </c>
      <c r="D18" s="199">
        <v>1</v>
      </c>
    </row>
    <row r="19" spans="1:6" s="350" customFormat="1" x14ac:dyDescent="0.2">
      <c r="A19" s="254" t="s">
        <v>1002</v>
      </c>
      <c r="B19" s="237"/>
      <c r="C19" s="214">
        <f>SUM(C17:C18)</f>
        <v>35</v>
      </c>
      <c r="D19" s="258">
        <f>SUM(D17:D18)</f>
        <v>96</v>
      </c>
    </row>
    <row r="20" spans="1:6" x14ac:dyDescent="0.2">
      <c r="A20" s="259" t="s">
        <v>377</v>
      </c>
      <c r="B20" s="237"/>
      <c r="C20" s="214">
        <f>+C13+C16+C19</f>
        <v>323</v>
      </c>
      <c r="D20" s="258">
        <f>+D13+D16+D19</f>
        <v>382</v>
      </c>
    </row>
    <row r="21" spans="1:6" x14ac:dyDescent="0.2">
      <c r="A21" s="260"/>
      <c r="C21" s="84"/>
      <c r="D21" s="84"/>
      <c r="F21" s="23"/>
    </row>
    <row r="22" spans="1:6" x14ac:dyDescent="0.2">
      <c r="A22" s="260" t="s">
        <v>1090</v>
      </c>
      <c r="B22" s="70"/>
      <c r="C22" s="70"/>
      <c r="D22" s="70"/>
    </row>
    <row r="24" spans="1:6" x14ac:dyDescent="0.2">
      <c r="A24" s="614" t="s">
        <v>1088</v>
      </c>
    </row>
    <row r="25" spans="1:6" x14ac:dyDescent="0.2">
      <c r="A25" s="17" t="s">
        <v>1089</v>
      </c>
    </row>
    <row r="28" spans="1:6" x14ac:dyDescent="0.2">
      <c r="A28" s="15"/>
    </row>
    <row r="29" spans="1:6" ht="15" x14ac:dyDescent="0.2">
      <c r="A29" s="575"/>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8"/>
  <sheetViews>
    <sheetView zoomScaleNormal="100" workbookViewId="0">
      <selection activeCell="C2" sqref="C2"/>
    </sheetView>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47" t="s">
        <v>378</v>
      </c>
      <c r="B1" s="247"/>
      <c r="C1" s="207"/>
    </row>
    <row r="2" spans="1:6" x14ac:dyDescent="0.2">
      <c r="A2" s="15" t="s">
        <v>379</v>
      </c>
      <c r="B2" s="206"/>
      <c r="C2" s="15"/>
    </row>
    <row r="3" spans="1:6" x14ac:dyDescent="0.2">
      <c r="A3" s="261"/>
      <c r="B3" s="206"/>
      <c r="C3" s="15"/>
    </row>
    <row r="4" spans="1:6" ht="60.75" customHeight="1" thickBot="1" x14ac:dyDescent="0.25">
      <c r="A4" s="76">
        <v>2016</v>
      </c>
      <c r="B4" s="343" t="s">
        <v>380</v>
      </c>
      <c r="C4" s="343" t="s">
        <v>381</v>
      </c>
      <c r="D4" s="428" t="s">
        <v>382</v>
      </c>
      <c r="E4" s="428" t="s">
        <v>383</v>
      </c>
      <c r="F4" s="343" t="s">
        <v>384</v>
      </c>
    </row>
    <row r="5" spans="1:6" x14ac:dyDescent="0.2">
      <c r="A5" s="105" t="s">
        <v>385</v>
      </c>
      <c r="B5" s="179">
        <v>161</v>
      </c>
      <c r="C5" s="179">
        <v>161</v>
      </c>
      <c r="D5" s="179">
        <v>0</v>
      </c>
      <c r="E5" s="179">
        <v>-39</v>
      </c>
      <c r="F5" s="262">
        <v>0</v>
      </c>
    </row>
    <row r="6" spans="1:6" x14ac:dyDescent="0.2">
      <c r="A6" s="105" t="s">
        <v>386</v>
      </c>
      <c r="B6" s="179">
        <v>127</v>
      </c>
      <c r="C6" s="179">
        <v>127</v>
      </c>
      <c r="D6" s="263">
        <v>0</v>
      </c>
      <c r="E6" s="263">
        <v>19</v>
      </c>
      <c r="F6" s="263">
        <v>19</v>
      </c>
    </row>
    <row r="7" spans="1:6" x14ac:dyDescent="0.2">
      <c r="A7" s="106" t="s">
        <v>387</v>
      </c>
      <c r="B7" s="179">
        <v>35</v>
      </c>
      <c r="C7" s="179">
        <v>35</v>
      </c>
      <c r="D7" s="179">
        <v>62</v>
      </c>
      <c r="E7" s="179">
        <v>0</v>
      </c>
      <c r="F7" s="179">
        <v>33</v>
      </c>
    </row>
    <row r="8" spans="1:6" x14ac:dyDescent="0.2">
      <c r="A8" s="87" t="s">
        <v>388</v>
      </c>
      <c r="B8" s="163">
        <f>SUM(B5:B7)</f>
        <v>323</v>
      </c>
      <c r="C8" s="163">
        <f>SUM(C5:C7)</f>
        <v>323</v>
      </c>
      <c r="D8" s="347">
        <f>SUM(D5:D7)</f>
        <v>62</v>
      </c>
      <c r="E8" s="347">
        <f>SUM(E5:E7)</f>
        <v>-20</v>
      </c>
      <c r="F8" s="347">
        <f>SUM(F5:F7)</f>
        <v>52</v>
      </c>
    </row>
    <row r="9" spans="1:6" x14ac:dyDescent="0.2">
      <c r="A9" s="206"/>
      <c r="B9" s="206"/>
      <c r="C9" s="15"/>
    </row>
    <row r="10" spans="1:6" s="350" customFormat="1" x14ac:dyDescent="0.2">
      <c r="B10" s="206"/>
      <c r="C10" s="15"/>
    </row>
    <row r="11" spans="1:6" ht="64.5" customHeight="1" thickBot="1" x14ac:dyDescent="0.25">
      <c r="A11" s="76">
        <v>2015</v>
      </c>
      <c r="B11" s="343" t="s">
        <v>380</v>
      </c>
      <c r="C11" s="343" t="s">
        <v>381</v>
      </c>
      <c r="D11" s="428" t="s">
        <v>382</v>
      </c>
      <c r="E11" s="428" t="s">
        <v>383</v>
      </c>
      <c r="F11" s="343" t="s">
        <v>384</v>
      </c>
    </row>
    <row r="12" spans="1:6" x14ac:dyDescent="0.2">
      <c r="A12" s="105" t="s">
        <v>389</v>
      </c>
      <c r="B12" s="179">
        <v>140</v>
      </c>
      <c r="C12" s="179">
        <v>140</v>
      </c>
      <c r="D12" s="179">
        <v>2</v>
      </c>
      <c r="E12" s="179">
        <v>-27</v>
      </c>
      <c r="F12" s="262">
        <v>0</v>
      </c>
    </row>
    <row r="13" spans="1:6" x14ac:dyDescent="0.2">
      <c r="A13" s="615" t="s">
        <v>1091</v>
      </c>
      <c r="B13" s="179">
        <v>146</v>
      </c>
      <c r="C13" s="179">
        <v>146</v>
      </c>
      <c r="D13" s="263">
        <v>0</v>
      </c>
      <c r="E13" s="263">
        <v>9</v>
      </c>
      <c r="F13" s="263">
        <v>68</v>
      </c>
    </row>
    <row r="14" spans="1:6" x14ac:dyDescent="0.2">
      <c r="A14" s="106" t="s">
        <v>390</v>
      </c>
      <c r="B14" s="179">
        <v>96</v>
      </c>
      <c r="C14" s="179">
        <v>96</v>
      </c>
      <c r="D14" s="179">
        <v>0</v>
      </c>
      <c r="E14" s="179">
        <v>0</v>
      </c>
      <c r="F14" s="179">
        <v>95</v>
      </c>
    </row>
    <row r="15" spans="1:6" x14ac:dyDescent="0.2">
      <c r="A15" s="87" t="s">
        <v>391</v>
      </c>
      <c r="B15" s="163">
        <f>SUM(B12:B14)</f>
        <v>382</v>
      </c>
      <c r="C15" s="163">
        <f>SUM(C12:C14)</f>
        <v>382</v>
      </c>
      <c r="D15" s="163">
        <f>SUM(D12:D14)</f>
        <v>2</v>
      </c>
      <c r="E15" s="163">
        <f>SUM(E12:E14)</f>
        <v>-18</v>
      </c>
      <c r="F15" s="163">
        <f>SUM(F12:F14)</f>
        <v>163</v>
      </c>
    </row>
    <row r="18" spans="1:1" x14ac:dyDescent="0.2">
      <c r="A18" s="260" t="s">
        <v>1090</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A13" sqref="A13"/>
    </sheetView>
  </sheetViews>
  <sheetFormatPr baseColWidth="10" defaultColWidth="11" defaultRowHeight="12" x14ac:dyDescent="0.2"/>
  <cols>
    <col min="1" max="1" width="36" style="17" customWidth="1"/>
    <col min="2" max="2" width="12.625" style="17" customWidth="1"/>
    <col min="3" max="16384" width="11" style="17"/>
  </cols>
  <sheetData>
    <row r="1" spans="1:4" x14ac:dyDescent="0.2">
      <c r="A1" s="485" t="s">
        <v>904</v>
      </c>
      <c r="B1" s="206"/>
      <c r="C1" s="15"/>
      <c r="D1" s="15"/>
    </row>
    <row r="2" spans="1:4" x14ac:dyDescent="0.2">
      <c r="A2" s="206"/>
      <c r="B2" s="206"/>
      <c r="C2" s="15"/>
      <c r="D2" s="15"/>
    </row>
    <row r="3" spans="1:4" ht="24.75" thickBot="1" x14ac:dyDescent="0.25">
      <c r="A3" s="395" t="s">
        <v>493</v>
      </c>
      <c r="B3" s="264" t="s">
        <v>1092</v>
      </c>
      <c r="C3" s="265" t="s">
        <v>1003</v>
      </c>
      <c r="D3" s="15"/>
    </row>
    <row r="4" spans="1:4" x14ac:dyDescent="0.2">
      <c r="A4" s="15" t="s">
        <v>494</v>
      </c>
      <c r="B4" s="180">
        <v>288</v>
      </c>
      <c r="C4" s="179">
        <f>140+146</f>
        <v>286</v>
      </c>
      <c r="D4" s="104"/>
    </row>
    <row r="5" spans="1:4" x14ac:dyDescent="0.2">
      <c r="A5" s="15" t="s">
        <v>495</v>
      </c>
      <c r="B5" s="180">
        <v>0</v>
      </c>
      <c r="C5" s="179">
        <v>0</v>
      </c>
      <c r="D5" s="104"/>
    </row>
    <row r="6" spans="1:4" x14ac:dyDescent="0.2">
      <c r="A6" s="15" t="s">
        <v>496</v>
      </c>
      <c r="B6" s="180">
        <v>35</v>
      </c>
      <c r="C6" s="179">
        <v>96</v>
      </c>
      <c r="D6" s="104"/>
    </row>
    <row r="7" spans="1:4" x14ac:dyDescent="0.2">
      <c r="A7" s="99" t="s">
        <v>497</v>
      </c>
      <c r="B7" s="266">
        <f>SUM(B4:B6)</f>
        <v>323</v>
      </c>
      <c r="C7" s="267">
        <f>SUM(C4:C6)</f>
        <v>382</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D19" sqref="D19"/>
    </sheetView>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85</v>
      </c>
    </row>
    <row r="3" spans="1:5" ht="13.5" customHeight="1" x14ac:dyDescent="0.2">
      <c r="A3" s="717" t="s">
        <v>86</v>
      </c>
      <c r="B3" s="717"/>
      <c r="C3" s="719" t="s">
        <v>87</v>
      </c>
      <c r="D3" s="721" t="s">
        <v>1093</v>
      </c>
      <c r="E3" s="723" t="s">
        <v>1094</v>
      </c>
    </row>
    <row r="4" spans="1:5" ht="13.5" customHeight="1" thickBot="1" x14ac:dyDescent="0.25">
      <c r="A4" s="718"/>
      <c r="B4" s="718"/>
      <c r="C4" s="720"/>
      <c r="D4" s="722"/>
      <c r="E4" s="724"/>
    </row>
    <row r="5" spans="1:5" x14ac:dyDescent="0.2">
      <c r="A5" s="716" t="s">
        <v>88</v>
      </c>
      <c r="B5" s="716"/>
      <c r="C5" s="84">
        <v>203648</v>
      </c>
      <c r="D5" s="84">
        <v>1854</v>
      </c>
      <c r="E5" s="84">
        <v>2850</v>
      </c>
    </row>
    <row r="6" spans="1:5" s="350" customFormat="1" x14ac:dyDescent="0.2">
      <c r="A6" s="350" t="s">
        <v>89</v>
      </c>
      <c r="B6" s="369"/>
      <c r="C6" s="202"/>
      <c r="D6" s="170">
        <v>701</v>
      </c>
      <c r="E6" s="170">
        <v>1050</v>
      </c>
    </row>
    <row r="7" spans="1:5" ht="12.75" customHeight="1" x14ac:dyDescent="0.2">
      <c r="A7" s="254" t="s">
        <v>90</v>
      </c>
      <c r="B7" s="115"/>
      <c r="C7" s="269">
        <f>SUM(C5:C6)</f>
        <v>203648</v>
      </c>
      <c r="D7" s="269">
        <f>SUM(D5:D6)</f>
        <v>2555</v>
      </c>
      <c r="E7" s="270">
        <f>SUM(E5:E6)</f>
        <v>3900</v>
      </c>
    </row>
    <row r="10" spans="1:5" ht="14.25" x14ac:dyDescent="0.2">
      <c r="A10" s="389" t="s">
        <v>882</v>
      </c>
      <c r="B10" s="370"/>
      <c r="C10" s="370"/>
      <c r="D10" s="370"/>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37"/>
  <sheetViews>
    <sheetView showGridLines="0" zoomScaleNormal="100" workbookViewId="0">
      <selection activeCell="A4" sqref="A4:C29"/>
    </sheetView>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6" t="s">
        <v>861</v>
      </c>
      <c r="B1" s="333"/>
      <c r="C1" s="333"/>
      <c r="D1" s="334"/>
      <c r="E1" s="441"/>
      <c r="F1" s="335"/>
      <c r="G1" s="336"/>
      <c r="H1" s="336"/>
    </row>
    <row r="2" spans="1:12" ht="13.5" customHeight="1" x14ac:dyDescent="0.2">
      <c r="A2" s="485" t="s">
        <v>905</v>
      </c>
      <c r="B2" s="333"/>
      <c r="C2" s="333"/>
      <c r="D2" s="334"/>
      <c r="E2" s="334"/>
      <c r="F2" s="335"/>
      <c r="G2" s="336"/>
      <c r="H2" s="336"/>
    </row>
    <row r="3" spans="1:12" ht="12.75" x14ac:dyDescent="0.2">
      <c r="A3" s="334"/>
      <c r="B3" s="725"/>
      <c r="C3" s="725"/>
      <c r="D3" s="336"/>
      <c r="E3" s="324"/>
      <c r="F3" s="323"/>
      <c r="G3" s="323"/>
      <c r="H3" s="323"/>
      <c r="I3" s="323"/>
      <c r="J3" s="158"/>
      <c r="K3" s="158"/>
      <c r="L3" s="158"/>
    </row>
    <row r="4" spans="1:12" ht="13.5" thickBot="1" x14ac:dyDescent="0.25">
      <c r="A4" s="387"/>
      <c r="B4" s="439">
        <v>42735</v>
      </c>
      <c r="C4" s="440">
        <v>42369</v>
      </c>
      <c r="D4" s="336"/>
    </row>
    <row r="5" spans="1:12" ht="12.75" x14ac:dyDescent="0.2">
      <c r="A5" s="271" t="s">
        <v>91</v>
      </c>
      <c r="B5" s="342">
        <v>-28</v>
      </c>
      <c r="C5" s="337">
        <v>-21</v>
      </c>
      <c r="D5" s="336"/>
    </row>
    <row r="6" spans="1:12" ht="12.75" x14ac:dyDescent="0.2">
      <c r="A6" s="271" t="s">
        <v>92</v>
      </c>
      <c r="B6" s="342">
        <v>-21</v>
      </c>
      <c r="C6" s="337">
        <v>-13</v>
      </c>
      <c r="D6" s="336"/>
    </row>
    <row r="7" spans="1:12" ht="12.75" x14ac:dyDescent="0.2">
      <c r="A7" s="271" t="s">
        <v>93</v>
      </c>
      <c r="B7" s="342">
        <v>-86</v>
      </c>
      <c r="C7" s="337">
        <v>-86</v>
      </c>
      <c r="D7" s="336"/>
    </row>
    <row r="8" spans="1:12" ht="12.75" x14ac:dyDescent="0.2">
      <c r="A8" s="271" t="s">
        <v>94</v>
      </c>
      <c r="B8" s="342">
        <v>127</v>
      </c>
      <c r="C8" s="337">
        <v>99</v>
      </c>
      <c r="D8" s="336"/>
    </row>
    <row r="9" spans="1:12" ht="12.75" x14ac:dyDescent="0.2">
      <c r="A9" s="271" t="s">
        <v>95</v>
      </c>
      <c r="B9" s="342">
        <v>-3</v>
      </c>
      <c r="C9" s="337">
        <v>1</v>
      </c>
      <c r="D9" s="336"/>
    </row>
    <row r="10" spans="1:12" ht="12.75" x14ac:dyDescent="0.2">
      <c r="A10" s="340" t="s">
        <v>96</v>
      </c>
      <c r="B10" s="341">
        <f>SUM(B5:B9)</f>
        <v>-11</v>
      </c>
      <c r="C10" s="368">
        <f>SUM(C5:C9)</f>
        <v>-20</v>
      </c>
      <c r="D10" s="336"/>
    </row>
    <row r="11" spans="1:12" ht="12.75" x14ac:dyDescent="0.2">
      <c r="A11" s="271"/>
      <c r="B11" s="342"/>
      <c r="C11" s="337"/>
      <c r="D11" s="336"/>
    </row>
    <row r="12" spans="1:12" ht="12.75" x14ac:dyDescent="0.2">
      <c r="A12" s="271" t="s">
        <v>97</v>
      </c>
      <c r="B12" s="342"/>
      <c r="C12" s="337"/>
      <c r="D12" s="336"/>
    </row>
    <row r="13" spans="1:12" ht="12.75" x14ac:dyDescent="0.2">
      <c r="A13" s="271" t="s">
        <v>98</v>
      </c>
      <c r="B13" s="342">
        <v>-6</v>
      </c>
      <c r="C13" s="337">
        <v>-16</v>
      </c>
      <c r="D13" s="336"/>
    </row>
    <row r="14" spans="1:12" ht="12.75" x14ac:dyDescent="0.2">
      <c r="A14" s="271" t="s">
        <v>99</v>
      </c>
      <c r="B14" s="342">
        <v>-4</v>
      </c>
      <c r="C14" s="337">
        <v>-15</v>
      </c>
      <c r="D14" s="336"/>
    </row>
    <row r="15" spans="1:12" ht="12.75" x14ac:dyDescent="0.2">
      <c r="A15" s="271" t="s">
        <v>100</v>
      </c>
      <c r="B15" s="342">
        <v>13</v>
      </c>
      <c r="C15" s="337">
        <v>5</v>
      </c>
      <c r="D15" s="336"/>
    </row>
    <row r="16" spans="1:12" ht="12.75" x14ac:dyDescent="0.2">
      <c r="A16" s="271" t="s">
        <v>101</v>
      </c>
      <c r="B16" s="342">
        <v>5</v>
      </c>
      <c r="C16" s="337">
        <v>8</v>
      </c>
      <c r="D16" s="336"/>
    </row>
    <row r="17" spans="1:9" ht="12.75" x14ac:dyDescent="0.2">
      <c r="A17" s="271" t="s">
        <v>102</v>
      </c>
      <c r="B17" s="342">
        <v>-6</v>
      </c>
      <c r="C17" s="337">
        <v>5</v>
      </c>
      <c r="D17" s="336"/>
    </row>
    <row r="18" spans="1:9" ht="12.75" x14ac:dyDescent="0.2">
      <c r="A18" s="271" t="s">
        <v>103</v>
      </c>
      <c r="B18" s="342">
        <v>0</v>
      </c>
      <c r="C18" s="337">
        <v>0</v>
      </c>
      <c r="D18" s="336"/>
    </row>
    <row r="19" spans="1:9" ht="12.75" x14ac:dyDescent="0.2">
      <c r="A19" s="271" t="s">
        <v>104</v>
      </c>
      <c r="B19" s="342">
        <v>-13</v>
      </c>
      <c r="C19" s="337">
        <v>-7</v>
      </c>
      <c r="D19" s="336"/>
    </row>
    <row r="20" spans="1:9" ht="12.75" x14ac:dyDescent="0.2">
      <c r="A20" s="272" t="s">
        <v>105</v>
      </c>
      <c r="B20" s="339">
        <v>0</v>
      </c>
      <c r="C20" s="338">
        <v>0</v>
      </c>
      <c r="D20" s="336"/>
    </row>
    <row r="21" spans="1:9" ht="12.75" x14ac:dyDescent="0.2">
      <c r="A21" s="340" t="s">
        <v>106</v>
      </c>
      <c r="B21" s="341">
        <f t="shared" ref="B21" si="0">SUM(B13:B20)</f>
        <v>-11</v>
      </c>
      <c r="C21" s="368">
        <f t="shared" ref="C21" si="1">SUM(C13:C20)</f>
        <v>-20</v>
      </c>
      <c r="D21" s="336"/>
    </row>
    <row r="22" spans="1:9" ht="12.75" x14ac:dyDescent="0.2">
      <c r="A22" s="271"/>
      <c r="B22" s="342"/>
      <c r="C22" s="337"/>
      <c r="D22" s="336"/>
    </row>
    <row r="23" spans="1:9" ht="12.75" x14ac:dyDescent="0.2">
      <c r="A23" s="271" t="s">
        <v>107</v>
      </c>
      <c r="B23" s="342"/>
      <c r="C23" s="337"/>
      <c r="D23" s="336"/>
    </row>
    <row r="24" spans="1:9" ht="12.75" x14ac:dyDescent="0.2">
      <c r="A24" s="271" t="s">
        <v>108</v>
      </c>
      <c r="B24" s="342">
        <v>-2</v>
      </c>
      <c r="C24" s="337">
        <v>26</v>
      </c>
      <c r="D24" s="336"/>
    </row>
    <row r="25" spans="1:9" ht="12.75" x14ac:dyDescent="0.2">
      <c r="A25" s="271" t="s">
        <v>109</v>
      </c>
      <c r="B25" s="342">
        <v>-4</v>
      </c>
      <c r="C25" s="337">
        <v>-31</v>
      </c>
      <c r="D25" s="336"/>
    </row>
    <row r="26" spans="1:9" ht="12.75" x14ac:dyDescent="0.2">
      <c r="A26" s="271" t="s">
        <v>110</v>
      </c>
      <c r="B26" s="342">
        <v>-6</v>
      </c>
      <c r="C26" s="337">
        <v>-11</v>
      </c>
      <c r="D26" s="336"/>
    </row>
    <row r="27" spans="1:9" ht="12.75" x14ac:dyDescent="0.2">
      <c r="A27" s="271" t="s">
        <v>111</v>
      </c>
      <c r="B27" s="342">
        <v>3</v>
      </c>
      <c r="C27" s="337">
        <v>-1</v>
      </c>
      <c r="D27" s="336"/>
    </row>
    <row r="28" spans="1:9" ht="12.75" x14ac:dyDescent="0.2">
      <c r="A28" s="271" t="s">
        <v>112</v>
      </c>
      <c r="B28" s="342">
        <v>-2</v>
      </c>
      <c r="C28" s="337">
        <v>-3</v>
      </c>
      <c r="D28" s="336"/>
    </row>
    <row r="29" spans="1:9" ht="12.75" x14ac:dyDescent="0.2">
      <c r="A29" s="340" t="s">
        <v>113</v>
      </c>
      <c r="B29" s="341">
        <f t="shared" ref="B29" si="2">SUM(B24:B28)</f>
        <v>-11</v>
      </c>
      <c r="C29" s="368">
        <f t="shared" ref="C29" si="3">SUM(C24:C28)</f>
        <v>-20</v>
      </c>
      <c r="D29" s="336"/>
    </row>
    <row r="31" spans="1:9" x14ac:dyDescent="0.2">
      <c r="A31" s="271"/>
    </row>
    <row r="32" spans="1:9" ht="12.75" x14ac:dyDescent="0.2">
      <c r="A32" s="442" t="s">
        <v>114</v>
      </c>
      <c r="B32" s="271"/>
      <c r="C32" s="271"/>
      <c r="D32" s="271"/>
      <c r="E32" s="271"/>
      <c r="F32" s="332"/>
      <c r="G32" s="332"/>
      <c r="H32" s="332"/>
      <c r="I32" s="332"/>
    </row>
    <row r="33" spans="1:9" ht="12.75" x14ac:dyDescent="0.2">
      <c r="A33" s="442" t="s">
        <v>115</v>
      </c>
      <c r="B33" s="271"/>
      <c r="C33" s="271"/>
      <c r="D33" s="271"/>
      <c r="E33" s="271"/>
      <c r="F33" s="332"/>
      <c r="G33" s="332"/>
      <c r="H33" s="332"/>
      <c r="I33" s="332"/>
    </row>
    <row r="34" spans="1:9" ht="12.75" x14ac:dyDescent="0.2">
      <c r="A34" s="442" t="s">
        <v>116</v>
      </c>
      <c r="B34" s="271"/>
      <c r="C34" s="271"/>
      <c r="D34" s="271"/>
      <c r="E34" s="271"/>
      <c r="F34" s="332"/>
      <c r="G34" s="332"/>
      <c r="H34" s="332"/>
      <c r="I34" s="332"/>
    </row>
    <row r="35" spans="1:9" ht="12.75" x14ac:dyDescent="0.2">
      <c r="A35" s="271"/>
      <c r="B35" s="271"/>
      <c r="C35" s="271"/>
      <c r="D35" s="271"/>
      <c r="E35" s="271"/>
      <c r="F35" s="332"/>
      <c r="G35" s="332"/>
      <c r="H35" s="332"/>
      <c r="I35" s="332"/>
    </row>
    <row r="36" spans="1:9" ht="12.75" x14ac:dyDescent="0.2">
      <c r="A36" s="442" t="s">
        <v>117</v>
      </c>
      <c r="B36" s="271"/>
      <c r="C36" s="271"/>
      <c r="D36" s="271"/>
      <c r="E36" s="271"/>
      <c r="F36" s="332"/>
      <c r="G36" s="332"/>
      <c r="H36" s="332"/>
      <c r="I36" s="332"/>
    </row>
    <row r="37" spans="1:9" ht="12.75" x14ac:dyDescent="0.2">
      <c r="A37" s="443" t="s">
        <v>1095</v>
      </c>
      <c r="B37" s="271"/>
      <c r="C37" s="271"/>
      <c r="D37" s="271"/>
      <c r="E37" s="271"/>
      <c r="F37" s="332"/>
      <c r="G37" s="332"/>
      <c r="H37" s="332"/>
      <c r="I37" s="332"/>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9"/>
  <sheetViews>
    <sheetView zoomScaleNormal="100" workbookViewId="0"/>
  </sheetViews>
  <sheetFormatPr baseColWidth="10" defaultRowHeight="12.75" x14ac:dyDescent="0.2"/>
  <cols>
    <col min="1" max="1" width="4.375" style="486" customWidth="1"/>
    <col min="2" max="2" width="74.625" style="486" bestFit="1" customWidth="1"/>
    <col min="3" max="4" width="52.125" style="486" bestFit="1" customWidth="1"/>
    <col min="5" max="5" width="19" style="486" customWidth="1"/>
    <col min="6" max="8" width="22.125" style="486" customWidth="1"/>
    <col min="9" max="9" width="27.75" style="486" customWidth="1"/>
    <col min="10" max="10" width="3.75" style="486" customWidth="1"/>
    <col min="11" max="11" width="40.5" style="486" customWidth="1"/>
    <col min="12" max="12" width="42.125" style="486" customWidth="1"/>
    <col min="13" max="13" width="41.625" style="486" customWidth="1"/>
    <col min="14" max="14" width="5.375" style="486" customWidth="1"/>
    <col min="15" max="17" width="51.625" style="486" customWidth="1"/>
    <col min="18" max="19" width="51.5" style="486" customWidth="1"/>
    <col min="20" max="20" width="3.75" style="486" customWidth="1"/>
    <col min="21" max="22" width="51.5" style="486" customWidth="1"/>
    <col min="23" max="16384" width="11" style="486"/>
  </cols>
  <sheetData>
    <row r="1" spans="1:23" x14ac:dyDescent="0.2">
      <c r="A1" s="510" t="s">
        <v>860</v>
      </c>
    </row>
    <row r="2" spans="1:23" x14ac:dyDescent="0.2">
      <c r="C2" s="486" t="s">
        <v>753</v>
      </c>
    </row>
    <row r="3" spans="1:23" ht="15" x14ac:dyDescent="0.25">
      <c r="B3" s="487"/>
      <c r="C3" s="488"/>
      <c r="D3" s="489"/>
      <c r="E3" s="487"/>
      <c r="F3" s="489"/>
      <c r="G3" s="487"/>
      <c r="H3" s="487"/>
      <c r="I3" s="487"/>
      <c r="K3" s="727" t="s">
        <v>1014</v>
      </c>
      <c r="L3" s="728"/>
      <c r="M3" s="728"/>
      <c r="O3" s="727" t="s">
        <v>1096</v>
      </c>
      <c r="P3" s="727"/>
      <c r="Q3" s="727"/>
      <c r="R3" s="727"/>
      <c r="S3" s="727"/>
      <c r="U3" s="726" t="s">
        <v>1097</v>
      </c>
      <c r="V3" s="727"/>
    </row>
    <row r="4" spans="1:23" ht="13.5" thickBot="1" x14ac:dyDescent="0.25">
      <c r="A4" s="469">
        <v>1</v>
      </c>
      <c r="B4" s="490" t="s">
        <v>754</v>
      </c>
      <c r="C4" s="472" t="s">
        <v>755</v>
      </c>
      <c r="D4" s="472" t="s">
        <v>755</v>
      </c>
      <c r="E4" s="472" t="s">
        <v>755</v>
      </c>
      <c r="F4" s="472" t="s">
        <v>755</v>
      </c>
      <c r="G4" s="472" t="s">
        <v>755</v>
      </c>
      <c r="H4" s="472" t="s">
        <v>755</v>
      </c>
      <c r="I4" s="472" t="s">
        <v>755</v>
      </c>
      <c r="K4" s="472" t="s">
        <v>756</v>
      </c>
      <c r="L4" s="472" t="s">
        <v>756</v>
      </c>
      <c r="M4" s="472" t="s">
        <v>756</v>
      </c>
      <c r="O4" s="472" t="s">
        <v>757</v>
      </c>
      <c r="P4" s="472" t="s">
        <v>946</v>
      </c>
      <c r="Q4" s="472" t="s">
        <v>946</v>
      </c>
      <c r="R4" s="472" t="s">
        <v>946</v>
      </c>
      <c r="S4" s="472" t="s">
        <v>946</v>
      </c>
      <c r="U4" s="472" t="s">
        <v>758</v>
      </c>
      <c r="V4" s="472" t="s">
        <v>758</v>
      </c>
    </row>
    <row r="5" spans="1:23" x14ac:dyDescent="0.2">
      <c r="A5" s="491">
        <v>2</v>
      </c>
      <c r="B5" s="492" t="s">
        <v>759</v>
      </c>
      <c r="C5" s="354">
        <v>10552672</v>
      </c>
      <c r="D5" s="354">
        <v>10552664</v>
      </c>
      <c r="E5" s="354">
        <v>10694920</v>
      </c>
      <c r="F5" s="354">
        <v>10664568</v>
      </c>
      <c r="G5" s="354" t="s">
        <v>1009</v>
      </c>
      <c r="H5" s="354" t="s">
        <v>1164</v>
      </c>
      <c r="I5" s="354" t="s">
        <v>1167</v>
      </c>
      <c r="K5" s="468" t="s">
        <v>922</v>
      </c>
      <c r="L5" s="468" t="s">
        <v>926</v>
      </c>
      <c r="M5" s="468" t="s">
        <v>933</v>
      </c>
      <c r="N5" s="524"/>
      <c r="O5" s="533" t="s">
        <v>760</v>
      </c>
      <c r="P5" s="468" t="s">
        <v>947</v>
      </c>
      <c r="Q5" s="468" t="s">
        <v>951</v>
      </c>
      <c r="R5" s="468" t="s">
        <v>953</v>
      </c>
      <c r="S5" s="468" t="s">
        <v>1018</v>
      </c>
      <c r="U5" s="468" t="s">
        <v>761</v>
      </c>
      <c r="V5" s="468" t="s">
        <v>762</v>
      </c>
      <c r="W5" s="389"/>
    </row>
    <row r="6" spans="1:23" x14ac:dyDescent="0.2">
      <c r="A6" s="491">
        <v>3</v>
      </c>
      <c r="B6" s="492" t="s">
        <v>763</v>
      </c>
      <c r="C6" s="354" t="s">
        <v>764</v>
      </c>
      <c r="D6" s="354" t="s">
        <v>764</v>
      </c>
      <c r="E6" s="354" t="s">
        <v>764</v>
      </c>
      <c r="F6" s="354" t="s">
        <v>764</v>
      </c>
      <c r="G6" s="354" t="s">
        <v>764</v>
      </c>
      <c r="H6" s="354" t="s">
        <v>764</v>
      </c>
      <c r="I6" s="354" t="s">
        <v>764</v>
      </c>
      <c r="K6" s="389"/>
      <c r="L6" s="389"/>
      <c r="M6" s="524"/>
      <c r="N6" s="524"/>
      <c r="O6" s="468" t="s">
        <v>1144</v>
      </c>
      <c r="P6" s="468" t="s">
        <v>1144</v>
      </c>
      <c r="Q6" s="468" t="s">
        <v>1144</v>
      </c>
      <c r="R6" s="468" t="s">
        <v>1144</v>
      </c>
      <c r="S6" s="468" t="s">
        <v>1144</v>
      </c>
      <c r="U6" s="468" t="s">
        <v>1144</v>
      </c>
      <c r="V6" s="468" t="s">
        <v>1144</v>
      </c>
      <c r="W6" s="389"/>
    </row>
    <row r="7" spans="1:23" ht="13.5" customHeight="1" thickBot="1" x14ac:dyDescent="0.25">
      <c r="A7" s="469"/>
      <c r="B7" s="493" t="s">
        <v>765</v>
      </c>
      <c r="C7" s="494"/>
      <c r="D7" s="494"/>
      <c r="E7" s="494"/>
      <c r="F7" s="494"/>
      <c r="G7" s="494"/>
      <c r="H7" s="494"/>
      <c r="I7" s="494"/>
      <c r="K7" s="494"/>
      <c r="L7" s="494"/>
      <c r="M7" s="494"/>
      <c r="N7" s="524"/>
      <c r="O7" s="495"/>
      <c r="P7" s="495"/>
      <c r="Q7" s="495"/>
      <c r="R7" s="496"/>
      <c r="S7" s="495"/>
      <c r="U7" s="495"/>
      <c r="V7" s="497"/>
      <c r="W7" s="389"/>
    </row>
    <row r="8" spans="1:23" x14ac:dyDescent="0.2">
      <c r="A8" s="491">
        <v>4</v>
      </c>
      <c r="B8" s="492" t="s">
        <v>766</v>
      </c>
      <c r="C8" s="354" t="s">
        <v>767</v>
      </c>
      <c r="D8" s="354" t="s">
        <v>767</v>
      </c>
      <c r="E8" s="354" t="s">
        <v>768</v>
      </c>
      <c r="F8" s="354" t="s">
        <v>768</v>
      </c>
      <c r="G8" s="354" t="s">
        <v>768</v>
      </c>
      <c r="H8" s="354" t="s">
        <v>768</v>
      </c>
      <c r="I8" s="354" t="s">
        <v>767</v>
      </c>
      <c r="K8" s="354" t="s">
        <v>768</v>
      </c>
      <c r="L8" s="530" t="s">
        <v>927</v>
      </c>
      <c r="M8" s="530" t="s">
        <v>934</v>
      </c>
      <c r="N8" s="524"/>
      <c r="O8" s="468" t="s">
        <v>768</v>
      </c>
      <c r="P8" s="468" t="s">
        <v>948</v>
      </c>
      <c r="Q8" s="468" t="s">
        <v>928</v>
      </c>
      <c r="R8" s="527" t="s">
        <v>928</v>
      </c>
      <c r="S8" s="527" t="s">
        <v>928</v>
      </c>
      <c r="U8" s="468" t="s">
        <v>768</v>
      </c>
      <c r="V8" s="468" t="s">
        <v>769</v>
      </c>
      <c r="W8" s="389"/>
    </row>
    <row r="9" spans="1:23" x14ac:dyDescent="0.2">
      <c r="A9" s="491">
        <v>5</v>
      </c>
      <c r="B9" s="492" t="s">
        <v>770</v>
      </c>
      <c r="C9" s="354" t="s">
        <v>771</v>
      </c>
      <c r="D9" s="354" t="s">
        <v>771</v>
      </c>
      <c r="E9" s="354" t="s">
        <v>768</v>
      </c>
      <c r="F9" s="354" t="s">
        <v>768</v>
      </c>
      <c r="G9" s="354" t="s">
        <v>768</v>
      </c>
      <c r="H9" s="354" t="s">
        <v>768</v>
      </c>
      <c r="I9" s="530" t="s">
        <v>935</v>
      </c>
      <c r="K9" s="354" t="s">
        <v>768</v>
      </c>
      <c r="L9" s="527" t="s">
        <v>928</v>
      </c>
      <c r="M9" s="527" t="s">
        <v>935</v>
      </c>
      <c r="N9" s="524"/>
      <c r="O9" s="468" t="s">
        <v>768</v>
      </c>
      <c r="P9" s="468" t="s">
        <v>948</v>
      </c>
      <c r="Q9" s="468" t="s">
        <v>928</v>
      </c>
      <c r="R9" s="527" t="s">
        <v>928</v>
      </c>
      <c r="S9" s="527" t="s">
        <v>928</v>
      </c>
      <c r="U9" s="468" t="s">
        <v>768</v>
      </c>
      <c r="V9" s="468" t="s">
        <v>769</v>
      </c>
      <c r="W9" s="389"/>
    </row>
    <row r="10" spans="1:23" x14ac:dyDescent="0.2">
      <c r="A10" s="491">
        <v>6</v>
      </c>
      <c r="B10" s="492" t="s">
        <v>772</v>
      </c>
      <c r="C10" s="354" t="s">
        <v>773</v>
      </c>
      <c r="D10" s="354" t="s">
        <v>773</v>
      </c>
      <c r="E10" s="354" t="s">
        <v>773</v>
      </c>
      <c r="F10" s="354" t="s">
        <v>773</v>
      </c>
      <c r="G10" s="354" t="s">
        <v>773</v>
      </c>
      <c r="H10" s="354" t="s">
        <v>773</v>
      </c>
      <c r="I10" s="354" t="s">
        <v>773</v>
      </c>
      <c r="K10" s="468" t="s">
        <v>774</v>
      </c>
      <c r="L10" s="468" t="s">
        <v>774</v>
      </c>
      <c r="M10" s="468" t="s">
        <v>774</v>
      </c>
      <c r="O10" s="468" t="s">
        <v>774</v>
      </c>
      <c r="P10" s="468" t="s">
        <v>774</v>
      </c>
      <c r="Q10" s="468" t="s">
        <v>774</v>
      </c>
      <c r="R10" s="468" t="s">
        <v>774</v>
      </c>
      <c r="S10" s="468" t="s">
        <v>774</v>
      </c>
      <c r="U10" s="468" t="s">
        <v>774</v>
      </c>
      <c r="V10" s="468" t="s">
        <v>774</v>
      </c>
      <c r="W10" s="389"/>
    </row>
    <row r="11" spans="1:23" x14ac:dyDescent="0.2">
      <c r="A11" s="491">
        <v>7</v>
      </c>
      <c r="B11" s="104" t="s">
        <v>775</v>
      </c>
      <c r="C11" s="301"/>
      <c r="D11" s="301"/>
      <c r="E11" s="301"/>
      <c r="F11" s="301"/>
      <c r="G11" s="301"/>
      <c r="H11" s="301"/>
      <c r="I11" s="301"/>
      <c r="K11" s="468" t="s">
        <v>521</v>
      </c>
      <c r="L11" s="468" t="s">
        <v>521</v>
      </c>
      <c r="M11" s="468" t="s">
        <v>521</v>
      </c>
      <c r="O11" s="468" t="s">
        <v>776</v>
      </c>
      <c r="P11" s="468" t="s">
        <v>521</v>
      </c>
      <c r="Q11" s="468" t="s">
        <v>776</v>
      </c>
      <c r="R11" s="468" t="s">
        <v>776</v>
      </c>
      <c r="S11" s="468" t="s">
        <v>776</v>
      </c>
      <c r="U11" s="468" t="s">
        <v>776</v>
      </c>
      <c r="V11" s="468" t="s">
        <v>777</v>
      </c>
      <c r="W11" s="389"/>
    </row>
    <row r="12" spans="1:23" x14ac:dyDescent="0.2">
      <c r="A12" s="491">
        <v>8</v>
      </c>
      <c r="B12" s="104" t="s">
        <v>778</v>
      </c>
      <c r="C12" s="530" t="s">
        <v>1162</v>
      </c>
      <c r="D12" s="354" t="s">
        <v>779</v>
      </c>
      <c r="E12" s="354" t="s">
        <v>780</v>
      </c>
      <c r="F12" s="530" t="s">
        <v>1161</v>
      </c>
      <c r="G12" s="530" t="s">
        <v>1163</v>
      </c>
      <c r="H12" s="530" t="s">
        <v>1165</v>
      </c>
      <c r="I12" s="530" t="s">
        <v>1168</v>
      </c>
      <c r="K12" s="468">
        <v>500000000</v>
      </c>
      <c r="L12" s="468">
        <v>300000000</v>
      </c>
      <c r="M12" s="468">
        <v>400000000</v>
      </c>
      <c r="O12" s="468">
        <v>350000000</v>
      </c>
      <c r="P12" s="468">
        <v>1600000000</v>
      </c>
      <c r="Q12" s="468">
        <v>300000000</v>
      </c>
      <c r="R12" s="468">
        <v>180000000</v>
      </c>
      <c r="S12" s="468">
        <v>250000000</v>
      </c>
      <c r="U12" s="389">
        <v>173000000</v>
      </c>
      <c r="V12" s="468">
        <v>346000000</v>
      </c>
      <c r="W12" s="389"/>
    </row>
    <row r="13" spans="1:23" x14ac:dyDescent="0.2">
      <c r="A13" s="491">
        <v>9</v>
      </c>
      <c r="B13" s="104" t="s">
        <v>782</v>
      </c>
      <c r="C13" s="179" t="s">
        <v>783</v>
      </c>
      <c r="D13" s="354" t="s">
        <v>779</v>
      </c>
      <c r="E13" s="354" t="s">
        <v>784</v>
      </c>
      <c r="F13" s="354" t="s">
        <v>781</v>
      </c>
      <c r="G13" s="530" t="s">
        <v>1010</v>
      </c>
      <c r="H13" s="530" t="s">
        <v>1165</v>
      </c>
      <c r="I13" s="530" t="s">
        <v>1168</v>
      </c>
      <c r="K13" s="468">
        <v>500000000</v>
      </c>
      <c r="L13" s="468">
        <v>300000000</v>
      </c>
      <c r="M13" s="468">
        <v>400000000</v>
      </c>
      <c r="O13" s="468">
        <v>350000000</v>
      </c>
      <c r="P13" s="468">
        <v>1600000000</v>
      </c>
      <c r="Q13" s="468">
        <v>300000000</v>
      </c>
      <c r="R13" s="468">
        <v>180000000</v>
      </c>
      <c r="S13" s="468">
        <v>250000000</v>
      </c>
      <c r="U13" s="468">
        <v>173000000</v>
      </c>
      <c r="V13" s="468">
        <v>346000000</v>
      </c>
      <c r="W13" s="389"/>
    </row>
    <row r="14" spans="1:23" x14ac:dyDescent="0.2">
      <c r="A14" s="491" t="s">
        <v>785</v>
      </c>
      <c r="B14" s="104" t="s">
        <v>786</v>
      </c>
      <c r="C14" s="354" t="s">
        <v>787</v>
      </c>
      <c r="D14" s="354" t="s">
        <v>787</v>
      </c>
      <c r="E14" s="354" t="s">
        <v>787</v>
      </c>
      <c r="F14" s="354" t="s">
        <v>787</v>
      </c>
      <c r="G14" s="354" t="s">
        <v>787</v>
      </c>
      <c r="H14" s="354" t="s">
        <v>787</v>
      </c>
      <c r="I14" s="354" t="s">
        <v>787</v>
      </c>
      <c r="K14" s="468">
        <v>100</v>
      </c>
      <c r="L14" s="468">
        <v>100</v>
      </c>
      <c r="M14" s="468">
        <v>100</v>
      </c>
      <c r="O14" s="468">
        <v>100</v>
      </c>
      <c r="P14" s="468">
        <v>100</v>
      </c>
      <c r="Q14" s="468">
        <v>100</v>
      </c>
      <c r="R14" s="468">
        <v>100</v>
      </c>
      <c r="S14" s="468">
        <v>100</v>
      </c>
      <c r="U14" s="468">
        <v>100</v>
      </c>
      <c r="V14" s="468">
        <v>100</v>
      </c>
      <c r="W14" s="389"/>
    </row>
    <row r="15" spans="1:23" x14ac:dyDescent="0.2">
      <c r="A15" s="491" t="s">
        <v>788</v>
      </c>
      <c r="B15" s="104" t="s">
        <v>789</v>
      </c>
      <c r="C15" s="354" t="s">
        <v>790</v>
      </c>
      <c r="D15" s="354" t="s">
        <v>790</v>
      </c>
      <c r="E15" s="354" t="s">
        <v>790</v>
      </c>
      <c r="F15" s="354" t="s">
        <v>790</v>
      </c>
      <c r="G15" s="354" t="s">
        <v>790</v>
      </c>
      <c r="H15" s="354" t="s">
        <v>790</v>
      </c>
      <c r="I15" s="354" t="s">
        <v>790</v>
      </c>
      <c r="K15" s="468">
        <v>100</v>
      </c>
      <c r="L15" s="468">
        <v>100</v>
      </c>
      <c r="M15" s="468">
        <v>100</v>
      </c>
      <c r="O15" s="468">
        <v>100</v>
      </c>
      <c r="P15" s="468">
        <v>100</v>
      </c>
      <c r="Q15" s="468">
        <v>100</v>
      </c>
      <c r="R15" s="468">
        <v>100</v>
      </c>
      <c r="S15" s="468">
        <v>100</v>
      </c>
      <c r="U15" s="468">
        <v>100</v>
      </c>
      <c r="V15" s="468">
        <v>100</v>
      </c>
      <c r="W15" s="389"/>
    </row>
    <row r="16" spans="1:23" x14ac:dyDescent="0.2">
      <c r="A16" s="491">
        <v>10</v>
      </c>
      <c r="B16" s="104" t="s">
        <v>791</v>
      </c>
      <c r="C16" s="354" t="s">
        <v>792</v>
      </c>
      <c r="D16" s="354" t="s">
        <v>792</v>
      </c>
      <c r="E16" s="354" t="s">
        <v>792</v>
      </c>
      <c r="F16" s="354" t="s">
        <v>792</v>
      </c>
      <c r="G16" s="354" t="s">
        <v>792</v>
      </c>
      <c r="H16" s="354" t="s">
        <v>792</v>
      </c>
      <c r="I16" s="354" t="s">
        <v>792</v>
      </c>
      <c r="K16" s="468" t="s">
        <v>793</v>
      </c>
      <c r="L16" s="468" t="s">
        <v>793</v>
      </c>
      <c r="M16" s="468" t="s">
        <v>793</v>
      </c>
      <c r="O16" s="468" t="s">
        <v>793</v>
      </c>
      <c r="P16" s="468" t="s">
        <v>793</v>
      </c>
      <c r="Q16" s="468" t="s">
        <v>793</v>
      </c>
      <c r="R16" s="468" t="s">
        <v>793</v>
      </c>
      <c r="S16" s="468" t="s">
        <v>793</v>
      </c>
      <c r="U16" s="468" t="s">
        <v>793</v>
      </c>
      <c r="V16" s="468" t="s">
        <v>793</v>
      </c>
      <c r="W16" s="389"/>
    </row>
    <row r="17" spans="1:23" x14ac:dyDescent="0.2">
      <c r="A17" s="491">
        <v>11</v>
      </c>
      <c r="B17" s="104" t="s">
        <v>794</v>
      </c>
      <c r="C17" s="498">
        <v>40156</v>
      </c>
      <c r="D17" s="498">
        <v>40156</v>
      </c>
      <c r="E17" s="498">
        <v>41605</v>
      </c>
      <c r="F17" s="498">
        <v>41246</v>
      </c>
      <c r="G17" s="498">
        <v>42359</v>
      </c>
      <c r="H17" s="498">
        <v>42864</v>
      </c>
      <c r="I17" s="498">
        <v>42915</v>
      </c>
      <c r="K17" s="499">
        <v>42074</v>
      </c>
      <c r="L17" s="499">
        <v>41255</v>
      </c>
      <c r="M17" s="499">
        <v>41695</v>
      </c>
      <c r="O17" s="499">
        <v>41815</v>
      </c>
      <c r="P17" s="499">
        <v>41705</v>
      </c>
      <c r="Q17" s="499">
        <v>42270</v>
      </c>
      <c r="R17" s="499">
        <v>42276</v>
      </c>
      <c r="S17" s="499">
        <v>42531</v>
      </c>
      <c r="T17" s="500"/>
      <c r="U17" s="499">
        <v>41589</v>
      </c>
      <c r="V17" s="499">
        <v>41589</v>
      </c>
      <c r="W17" s="389"/>
    </row>
    <row r="18" spans="1:23" x14ac:dyDescent="0.2">
      <c r="A18" s="491">
        <v>12</v>
      </c>
      <c r="B18" s="104" t="s">
        <v>795</v>
      </c>
      <c r="C18" s="354" t="s">
        <v>796</v>
      </c>
      <c r="D18" s="354" t="s">
        <v>796</v>
      </c>
      <c r="E18" s="354" t="s">
        <v>797</v>
      </c>
      <c r="F18" s="354" t="s">
        <v>797</v>
      </c>
      <c r="G18" s="354" t="s">
        <v>797</v>
      </c>
      <c r="H18" s="354" t="s">
        <v>797</v>
      </c>
      <c r="I18" s="354" t="s">
        <v>797</v>
      </c>
      <c r="K18" s="527" t="s">
        <v>923</v>
      </c>
      <c r="L18" s="468" t="s">
        <v>796</v>
      </c>
      <c r="M18" s="499" t="s">
        <v>415</v>
      </c>
      <c r="O18" s="468" t="s">
        <v>796</v>
      </c>
      <c r="P18" s="468" t="s">
        <v>415</v>
      </c>
      <c r="Q18" s="468" t="s">
        <v>796</v>
      </c>
      <c r="R18" s="527" t="s">
        <v>923</v>
      </c>
      <c r="S18" s="527" t="s">
        <v>923</v>
      </c>
      <c r="U18" s="468" t="s">
        <v>796</v>
      </c>
      <c r="V18" s="468" t="s">
        <v>797</v>
      </c>
      <c r="W18" s="389"/>
    </row>
    <row r="19" spans="1:23" x14ac:dyDescent="0.2">
      <c r="A19" s="491">
        <v>13</v>
      </c>
      <c r="B19" s="104" t="s">
        <v>798</v>
      </c>
      <c r="C19" s="354" t="s">
        <v>799</v>
      </c>
      <c r="D19" s="354" t="s">
        <v>799</v>
      </c>
      <c r="E19" s="498">
        <v>45257</v>
      </c>
      <c r="F19" s="498">
        <v>44898</v>
      </c>
      <c r="G19" s="498">
        <v>47838</v>
      </c>
      <c r="H19" s="498">
        <v>46882</v>
      </c>
      <c r="I19" s="354" t="s">
        <v>799</v>
      </c>
      <c r="K19" s="499">
        <v>42074</v>
      </c>
      <c r="L19" s="499">
        <v>44907</v>
      </c>
      <c r="M19" s="354" t="s">
        <v>799</v>
      </c>
      <c r="O19" s="499"/>
      <c r="P19" s="499">
        <v>45358</v>
      </c>
      <c r="Q19" s="499"/>
      <c r="R19" s="499"/>
      <c r="S19" s="499"/>
      <c r="U19" s="499"/>
      <c r="V19" s="499">
        <v>45243</v>
      </c>
      <c r="W19" s="389"/>
    </row>
    <row r="20" spans="1:23" x14ac:dyDescent="0.2">
      <c r="A20" s="491">
        <v>14</v>
      </c>
      <c r="B20" s="104" t="s">
        <v>800</v>
      </c>
      <c r="C20" s="354" t="s">
        <v>801</v>
      </c>
      <c r="D20" s="354" t="s">
        <v>801</v>
      </c>
      <c r="E20" s="354" t="s">
        <v>801</v>
      </c>
      <c r="F20" s="354" t="s">
        <v>801</v>
      </c>
      <c r="G20" s="530" t="s">
        <v>930</v>
      </c>
      <c r="H20" s="530" t="s">
        <v>930</v>
      </c>
      <c r="I20" s="530" t="s">
        <v>930</v>
      </c>
      <c r="K20" s="468" t="s">
        <v>801</v>
      </c>
      <c r="L20" s="468" t="s">
        <v>801</v>
      </c>
      <c r="M20" s="468" t="s">
        <v>801</v>
      </c>
      <c r="O20" s="499" t="s">
        <v>801</v>
      </c>
      <c r="P20" s="499" t="s">
        <v>938</v>
      </c>
      <c r="Q20" s="499" t="s">
        <v>938</v>
      </c>
      <c r="R20" s="499" t="s">
        <v>801</v>
      </c>
      <c r="S20" s="499" t="s">
        <v>938</v>
      </c>
      <c r="U20" s="499" t="s">
        <v>801</v>
      </c>
      <c r="V20" s="499" t="s">
        <v>801</v>
      </c>
      <c r="W20" s="389"/>
    </row>
    <row r="21" spans="1:23" x14ac:dyDescent="0.2">
      <c r="A21" s="491">
        <v>15</v>
      </c>
      <c r="B21" s="104" t="s">
        <v>802</v>
      </c>
      <c r="C21" s="501">
        <v>43808</v>
      </c>
      <c r="D21" s="501">
        <v>43808</v>
      </c>
      <c r="E21" s="498">
        <v>43431</v>
      </c>
      <c r="F21" s="501">
        <v>43073</v>
      </c>
      <c r="G21" s="501" t="s">
        <v>931</v>
      </c>
      <c r="H21" s="501" t="s">
        <v>931</v>
      </c>
      <c r="I21" s="501" t="s">
        <v>931</v>
      </c>
      <c r="K21" s="527" t="s">
        <v>924</v>
      </c>
      <c r="L21" s="527" t="s">
        <v>929</v>
      </c>
      <c r="M21" s="527" t="s">
        <v>936</v>
      </c>
      <c r="O21" s="499">
        <v>43594</v>
      </c>
      <c r="P21" s="499">
        <v>43531</v>
      </c>
      <c r="Q21" s="499">
        <v>44097</v>
      </c>
      <c r="R21" s="499">
        <v>44103</v>
      </c>
      <c r="S21" s="499">
        <v>44322</v>
      </c>
      <c r="U21" s="499">
        <v>43416</v>
      </c>
      <c r="V21" s="499">
        <v>43416</v>
      </c>
      <c r="W21" s="389"/>
    </row>
    <row r="22" spans="1:23" x14ac:dyDescent="0.2">
      <c r="A22" s="491">
        <v>16</v>
      </c>
      <c r="B22" s="104" t="s">
        <v>803</v>
      </c>
      <c r="C22" s="301" t="s">
        <v>804</v>
      </c>
      <c r="D22" s="301" t="s">
        <v>804</v>
      </c>
      <c r="E22" s="354" t="s">
        <v>805</v>
      </c>
      <c r="F22" s="354" t="s">
        <v>805</v>
      </c>
      <c r="G22" s="530" t="s">
        <v>931</v>
      </c>
      <c r="H22" s="530" t="s">
        <v>931</v>
      </c>
      <c r="I22" s="530" t="s">
        <v>931</v>
      </c>
      <c r="K22" s="468" t="s">
        <v>806</v>
      </c>
      <c r="L22" s="468" t="s">
        <v>806</v>
      </c>
      <c r="M22" s="468" t="s">
        <v>806</v>
      </c>
      <c r="O22" s="468" t="s">
        <v>806</v>
      </c>
      <c r="P22" s="468" t="s">
        <v>806</v>
      </c>
      <c r="Q22" s="468" t="s">
        <v>806</v>
      </c>
      <c r="R22" s="468" t="s">
        <v>806</v>
      </c>
      <c r="S22" s="468" t="s">
        <v>806</v>
      </c>
      <c r="U22" s="468" t="s">
        <v>806</v>
      </c>
      <c r="V22" s="468" t="s">
        <v>806</v>
      </c>
      <c r="W22" s="389"/>
    </row>
    <row r="23" spans="1:23" ht="13.5" thickBot="1" x14ac:dyDescent="0.25">
      <c r="A23" s="469"/>
      <c r="B23" s="490" t="s">
        <v>807</v>
      </c>
      <c r="C23" s="494"/>
      <c r="D23" s="494"/>
      <c r="E23" s="494"/>
      <c r="F23" s="494"/>
      <c r="G23" s="494"/>
      <c r="H23" s="494"/>
      <c r="I23" s="494"/>
      <c r="K23" s="494"/>
      <c r="L23" s="494"/>
      <c r="M23" s="494"/>
      <c r="O23" s="502"/>
      <c r="P23" s="502"/>
      <c r="Q23" s="502"/>
      <c r="R23" s="502"/>
      <c r="S23" s="502"/>
      <c r="U23" s="502"/>
      <c r="V23" s="502"/>
      <c r="W23" s="389"/>
    </row>
    <row r="24" spans="1:23" x14ac:dyDescent="0.2">
      <c r="A24" s="491">
        <v>17</v>
      </c>
      <c r="B24" s="104" t="s">
        <v>808</v>
      </c>
      <c r="C24" s="354" t="s">
        <v>809</v>
      </c>
      <c r="D24" s="354" t="s">
        <v>810</v>
      </c>
      <c r="E24" s="354" t="s">
        <v>810</v>
      </c>
      <c r="F24" s="354" t="s">
        <v>810</v>
      </c>
      <c r="G24" s="354" t="s">
        <v>809</v>
      </c>
      <c r="H24" s="354" t="s">
        <v>810</v>
      </c>
      <c r="I24" s="354" t="s">
        <v>810</v>
      </c>
      <c r="K24" s="354" t="s">
        <v>810</v>
      </c>
      <c r="L24" s="354" t="s">
        <v>810</v>
      </c>
      <c r="M24" s="354" t="s">
        <v>810</v>
      </c>
      <c r="O24" s="354" t="s">
        <v>810</v>
      </c>
      <c r="P24" s="354" t="s">
        <v>810</v>
      </c>
      <c r="Q24" s="354" t="s">
        <v>952</v>
      </c>
      <c r="R24" s="354" t="s">
        <v>952</v>
      </c>
      <c r="S24" s="354" t="s">
        <v>952</v>
      </c>
      <c r="U24" s="468" t="s">
        <v>811</v>
      </c>
      <c r="V24" s="468" t="s">
        <v>811</v>
      </c>
      <c r="W24" s="389"/>
    </row>
    <row r="25" spans="1:23" ht="24" x14ac:dyDescent="0.2">
      <c r="A25" s="503">
        <v>18</v>
      </c>
      <c r="B25" s="104" t="s">
        <v>812</v>
      </c>
      <c r="C25" s="504" t="s">
        <v>813</v>
      </c>
      <c r="D25" s="301" t="s">
        <v>814</v>
      </c>
      <c r="E25" s="301" t="s">
        <v>815</v>
      </c>
      <c r="F25" s="301" t="s">
        <v>816</v>
      </c>
      <c r="G25" s="504" t="s">
        <v>1011</v>
      </c>
      <c r="H25" s="732" t="s">
        <v>1166</v>
      </c>
      <c r="I25" s="732" t="s">
        <v>1169</v>
      </c>
      <c r="K25" s="528" t="s">
        <v>1171</v>
      </c>
      <c r="L25" s="528" t="s">
        <v>1172</v>
      </c>
      <c r="M25" s="528" t="s">
        <v>1173</v>
      </c>
      <c r="O25" s="527" t="s">
        <v>1019</v>
      </c>
      <c r="P25" s="527" t="s">
        <v>1020</v>
      </c>
      <c r="Q25" s="527" t="s">
        <v>1021</v>
      </c>
      <c r="R25" s="527" t="s">
        <v>1021</v>
      </c>
      <c r="S25" s="527" t="s">
        <v>1143</v>
      </c>
      <c r="U25" s="527" t="s">
        <v>1022</v>
      </c>
      <c r="V25" s="527" t="s">
        <v>1026</v>
      </c>
      <c r="W25" s="389"/>
    </row>
    <row r="26" spans="1:23" x14ac:dyDescent="0.2">
      <c r="A26" s="491">
        <v>19</v>
      </c>
      <c r="B26" s="104" t="s">
        <v>817</v>
      </c>
      <c r="C26" s="354" t="s">
        <v>818</v>
      </c>
      <c r="D26" s="354" t="s">
        <v>818</v>
      </c>
      <c r="E26" s="354" t="s">
        <v>818</v>
      </c>
      <c r="F26" s="354" t="s">
        <v>818</v>
      </c>
      <c r="G26" s="354" t="s">
        <v>818</v>
      </c>
      <c r="H26" s="354" t="s">
        <v>818</v>
      </c>
      <c r="I26" s="354" t="s">
        <v>818</v>
      </c>
      <c r="K26" s="468" t="s">
        <v>818</v>
      </c>
      <c r="L26" s="468" t="s">
        <v>818</v>
      </c>
      <c r="M26" s="468" t="s">
        <v>818</v>
      </c>
      <c r="O26" s="468" t="s">
        <v>818</v>
      </c>
      <c r="P26" s="468" t="s">
        <v>930</v>
      </c>
      <c r="Q26" s="468" t="s">
        <v>930</v>
      </c>
      <c r="R26" s="468" t="s">
        <v>930</v>
      </c>
      <c r="S26" s="468" t="s">
        <v>930</v>
      </c>
      <c r="U26" s="468" t="s">
        <v>818</v>
      </c>
      <c r="V26" s="468" t="s">
        <v>818</v>
      </c>
      <c r="W26" s="389"/>
    </row>
    <row r="27" spans="1:23" x14ac:dyDescent="0.2">
      <c r="A27" s="491" t="s">
        <v>585</v>
      </c>
      <c r="B27" s="104" t="s">
        <v>819</v>
      </c>
      <c r="C27" s="354" t="s">
        <v>820</v>
      </c>
      <c r="D27" s="354" t="s">
        <v>820</v>
      </c>
      <c r="E27" s="354" t="s">
        <v>821</v>
      </c>
      <c r="F27" s="354" t="s">
        <v>821</v>
      </c>
      <c r="G27" s="530" t="s">
        <v>1012</v>
      </c>
      <c r="H27" s="530" t="s">
        <v>1012</v>
      </c>
      <c r="I27" s="530" t="s">
        <v>1012</v>
      </c>
      <c r="K27" s="468" t="s">
        <v>821</v>
      </c>
      <c r="L27" s="468" t="s">
        <v>821</v>
      </c>
      <c r="M27" s="527" t="s">
        <v>937</v>
      </c>
      <c r="O27" s="468" t="s">
        <v>821</v>
      </c>
      <c r="P27" s="527" t="s">
        <v>937</v>
      </c>
      <c r="Q27" s="468" t="s">
        <v>821</v>
      </c>
      <c r="R27" s="468" t="s">
        <v>821</v>
      </c>
      <c r="S27" s="468" t="s">
        <v>1012</v>
      </c>
      <c r="U27" s="468" t="s">
        <v>821</v>
      </c>
      <c r="V27" s="468" t="s">
        <v>822</v>
      </c>
      <c r="W27" s="389"/>
    </row>
    <row r="28" spans="1:23" x14ac:dyDescent="0.2">
      <c r="A28" s="491" t="s">
        <v>588</v>
      </c>
      <c r="B28" s="104" t="s">
        <v>823</v>
      </c>
      <c r="C28" s="354" t="s">
        <v>820</v>
      </c>
      <c r="D28" s="354" t="s">
        <v>820</v>
      </c>
      <c r="E28" s="354" t="s">
        <v>821</v>
      </c>
      <c r="F28" s="354" t="s">
        <v>821</v>
      </c>
      <c r="G28" s="530" t="s">
        <v>1012</v>
      </c>
      <c r="H28" s="530" t="s">
        <v>1012</v>
      </c>
      <c r="I28" s="530" t="s">
        <v>1012</v>
      </c>
      <c r="K28" s="468" t="s">
        <v>821</v>
      </c>
      <c r="L28" s="468" t="s">
        <v>821</v>
      </c>
      <c r="M28" s="527" t="s">
        <v>937</v>
      </c>
      <c r="O28" s="468" t="s">
        <v>821</v>
      </c>
      <c r="P28" s="527" t="s">
        <v>937</v>
      </c>
      <c r="Q28" s="468" t="s">
        <v>821</v>
      </c>
      <c r="R28" s="468" t="s">
        <v>821</v>
      </c>
      <c r="S28" s="468" t="s">
        <v>1012</v>
      </c>
      <c r="U28" s="468" t="s">
        <v>821</v>
      </c>
      <c r="V28" s="468" t="s">
        <v>822</v>
      </c>
      <c r="W28" s="389"/>
    </row>
    <row r="29" spans="1:23" x14ac:dyDescent="0.2">
      <c r="A29" s="503">
        <v>21</v>
      </c>
      <c r="B29" s="104" t="s">
        <v>824</v>
      </c>
      <c r="C29" s="354" t="s">
        <v>801</v>
      </c>
      <c r="D29" s="354" t="s">
        <v>801</v>
      </c>
      <c r="E29" s="354" t="s">
        <v>818</v>
      </c>
      <c r="F29" s="354" t="s">
        <v>818</v>
      </c>
      <c r="G29" s="530" t="s">
        <v>930</v>
      </c>
      <c r="H29" s="530" t="s">
        <v>930</v>
      </c>
      <c r="I29" s="530" t="s">
        <v>930</v>
      </c>
      <c r="K29" s="468" t="s">
        <v>818</v>
      </c>
      <c r="L29" s="468" t="s">
        <v>818</v>
      </c>
      <c r="M29" s="468" t="s">
        <v>818</v>
      </c>
      <c r="O29" s="468" t="s">
        <v>818</v>
      </c>
      <c r="P29" s="468" t="s">
        <v>938</v>
      </c>
      <c r="Q29" s="468" t="s">
        <v>818</v>
      </c>
      <c r="R29" s="468" t="s">
        <v>818</v>
      </c>
      <c r="S29" s="468" t="s">
        <v>930</v>
      </c>
      <c r="U29" s="468" t="s">
        <v>818</v>
      </c>
      <c r="V29" s="505" t="s">
        <v>801</v>
      </c>
      <c r="W29" s="389"/>
    </row>
    <row r="30" spans="1:23" x14ac:dyDescent="0.2">
      <c r="A30" s="491">
        <v>22</v>
      </c>
      <c r="B30" s="104" t="s">
        <v>825</v>
      </c>
      <c r="C30" s="354" t="s">
        <v>826</v>
      </c>
      <c r="D30" s="354" t="s">
        <v>826</v>
      </c>
      <c r="E30" s="354" t="s">
        <v>827</v>
      </c>
      <c r="F30" s="354" t="s">
        <v>827</v>
      </c>
      <c r="G30" s="530" t="s">
        <v>1013</v>
      </c>
      <c r="H30" s="530" t="s">
        <v>1013</v>
      </c>
      <c r="I30" s="530" t="s">
        <v>1013</v>
      </c>
      <c r="K30" s="468" t="s">
        <v>818</v>
      </c>
      <c r="L30" s="468" t="s">
        <v>818</v>
      </c>
      <c r="M30" s="468" t="s">
        <v>818</v>
      </c>
      <c r="O30" s="468" t="s">
        <v>827</v>
      </c>
      <c r="P30" s="468" t="s">
        <v>949</v>
      </c>
      <c r="Q30" s="468" t="s">
        <v>827</v>
      </c>
      <c r="R30" s="468" t="s">
        <v>827</v>
      </c>
      <c r="S30" s="468" t="s">
        <v>1013</v>
      </c>
      <c r="U30" s="468" t="s">
        <v>827</v>
      </c>
      <c r="V30" s="468" t="s">
        <v>828</v>
      </c>
      <c r="W30" s="389"/>
    </row>
    <row r="31" spans="1:23" ht="13.5" thickBot="1" x14ac:dyDescent="0.25">
      <c r="A31" s="469"/>
      <c r="B31" s="490" t="s">
        <v>829</v>
      </c>
      <c r="C31" s="494"/>
      <c r="D31" s="494"/>
      <c r="E31" s="494"/>
      <c r="F31" s="494"/>
      <c r="G31" s="494"/>
      <c r="H31" s="494"/>
      <c r="I31" s="494"/>
      <c r="K31" s="494"/>
      <c r="L31" s="494"/>
      <c r="M31" s="494"/>
      <c r="O31" s="502"/>
      <c r="P31" s="502"/>
      <c r="Q31" s="502"/>
      <c r="R31" s="502"/>
      <c r="S31" s="502"/>
      <c r="U31" s="495"/>
      <c r="V31" s="495"/>
      <c r="W31" s="389"/>
    </row>
    <row r="32" spans="1:23" ht="72" customHeight="1" x14ac:dyDescent="0.2">
      <c r="A32" s="503">
        <v>23</v>
      </c>
      <c r="B32" s="104" t="s">
        <v>830</v>
      </c>
      <c r="C32" s="354" t="s">
        <v>831</v>
      </c>
      <c r="D32" s="354" t="s">
        <v>831</v>
      </c>
      <c r="E32" s="354" t="s">
        <v>831</v>
      </c>
      <c r="F32" s="354" t="s">
        <v>831</v>
      </c>
      <c r="G32" s="354" t="s">
        <v>831</v>
      </c>
      <c r="H32" s="354" t="s">
        <v>831</v>
      </c>
      <c r="I32" s="354" t="s">
        <v>831</v>
      </c>
      <c r="K32" s="354" t="s">
        <v>831</v>
      </c>
      <c r="L32" s="354" t="s">
        <v>831</v>
      </c>
      <c r="M32" s="354" t="s">
        <v>831</v>
      </c>
      <c r="O32" s="506" t="s">
        <v>832</v>
      </c>
      <c r="P32" s="506" t="s">
        <v>950</v>
      </c>
      <c r="Q32" s="507" t="s">
        <v>832</v>
      </c>
      <c r="R32" s="507" t="s">
        <v>832</v>
      </c>
      <c r="S32" s="507" t="s">
        <v>832</v>
      </c>
      <c r="U32" s="507" t="s">
        <v>832</v>
      </c>
      <c r="V32" s="354" t="s">
        <v>831</v>
      </c>
      <c r="W32" s="389"/>
    </row>
    <row r="33" spans="1:23" x14ac:dyDescent="0.2">
      <c r="A33" s="491">
        <v>24</v>
      </c>
      <c r="B33" s="104" t="s">
        <v>833</v>
      </c>
      <c r="C33" s="354" t="s">
        <v>540</v>
      </c>
      <c r="D33" s="354" t="s">
        <v>540</v>
      </c>
      <c r="E33" s="354" t="s">
        <v>540</v>
      </c>
      <c r="F33" s="354" t="s">
        <v>540</v>
      </c>
      <c r="G33" s="354" t="s">
        <v>540</v>
      </c>
      <c r="H33" s="354" t="s">
        <v>540</v>
      </c>
      <c r="I33" s="354" t="s">
        <v>540</v>
      </c>
      <c r="K33" s="468" t="s">
        <v>540</v>
      </c>
      <c r="L33" s="468" t="s">
        <v>540</v>
      </c>
      <c r="M33" s="468" t="s">
        <v>540</v>
      </c>
      <c r="O33" s="468" t="s">
        <v>1023</v>
      </c>
      <c r="P33" s="468" t="s">
        <v>931</v>
      </c>
      <c r="Q33" s="468" t="s">
        <v>1023</v>
      </c>
      <c r="R33" s="468" t="s">
        <v>1023</v>
      </c>
      <c r="S33" s="468" t="s">
        <v>1023</v>
      </c>
      <c r="U33" s="468" t="s">
        <v>1023</v>
      </c>
      <c r="V33" s="468" t="s">
        <v>540</v>
      </c>
      <c r="W33" s="389"/>
    </row>
    <row r="34" spans="1:23" x14ac:dyDescent="0.2">
      <c r="A34" s="491">
        <v>25</v>
      </c>
      <c r="B34" s="104" t="s">
        <v>834</v>
      </c>
      <c r="C34" s="354" t="s">
        <v>540</v>
      </c>
      <c r="D34" s="354" t="s">
        <v>540</v>
      </c>
      <c r="E34" s="354" t="s">
        <v>540</v>
      </c>
      <c r="F34" s="354" t="s">
        <v>540</v>
      </c>
      <c r="G34" s="354" t="s">
        <v>540</v>
      </c>
      <c r="H34" s="354" t="s">
        <v>540</v>
      </c>
      <c r="I34" s="354" t="s">
        <v>540</v>
      </c>
      <c r="K34" s="468" t="s">
        <v>540</v>
      </c>
      <c r="L34" s="468" t="s">
        <v>540</v>
      </c>
      <c r="M34" s="468" t="s">
        <v>540</v>
      </c>
      <c r="O34" s="468" t="s">
        <v>1023</v>
      </c>
      <c r="P34" s="468" t="s">
        <v>931</v>
      </c>
      <c r="Q34" s="468" t="s">
        <v>1023</v>
      </c>
      <c r="R34" s="468" t="s">
        <v>1023</v>
      </c>
      <c r="S34" s="468" t="s">
        <v>1023</v>
      </c>
      <c r="U34" s="468" t="s">
        <v>1023</v>
      </c>
      <c r="V34" s="468" t="s">
        <v>540</v>
      </c>
      <c r="W34" s="389"/>
    </row>
    <row r="35" spans="1:23" x14ac:dyDescent="0.2">
      <c r="A35" s="491">
        <v>26</v>
      </c>
      <c r="B35" s="104" t="s">
        <v>835</v>
      </c>
      <c r="C35" s="354" t="s">
        <v>540</v>
      </c>
      <c r="D35" s="354" t="s">
        <v>540</v>
      </c>
      <c r="E35" s="354" t="s">
        <v>540</v>
      </c>
      <c r="F35" s="354" t="s">
        <v>540</v>
      </c>
      <c r="G35" s="354" t="s">
        <v>540</v>
      </c>
      <c r="H35" s="354" t="s">
        <v>540</v>
      </c>
      <c r="I35" s="354" t="s">
        <v>540</v>
      </c>
      <c r="K35" s="468" t="s">
        <v>540</v>
      </c>
      <c r="L35" s="468" t="s">
        <v>540</v>
      </c>
      <c r="M35" s="468" t="s">
        <v>540</v>
      </c>
      <c r="O35" s="468" t="s">
        <v>1023</v>
      </c>
      <c r="P35" s="468" t="s">
        <v>931</v>
      </c>
      <c r="Q35" s="468" t="s">
        <v>1023</v>
      </c>
      <c r="R35" s="468" t="s">
        <v>1023</v>
      </c>
      <c r="S35" s="468" t="s">
        <v>1023</v>
      </c>
      <c r="U35" s="468" t="s">
        <v>1023</v>
      </c>
      <c r="V35" s="468" t="s">
        <v>540</v>
      </c>
      <c r="W35" s="389"/>
    </row>
    <row r="36" spans="1:23" x14ac:dyDescent="0.2">
      <c r="A36" s="491">
        <v>27</v>
      </c>
      <c r="B36" s="104" t="s">
        <v>836</v>
      </c>
      <c r="C36" s="354" t="s">
        <v>540</v>
      </c>
      <c r="D36" s="354" t="s">
        <v>540</v>
      </c>
      <c r="E36" s="354" t="s">
        <v>540</v>
      </c>
      <c r="F36" s="354" t="s">
        <v>540</v>
      </c>
      <c r="G36" s="354" t="s">
        <v>540</v>
      </c>
      <c r="H36" s="354" t="s">
        <v>540</v>
      </c>
      <c r="I36" s="354" t="s">
        <v>540</v>
      </c>
      <c r="K36" s="468" t="s">
        <v>540</v>
      </c>
      <c r="L36" s="468" t="s">
        <v>540</v>
      </c>
      <c r="M36" s="468" t="s">
        <v>540</v>
      </c>
      <c r="O36" s="468" t="s">
        <v>1023</v>
      </c>
      <c r="P36" s="468" t="s">
        <v>931</v>
      </c>
      <c r="Q36" s="468" t="s">
        <v>1023</v>
      </c>
      <c r="R36" s="468" t="s">
        <v>1023</v>
      </c>
      <c r="S36" s="468" t="s">
        <v>1023</v>
      </c>
      <c r="U36" s="468" t="s">
        <v>1023</v>
      </c>
      <c r="V36" s="468" t="s">
        <v>540</v>
      </c>
      <c r="W36" s="389"/>
    </row>
    <row r="37" spans="1:23" x14ac:dyDescent="0.2">
      <c r="A37" s="491">
        <v>28</v>
      </c>
      <c r="B37" s="104" t="s">
        <v>837</v>
      </c>
      <c r="C37" s="354" t="s">
        <v>540</v>
      </c>
      <c r="D37" s="354" t="s">
        <v>540</v>
      </c>
      <c r="E37" s="354" t="s">
        <v>540</v>
      </c>
      <c r="F37" s="354" t="s">
        <v>540</v>
      </c>
      <c r="G37" s="354" t="s">
        <v>540</v>
      </c>
      <c r="H37" s="354" t="s">
        <v>540</v>
      </c>
      <c r="I37" s="354" t="s">
        <v>540</v>
      </c>
      <c r="K37" s="468" t="s">
        <v>540</v>
      </c>
      <c r="L37" s="468" t="s">
        <v>540</v>
      </c>
      <c r="M37" s="468" t="s">
        <v>540</v>
      </c>
      <c r="O37" s="468" t="s">
        <v>1023</v>
      </c>
      <c r="P37" s="468" t="s">
        <v>931</v>
      </c>
      <c r="Q37" s="468" t="s">
        <v>1023</v>
      </c>
      <c r="R37" s="468" t="s">
        <v>1023</v>
      </c>
      <c r="S37" s="468" t="s">
        <v>1023</v>
      </c>
      <c r="U37" s="468" t="s">
        <v>1023</v>
      </c>
      <c r="V37" s="468" t="s">
        <v>540</v>
      </c>
      <c r="W37" s="389"/>
    </row>
    <row r="38" spans="1:23" x14ac:dyDescent="0.2">
      <c r="A38" s="491">
        <v>29</v>
      </c>
      <c r="B38" s="104" t="s">
        <v>838</v>
      </c>
      <c r="C38" s="354" t="s">
        <v>540</v>
      </c>
      <c r="D38" s="354" t="s">
        <v>540</v>
      </c>
      <c r="E38" s="354" t="s">
        <v>540</v>
      </c>
      <c r="F38" s="354" t="s">
        <v>540</v>
      </c>
      <c r="G38" s="354" t="s">
        <v>540</v>
      </c>
      <c r="H38" s="354" t="s">
        <v>540</v>
      </c>
      <c r="I38" s="354" t="s">
        <v>540</v>
      </c>
      <c r="K38" s="468" t="s">
        <v>540</v>
      </c>
      <c r="L38" s="468" t="s">
        <v>540</v>
      </c>
      <c r="M38" s="468" t="s">
        <v>540</v>
      </c>
      <c r="O38" s="468" t="s">
        <v>1023</v>
      </c>
      <c r="P38" s="468" t="s">
        <v>931</v>
      </c>
      <c r="Q38" s="468" t="s">
        <v>1023</v>
      </c>
      <c r="R38" s="468" t="s">
        <v>1023</v>
      </c>
      <c r="S38" s="468" t="s">
        <v>1023</v>
      </c>
      <c r="U38" s="468" t="s">
        <v>1023</v>
      </c>
      <c r="V38" s="468" t="s">
        <v>540</v>
      </c>
      <c r="W38" s="389"/>
    </row>
    <row r="39" spans="1:23" ht="84" x14ac:dyDescent="0.2">
      <c r="A39" s="503">
        <v>30</v>
      </c>
      <c r="B39" s="104" t="s">
        <v>839</v>
      </c>
      <c r="C39" s="354" t="s">
        <v>801</v>
      </c>
      <c r="D39" s="354" t="s">
        <v>801</v>
      </c>
      <c r="E39" s="354" t="s">
        <v>540</v>
      </c>
      <c r="F39" s="354" t="s">
        <v>540</v>
      </c>
      <c r="G39" s="354" t="s">
        <v>540</v>
      </c>
      <c r="H39" s="354" t="s">
        <v>540</v>
      </c>
      <c r="I39" s="530" t="s">
        <v>938</v>
      </c>
      <c r="K39" s="468" t="s">
        <v>818</v>
      </c>
      <c r="L39" s="527" t="s">
        <v>930</v>
      </c>
      <c r="M39" s="527" t="s">
        <v>938</v>
      </c>
      <c r="O39" s="506" t="s">
        <v>840</v>
      </c>
      <c r="P39" s="468" t="s">
        <v>931</v>
      </c>
      <c r="Q39" s="506" t="s">
        <v>840</v>
      </c>
      <c r="R39" s="506" t="s">
        <v>840</v>
      </c>
      <c r="S39" s="506" t="s">
        <v>840</v>
      </c>
      <c r="U39" s="507" t="s">
        <v>841</v>
      </c>
      <c r="V39" s="468" t="s">
        <v>540</v>
      </c>
      <c r="W39" s="389"/>
    </row>
    <row r="40" spans="1:23" ht="84" x14ac:dyDescent="0.2">
      <c r="A40" s="503">
        <v>31</v>
      </c>
      <c r="B40" s="104" t="s">
        <v>842</v>
      </c>
      <c r="C40" s="301" t="s">
        <v>843</v>
      </c>
      <c r="D40" s="301" t="s">
        <v>843</v>
      </c>
      <c r="E40" s="354" t="s">
        <v>540</v>
      </c>
      <c r="F40" s="354" t="s">
        <v>540</v>
      </c>
      <c r="G40" s="354" t="s">
        <v>540</v>
      </c>
      <c r="H40" s="354" t="s">
        <v>540</v>
      </c>
      <c r="I40" s="354" t="s">
        <v>540</v>
      </c>
      <c r="K40" s="468" t="s">
        <v>540</v>
      </c>
      <c r="L40" s="468" t="s">
        <v>931</v>
      </c>
      <c r="M40" s="508" t="s">
        <v>939</v>
      </c>
      <c r="O40" s="507" t="s">
        <v>844</v>
      </c>
      <c r="P40" s="468" t="s">
        <v>931</v>
      </c>
      <c r="Q40" s="507" t="s">
        <v>844</v>
      </c>
      <c r="R40" s="507" t="s">
        <v>844</v>
      </c>
      <c r="S40" s="507" t="s">
        <v>844</v>
      </c>
      <c r="U40" s="506" t="s">
        <v>845</v>
      </c>
      <c r="V40" s="468" t="s">
        <v>540</v>
      </c>
      <c r="W40" s="389"/>
    </row>
    <row r="41" spans="1:23" ht="84" x14ac:dyDescent="0.2">
      <c r="A41" s="503">
        <v>32</v>
      </c>
      <c r="B41" s="104" t="s">
        <v>846</v>
      </c>
      <c r="C41" s="354" t="s">
        <v>847</v>
      </c>
      <c r="D41" s="354" t="s">
        <v>847</v>
      </c>
      <c r="E41" s="354" t="s">
        <v>540</v>
      </c>
      <c r="F41" s="354" t="s">
        <v>540</v>
      </c>
      <c r="G41" s="354" t="s">
        <v>540</v>
      </c>
      <c r="H41" s="354" t="s">
        <v>540</v>
      </c>
      <c r="I41" s="354" t="s">
        <v>847</v>
      </c>
      <c r="K41" s="468" t="s">
        <v>540</v>
      </c>
      <c r="L41" s="468" t="s">
        <v>931</v>
      </c>
      <c r="M41" s="530" t="s">
        <v>940</v>
      </c>
      <c r="O41" s="506" t="s">
        <v>848</v>
      </c>
      <c r="P41" s="468" t="s">
        <v>931</v>
      </c>
      <c r="Q41" s="506" t="s">
        <v>848</v>
      </c>
      <c r="R41" s="506" t="s">
        <v>848</v>
      </c>
      <c r="S41" s="506" t="s">
        <v>848</v>
      </c>
      <c r="U41" s="507" t="s">
        <v>849</v>
      </c>
      <c r="V41" s="468" t="s">
        <v>540</v>
      </c>
      <c r="W41" s="389"/>
    </row>
    <row r="42" spans="1:23" x14ac:dyDescent="0.2">
      <c r="A42" s="491">
        <v>33</v>
      </c>
      <c r="B42" s="104" t="s">
        <v>850</v>
      </c>
      <c r="C42" s="354" t="s">
        <v>851</v>
      </c>
      <c r="D42" s="354" t="s">
        <v>851</v>
      </c>
      <c r="E42" s="354" t="s">
        <v>540</v>
      </c>
      <c r="F42" s="354" t="s">
        <v>540</v>
      </c>
      <c r="G42" s="354" t="s">
        <v>540</v>
      </c>
      <c r="H42" s="354" t="s">
        <v>540</v>
      </c>
      <c r="I42" s="354" t="s">
        <v>851</v>
      </c>
      <c r="K42" s="468" t="s">
        <v>540</v>
      </c>
      <c r="L42" s="468" t="s">
        <v>931</v>
      </c>
      <c r="M42" s="468" t="s">
        <v>941</v>
      </c>
      <c r="O42" s="468" t="s">
        <v>851</v>
      </c>
      <c r="P42" s="468" t="s">
        <v>931</v>
      </c>
      <c r="Q42" s="468" t="s">
        <v>851</v>
      </c>
      <c r="R42" s="468" t="s">
        <v>851</v>
      </c>
      <c r="S42" s="468" t="s">
        <v>851</v>
      </c>
      <c r="U42" s="389"/>
      <c r="V42" s="468" t="s">
        <v>540</v>
      </c>
      <c r="W42" s="389"/>
    </row>
    <row r="43" spans="1:23" ht="37.5" customHeight="1" x14ac:dyDescent="0.2">
      <c r="A43" s="503">
        <v>34</v>
      </c>
      <c r="B43" s="104" t="s">
        <v>852</v>
      </c>
      <c r="C43" s="301" t="s">
        <v>853</v>
      </c>
      <c r="D43" s="301" t="s">
        <v>853</v>
      </c>
      <c r="E43" s="354" t="s">
        <v>540</v>
      </c>
      <c r="F43" s="354" t="s">
        <v>540</v>
      </c>
      <c r="G43" s="354" t="s">
        <v>540</v>
      </c>
      <c r="H43" s="354" t="s">
        <v>540</v>
      </c>
      <c r="I43" s="732" t="s">
        <v>1170</v>
      </c>
      <c r="K43" s="468" t="s">
        <v>540</v>
      </c>
      <c r="L43" s="468" t="s">
        <v>931</v>
      </c>
      <c r="M43" s="507" t="s">
        <v>942</v>
      </c>
      <c r="O43" s="532" t="s">
        <v>942</v>
      </c>
      <c r="P43" s="468"/>
      <c r="Q43" s="532" t="s">
        <v>942</v>
      </c>
      <c r="R43" s="532" t="s">
        <v>942</v>
      </c>
      <c r="S43" s="532" t="s">
        <v>942</v>
      </c>
      <c r="U43" s="507" t="s">
        <v>854</v>
      </c>
      <c r="V43" s="389"/>
      <c r="W43" s="389"/>
    </row>
    <row r="44" spans="1:23" ht="48" x14ac:dyDescent="0.2">
      <c r="A44" s="503">
        <v>35</v>
      </c>
      <c r="B44" s="104" t="s">
        <v>855</v>
      </c>
      <c r="C44" s="354" t="s">
        <v>768</v>
      </c>
      <c r="D44" s="354" t="s">
        <v>768</v>
      </c>
      <c r="E44" s="354" t="s">
        <v>856</v>
      </c>
      <c r="F44" s="354" t="s">
        <v>856</v>
      </c>
      <c r="G44" s="354" t="s">
        <v>856</v>
      </c>
      <c r="H44" s="354" t="s">
        <v>856</v>
      </c>
      <c r="I44" s="354" t="s">
        <v>768</v>
      </c>
      <c r="K44" s="529" t="s">
        <v>925</v>
      </c>
      <c r="L44" s="531" t="s">
        <v>932</v>
      </c>
      <c r="M44" s="532" t="s">
        <v>943</v>
      </c>
      <c r="O44" s="468" t="s">
        <v>777</v>
      </c>
      <c r="P44" s="468" t="s">
        <v>856</v>
      </c>
      <c r="Q44" s="468" t="s">
        <v>777</v>
      </c>
      <c r="R44" s="468" t="s">
        <v>777</v>
      </c>
      <c r="S44" s="468" t="s">
        <v>777</v>
      </c>
      <c r="U44" s="468" t="s">
        <v>777</v>
      </c>
      <c r="V44" s="468" t="s">
        <v>856</v>
      </c>
      <c r="W44" s="389"/>
    </row>
    <row r="45" spans="1:23" x14ac:dyDescent="0.2">
      <c r="A45" s="491">
        <v>36</v>
      </c>
      <c r="B45" s="104" t="s">
        <v>857</v>
      </c>
      <c r="C45" s="354" t="s">
        <v>801</v>
      </c>
      <c r="D45" s="354" t="s">
        <v>801</v>
      </c>
      <c r="E45" s="354" t="s">
        <v>540</v>
      </c>
      <c r="F45" s="354" t="s">
        <v>540</v>
      </c>
      <c r="G45" s="354" t="s">
        <v>540</v>
      </c>
      <c r="H45" s="354" t="s">
        <v>540</v>
      </c>
      <c r="I45" s="354" t="s">
        <v>540</v>
      </c>
      <c r="K45" s="468" t="s">
        <v>818</v>
      </c>
      <c r="L45" s="468" t="s">
        <v>818</v>
      </c>
      <c r="M45" s="468" t="s">
        <v>818</v>
      </c>
      <c r="O45" s="354" t="s">
        <v>540</v>
      </c>
      <c r="P45" s="354" t="s">
        <v>931</v>
      </c>
      <c r="Q45" s="354" t="s">
        <v>540</v>
      </c>
      <c r="R45" s="354" t="s">
        <v>540</v>
      </c>
      <c r="S45" s="354" t="s">
        <v>540</v>
      </c>
      <c r="U45" s="354" t="s">
        <v>540</v>
      </c>
      <c r="V45" s="354" t="s">
        <v>540</v>
      </c>
      <c r="W45" s="389"/>
    </row>
    <row r="46" spans="1:23" ht="12.75" customHeight="1" x14ac:dyDescent="0.2">
      <c r="A46" s="491">
        <v>37</v>
      </c>
      <c r="B46" s="104" t="s">
        <v>858</v>
      </c>
      <c r="C46" s="301" t="s">
        <v>859</v>
      </c>
      <c r="D46" s="301" t="s">
        <v>859</v>
      </c>
      <c r="E46" s="354" t="s">
        <v>540</v>
      </c>
      <c r="F46" s="354" t="s">
        <v>540</v>
      </c>
      <c r="G46" s="354" t="s">
        <v>540</v>
      </c>
      <c r="H46" s="354" t="s">
        <v>540</v>
      </c>
      <c r="I46" s="354" t="s">
        <v>540</v>
      </c>
      <c r="K46" s="468" t="s">
        <v>540</v>
      </c>
      <c r="L46" s="468" t="s">
        <v>540</v>
      </c>
      <c r="M46" s="468" t="s">
        <v>540</v>
      </c>
      <c r="O46" s="468" t="s">
        <v>540</v>
      </c>
      <c r="P46" s="468" t="s">
        <v>931</v>
      </c>
      <c r="Q46" s="468" t="s">
        <v>540</v>
      </c>
      <c r="R46" s="468" t="s">
        <v>540</v>
      </c>
      <c r="S46" s="468" t="s">
        <v>540</v>
      </c>
      <c r="U46" s="468" t="s">
        <v>540</v>
      </c>
      <c r="V46" s="468" t="s">
        <v>540</v>
      </c>
      <c r="W46" s="389"/>
    </row>
    <row r="47" spans="1:23" x14ac:dyDescent="0.2">
      <c r="B47" s="509"/>
      <c r="C47" s="509"/>
      <c r="D47" s="509"/>
      <c r="E47" s="509"/>
      <c r="F47" s="509"/>
      <c r="G47" s="509"/>
      <c r="H47" s="509"/>
      <c r="I47" s="509"/>
      <c r="O47" s="389"/>
      <c r="P47" s="537"/>
      <c r="Q47" s="537"/>
      <c r="R47" s="389"/>
      <c r="S47" s="579"/>
    </row>
    <row r="49" spans="11:15" x14ac:dyDescent="0.2">
      <c r="K49" s="578" t="s">
        <v>1015</v>
      </c>
      <c r="O49" s="578" t="s">
        <v>1016</v>
      </c>
    </row>
  </sheetData>
  <mergeCells count="3">
    <mergeCell ref="U3:V3"/>
    <mergeCell ref="K3:M3"/>
    <mergeCell ref="O3:S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0"/>
  <sheetViews>
    <sheetView zoomScaleNormal="100" workbookViewId="0"/>
  </sheetViews>
  <sheetFormatPr baseColWidth="10" defaultColWidth="11" defaultRowHeight="12" x14ac:dyDescent="0.2"/>
  <cols>
    <col min="1" max="1" width="23.125" style="273" customWidth="1"/>
    <col min="2" max="2" width="9.5" style="273" customWidth="1"/>
    <col min="3" max="3" width="10.25" style="273" customWidth="1"/>
    <col min="4" max="4" width="11.25" style="273" customWidth="1"/>
    <col min="5" max="5" width="11.875" style="273" customWidth="1"/>
    <col min="6" max="6" width="10.625" style="273" customWidth="1"/>
    <col min="7" max="7" width="11.625" style="273" customWidth="1"/>
    <col min="8" max="16384" width="11" style="273"/>
  </cols>
  <sheetData>
    <row r="1" spans="1:7" s="350" customFormat="1" x14ac:dyDescent="0.2">
      <c r="A1" s="103" t="s">
        <v>875</v>
      </c>
      <c r="B1" s="103"/>
      <c r="C1" s="103"/>
      <c r="D1" s="103"/>
      <c r="E1" s="103"/>
      <c r="F1" s="104"/>
    </row>
    <row r="2" spans="1:7" s="350" customFormat="1" x14ac:dyDescent="0.2">
      <c r="A2" s="615" t="s">
        <v>1103</v>
      </c>
      <c r="B2" s="105"/>
      <c r="C2" s="105"/>
      <c r="D2" s="105"/>
      <c r="E2" s="105"/>
      <c r="F2" s="104"/>
    </row>
    <row r="3" spans="1:7" s="350" customFormat="1" x14ac:dyDescent="0.2">
      <c r="A3" s="615" t="s">
        <v>1104</v>
      </c>
      <c r="B3" s="105"/>
      <c r="C3" s="105"/>
      <c r="D3" s="105"/>
      <c r="E3" s="105"/>
      <c r="F3" s="104"/>
    </row>
    <row r="4" spans="1:7" s="350" customFormat="1" ht="12" customHeight="1" x14ac:dyDescent="0.2">
      <c r="A4" s="681" t="s">
        <v>1024</v>
      </c>
      <c r="B4" s="682"/>
      <c r="C4" s="682"/>
      <c r="D4" s="682"/>
      <c r="E4" s="682"/>
      <c r="F4" s="104"/>
    </row>
    <row r="5" spans="1:7" s="350" customFormat="1" x14ac:dyDescent="0.2">
      <c r="A5" s="513" t="s">
        <v>1025</v>
      </c>
      <c r="B5" s="106"/>
      <c r="C5" s="106"/>
      <c r="D5" s="107"/>
      <c r="E5" s="104"/>
      <c r="F5" s="104"/>
    </row>
    <row r="6" spans="1:7" s="350" customFormat="1" x14ac:dyDescent="0.2">
      <c r="A6" s="104"/>
      <c r="B6" s="106"/>
      <c r="C6" s="106"/>
      <c r="D6" s="107"/>
      <c r="E6" s="104"/>
      <c r="F6" s="104"/>
    </row>
    <row r="7" spans="1:7" s="350" customFormat="1" x14ac:dyDescent="0.2">
      <c r="A7" s="104"/>
      <c r="B7" s="106"/>
      <c r="C7" s="106"/>
      <c r="D7" s="107"/>
      <c r="E7" s="104"/>
      <c r="F7" s="104"/>
    </row>
    <row r="8" spans="1:7" s="350" customFormat="1" x14ac:dyDescent="0.2">
      <c r="A8" s="103" t="s">
        <v>876</v>
      </c>
      <c r="B8" s="106"/>
      <c r="C8" s="106"/>
      <c r="D8" s="107"/>
      <c r="E8" s="104"/>
      <c r="F8" s="104"/>
      <c r="G8" s="389"/>
    </row>
    <row r="9" spans="1:7" s="350" customFormat="1" x14ac:dyDescent="0.2">
      <c r="A9" s="105" t="s">
        <v>877</v>
      </c>
      <c r="B9" s="105"/>
      <c r="C9" s="105"/>
      <c r="D9" s="105"/>
      <c r="E9" s="105"/>
      <c r="F9" s="104"/>
      <c r="G9" s="389"/>
    </row>
    <row r="10" spans="1:7" s="350" customFormat="1" x14ac:dyDescent="0.2">
      <c r="A10" s="105" t="s">
        <v>878</v>
      </c>
      <c r="B10" s="105"/>
      <c r="C10" s="105"/>
      <c r="D10" s="105"/>
      <c r="E10" s="105"/>
      <c r="F10" s="104"/>
      <c r="G10" s="389"/>
    </row>
    <row r="11" spans="1:7" s="350" customFormat="1" x14ac:dyDescent="0.2">
      <c r="A11" s="104"/>
      <c r="B11" s="106"/>
      <c r="C11" s="106"/>
      <c r="D11" s="107"/>
      <c r="E11" s="104"/>
      <c r="F11" s="104"/>
      <c r="G11" s="389"/>
    </row>
    <row r="12" spans="1:7" s="350" customFormat="1" x14ac:dyDescent="0.2"/>
    <row r="13" spans="1:7" s="350" customFormat="1" x14ac:dyDescent="0.2">
      <c r="A13" s="545" t="s">
        <v>1102</v>
      </c>
      <c r="B13" s="389"/>
      <c r="C13" s="389"/>
    </row>
    <row r="14" spans="1:7" s="350" customFormat="1" x14ac:dyDescent="0.2"/>
    <row r="15" spans="1:7" s="350" customFormat="1" ht="48.75" thickBot="1" x14ac:dyDescent="0.25">
      <c r="A15" s="419" t="s">
        <v>907</v>
      </c>
      <c r="B15" s="108" t="s">
        <v>1152</v>
      </c>
      <c r="C15" s="108" t="s">
        <v>1153</v>
      </c>
      <c r="D15" s="108" t="s">
        <v>1154</v>
      </c>
      <c r="E15" s="109" t="s">
        <v>1133</v>
      </c>
      <c r="F15" s="109" t="s">
        <v>1134</v>
      </c>
      <c r="G15" s="109" t="s">
        <v>1064</v>
      </c>
    </row>
    <row r="16" spans="1:7" s="350" customFormat="1" ht="14.25" x14ac:dyDescent="0.2">
      <c r="A16" s="350" t="s">
        <v>1135</v>
      </c>
      <c r="B16" s="357">
        <v>15.29</v>
      </c>
      <c r="C16" s="18">
        <v>11278</v>
      </c>
      <c r="D16" s="356">
        <v>16.190000000000001</v>
      </c>
      <c r="E16" s="357">
        <v>15.29</v>
      </c>
      <c r="F16" s="18">
        <v>11241</v>
      </c>
      <c r="G16" s="356">
        <v>16.52</v>
      </c>
    </row>
    <row r="17" spans="1:7" s="350" customFormat="1" x14ac:dyDescent="0.2">
      <c r="A17" s="350" t="s">
        <v>0</v>
      </c>
      <c r="B17" s="357">
        <v>21.92</v>
      </c>
      <c r="C17" s="18">
        <v>2355</v>
      </c>
      <c r="D17" s="356">
        <v>21.79</v>
      </c>
      <c r="E17" s="357">
        <v>21.92</v>
      </c>
      <c r="F17" s="18">
        <v>2482</v>
      </c>
      <c r="G17" s="356">
        <v>20.67</v>
      </c>
    </row>
    <row r="18" spans="1:7" s="350" customFormat="1" ht="14.25" x14ac:dyDescent="0.2">
      <c r="A18" s="350" t="s">
        <v>1136</v>
      </c>
      <c r="B18" s="357">
        <v>24.15</v>
      </c>
      <c r="C18" s="18">
        <v>3051</v>
      </c>
      <c r="D18" s="356">
        <v>31.54</v>
      </c>
      <c r="E18" s="357">
        <v>24.15</v>
      </c>
      <c r="F18" s="18">
        <v>3317</v>
      </c>
      <c r="G18" s="356">
        <v>28.88</v>
      </c>
    </row>
    <row r="19" spans="1:7" s="350" customFormat="1" x14ac:dyDescent="0.2">
      <c r="A19" s="20" t="s">
        <v>1137</v>
      </c>
      <c r="B19" s="360">
        <v>17.850000000000001</v>
      </c>
      <c r="C19" s="22">
        <v>1306</v>
      </c>
      <c r="D19" s="110">
        <v>15.75</v>
      </c>
      <c r="E19" s="360"/>
      <c r="F19" s="22"/>
      <c r="G19" s="110"/>
    </row>
    <row r="20" spans="1:7" s="350" customFormat="1" x14ac:dyDescent="0.2">
      <c r="B20" s="84"/>
      <c r="C20" s="84"/>
    </row>
    <row r="21" spans="1:7" s="350" customFormat="1" ht="14.25" x14ac:dyDescent="0.2">
      <c r="A21" s="111" t="s">
        <v>879</v>
      </c>
      <c r="B21" s="84"/>
      <c r="C21" s="84"/>
    </row>
    <row r="22" spans="1:7" s="350" customFormat="1" ht="14.25" x14ac:dyDescent="0.2">
      <c r="A22" s="111" t="s">
        <v>880</v>
      </c>
      <c r="B22" s="84"/>
      <c r="C22" s="84"/>
    </row>
    <row r="23" spans="1:7" s="350" customFormat="1" x14ac:dyDescent="0.2"/>
    <row r="24" spans="1:7" s="350" customFormat="1" x14ac:dyDescent="0.2">
      <c r="A24" s="389" t="s">
        <v>1</v>
      </c>
      <c r="B24" s="389"/>
      <c r="C24" s="389"/>
      <c r="D24" s="389"/>
      <c r="E24" s="389"/>
    </row>
    <row r="25" spans="1:7" s="350" customFormat="1" x14ac:dyDescent="0.2">
      <c r="A25" s="350" t="s">
        <v>2</v>
      </c>
    </row>
    <row r="26" spans="1:7" s="350" customFormat="1" x14ac:dyDescent="0.2"/>
    <row r="27" spans="1:7" s="350" customFormat="1" x14ac:dyDescent="0.2"/>
    <row r="28" spans="1:7" s="350" customFormat="1" x14ac:dyDescent="0.2"/>
    <row r="29" spans="1:7" s="350" customFormat="1" x14ac:dyDescent="0.2"/>
    <row r="30" spans="1:7" s="350" customFormat="1" x14ac:dyDescent="0.2"/>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RowHeight="12.75" x14ac:dyDescent="0.2"/>
  <cols>
    <col min="1" max="1" width="4.5" style="389" customWidth="1"/>
    <col min="2" max="2" width="103" style="389" customWidth="1"/>
    <col min="3" max="3" width="32.5" style="389" customWidth="1"/>
    <col min="4" max="4" width="45.25" style="389" customWidth="1"/>
    <col min="5" max="5" width="32.5" style="389" customWidth="1"/>
    <col min="6" max="6" width="11" style="389"/>
    <col min="7" max="16384" width="11" style="282"/>
  </cols>
  <sheetData>
    <row r="1" spans="1:5" x14ac:dyDescent="0.2">
      <c r="A1" s="485" t="s">
        <v>1004</v>
      </c>
    </row>
    <row r="2" spans="1:5" x14ac:dyDescent="0.2">
      <c r="A2" s="104"/>
    </row>
    <row r="4" spans="1:5" ht="13.5" thickBot="1" x14ac:dyDescent="0.25">
      <c r="A4" s="469"/>
      <c r="B4" s="470" t="s">
        <v>534</v>
      </c>
      <c r="C4" s="471" t="s">
        <v>535</v>
      </c>
      <c r="D4" s="472" t="s">
        <v>536</v>
      </c>
      <c r="E4" s="471" t="s">
        <v>537</v>
      </c>
    </row>
    <row r="5" spans="1:5" x14ac:dyDescent="0.2">
      <c r="A5" s="473">
        <v>1</v>
      </c>
      <c r="B5" s="106" t="s">
        <v>538</v>
      </c>
      <c r="C5" s="364">
        <v>7980608</v>
      </c>
      <c r="D5" s="301" t="s">
        <v>539</v>
      </c>
      <c r="E5" s="354" t="s">
        <v>540</v>
      </c>
    </row>
    <row r="6" spans="1:5" x14ac:dyDescent="0.2">
      <c r="A6" s="473"/>
      <c r="B6" s="104" t="s">
        <v>541</v>
      </c>
      <c r="C6" s="364">
        <v>7980608</v>
      </c>
      <c r="D6" s="474"/>
      <c r="E6" s="354" t="s">
        <v>540</v>
      </c>
    </row>
    <row r="7" spans="1:5" x14ac:dyDescent="0.2">
      <c r="A7" s="473"/>
      <c r="B7" s="104" t="s">
        <v>542</v>
      </c>
      <c r="C7" s="364"/>
      <c r="D7" s="474"/>
      <c r="E7" s="354" t="s">
        <v>540</v>
      </c>
    </row>
    <row r="8" spans="1:5" x14ac:dyDescent="0.2">
      <c r="A8" s="473"/>
      <c r="B8" s="104" t="s">
        <v>543</v>
      </c>
      <c r="C8" s="364"/>
      <c r="D8" s="474"/>
      <c r="E8" s="354" t="s">
        <v>540</v>
      </c>
    </row>
    <row r="9" spans="1:5" x14ac:dyDescent="0.2">
      <c r="A9" s="473">
        <v>2</v>
      </c>
      <c r="B9" s="293" t="s">
        <v>544</v>
      </c>
      <c r="C9" s="364">
        <v>10352813</v>
      </c>
      <c r="D9" s="354" t="s">
        <v>545</v>
      </c>
      <c r="E9" s="354" t="s">
        <v>540</v>
      </c>
    </row>
    <row r="10" spans="1:5" x14ac:dyDescent="0.2">
      <c r="A10" s="473">
        <v>3</v>
      </c>
      <c r="B10" s="293" t="s">
        <v>546</v>
      </c>
      <c r="C10" s="364">
        <v>-666718.98400000005</v>
      </c>
      <c r="D10" s="475" t="s">
        <v>547</v>
      </c>
      <c r="E10" s="354" t="s">
        <v>540</v>
      </c>
    </row>
    <row r="11" spans="1:5" x14ac:dyDescent="0.2">
      <c r="A11" s="473" t="s">
        <v>548</v>
      </c>
      <c r="B11" s="104" t="s">
        <v>549</v>
      </c>
      <c r="C11" s="364"/>
      <c r="D11" s="474" t="s">
        <v>550</v>
      </c>
      <c r="E11" s="354" t="s">
        <v>540</v>
      </c>
    </row>
    <row r="12" spans="1:5" ht="12.75" customHeight="1" x14ac:dyDescent="0.2">
      <c r="A12" s="473">
        <v>4</v>
      </c>
      <c r="B12" s="293" t="s">
        <v>551</v>
      </c>
      <c r="C12" s="364"/>
      <c r="D12" s="474"/>
      <c r="E12" s="354" t="s">
        <v>540</v>
      </c>
    </row>
    <row r="13" spans="1:5" ht="12.75" customHeight="1" x14ac:dyDescent="0.2">
      <c r="A13" s="473"/>
      <c r="B13" s="293" t="s">
        <v>552</v>
      </c>
      <c r="C13" s="364"/>
      <c r="D13" s="474"/>
      <c r="E13" s="354" t="s">
        <v>540</v>
      </c>
    </row>
    <row r="14" spans="1:5" x14ac:dyDescent="0.2">
      <c r="A14" s="473">
        <v>5</v>
      </c>
      <c r="B14" s="104" t="s">
        <v>553</v>
      </c>
      <c r="C14" s="364">
        <v>0</v>
      </c>
      <c r="D14" s="474">
        <v>84</v>
      </c>
      <c r="E14" s="354" t="s">
        <v>540</v>
      </c>
    </row>
    <row r="15" spans="1:5" ht="12.75" customHeight="1" x14ac:dyDescent="0.2">
      <c r="A15" s="473" t="s">
        <v>554</v>
      </c>
      <c r="B15" s="293" t="s">
        <v>555</v>
      </c>
      <c r="C15" s="364">
        <v>458477</v>
      </c>
      <c r="D15" s="474" t="s">
        <v>556</v>
      </c>
      <c r="E15" s="354" t="s">
        <v>540</v>
      </c>
    </row>
    <row r="16" spans="1:5" x14ac:dyDescent="0.2">
      <c r="A16" s="473">
        <v>6</v>
      </c>
      <c r="B16" s="476" t="s">
        <v>557</v>
      </c>
      <c r="C16" s="364">
        <v>18125179.015999999</v>
      </c>
      <c r="D16" s="475" t="s">
        <v>558</v>
      </c>
      <c r="E16" s="354" t="s">
        <v>540</v>
      </c>
    </row>
    <row r="17" spans="1:5" x14ac:dyDescent="0.2">
      <c r="A17" s="729"/>
      <c r="B17" s="729"/>
      <c r="C17" s="729"/>
      <c r="D17" s="729"/>
      <c r="E17" s="729"/>
    </row>
    <row r="18" spans="1:5" ht="13.5" thickBot="1" x14ac:dyDescent="0.25">
      <c r="A18" s="469"/>
      <c r="B18" s="449" t="s">
        <v>559</v>
      </c>
      <c r="C18" s="449"/>
      <c r="D18" s="449"/>
      <c r="E18" s="449"/>
    </row>
    <row r="19" spans="1:5" ht="12.75" customHeight="1" x14ac:dyDescent="0.2">
      <c r="A19" s="473">
        <v>7</v>
      </c>
      <c r="B19" s="293" t="s">
        <v>560</v>
      </c>
      <c r="C19" s="364">
        <v>-48815.228000000003</v>
      </c>
      <c r="D19" s="474" t="s">
        <v>561</v>
      </c>
      <c r="E19" s="354" t="s">
        <v>540</v>
      </c>
    </row>
    <row r="20" spans="1:5" ht="12.75" customHeight="1" x14ac:dyDescent="0.2">
      <c r="A20" s="473">
        <v>8</v>
      </c>
      <c r="B20" s="293" t="s">
        <v>562</v>
      </c>
      <c r="C20" s="364">
        <v>-119740.81700000001</v>
      </c>
      <c r="D20" s="301" t="s">
        <v>563</v>
      </c>
      <c r="E20" s="354" t="s">
        <v>540</v>
      </c>
    </row>
    <row r="21" spans="1:5" x14ac:dyDescent="0.2">
      <c r="A21" s="473">
        <v>9</v>
      </c>
      <c r="B21" s="293" t="s">
        <v>564</v>
      </c>
      <c r="C21" s="364"/>
      <c r="D21" s="354"/>
      <c r="E21" s="354" t="s">
        <v>540</v>
      </c>
    </row>
    <row r="22" spans="1:5" ht="12.75" customHeight="1" x14ac:dyDescent="0.2">
      <c r="A22" s="473">
        <v>10</v>
      </c>
      <c r="B22" s="293" t="s">
        <v>565</v>
      </c>
      <c r="C22" s="364">
        <v>0</v>
      </c>
      <c r="D22" s="475" t="s">
        <v>566</v>
      </c>
      <c r="E22" s="354" t="s">
        <v>540</v>
      </c>
    </row>
    <row r="23" spans="1:5" ht="12.75" customHeight="1" x14ac:dyDescent="0.2">
      <c r="A23" s="473">
        <v>11</v>
      </c>
      <c r="B23" s="293" t="s">
        <v>567</v>
      </c>
      <c r="C23" s="364">
        <v>0</v>
      </c>
      <c r="D23" s="474" t="s">
        <v>568</v>
      </c>
      <c r="E23" s="354" t="s">
        <v>540</v>
      </c>
    </row>
    <row r="24" spans="1:5" ht="12.75" customHeight="1" x14ac:dyDescent="0.2">
      <c r="A24" s="473">
        <v>12</v>
      </c>
      <c r="B24" s="477" t="s">
        <v>569</v>
      </c>
      <c r="C24" s="364">
        <v>-254681.86199999999</v>
      </c>
      <c r="D24" s="475" t="s">
        <v>570</v>
      </c>
      <c r="E24" s="354" t="s">
        <v>540</v>
      </c>
    </row>
    <row r="25" spans="1:5" ht="12.75" customHeight="1" x14ac:dyDescent="0.2">
      <c r="A25" s="473">
        <v>13</v>
      </c>
      <c r="B25" s="293" t="s">
        <v>571</v>
      </c>
      <c r="C25" s="364">
        <v>0</v>
      </c>
      <c r="D25" s="474" t="s">
        <v>572</v>
      </c>
      <c r="E25" s="354" t="s">
        <v>540</v>
      </c>
    </row>
    <row r="26" spans="1:5" ht="12.75" customHeight="1" x14ac:dyDescent="0.2">
      <c r="A26" s="473">
        <v>14</v>
      </c>
      <c r="B26" s="293" t="s">
        <v>573</v>
      </c>
      <c r="C26" s="364">
        <v>0</v>
      </c>
      <c r="D26" s="301" t="s">
        <v>574</v>
      </c>
      <c r="E26" s="354" t="s">
        <v>540</v>
      </c>
    </row>
    <row r="27" spans="1:5" x14ac:dyDescent="0.2">
      <c r="A27" s="473">
        <v>15</v>
      </c>
      <c r="B27" s="293" t="s">
        <v>575</v>
      </c>
      <c r="C27" s="364">
        <v>0</v>
      </c>
      <c r="D27" s="301" t="s">
        <v>576</v>
      </c>
      <c r="E27" s="354" t="s">
        <v>540</v>
      </c>
    </row>
    <row r="28" spans="1:5" ht="12.75" customHeight="1" x14ac:dyDescent="0.2">
      <c r="A28" s="473">
        <v>16</v>
      </c>
      <c r="B28" s="293" t="s">
        <v>577</v>
      </c>
      <c r="C28" s="364">
        <v>0</v>
      </c>
      <c r="D28" s="301" t="s">
        <v>578</v>
      </c>
      <c r="E28" s="354" t="s">
        <v>540</v>
      </c>
    </row>
    <row r="29" spans="1:5" ht="12.75" customHeight="1" x14ac:dyDescent="0.2">
      <c r="A29" s="473">
        <v>17</v>
      </c>
      <c r="B29" s="477" t="s">
        <v>579</v>
      </c>
      <c r="C29" s="364">
        <v>0</v>
      </c>
      <c r="D29" s="475" t="s">
        <v>580</v>
      </c>
      <c r="E29" s="354" t="s">
        <v>540</v>
      </c>
    </row>
    <row r="30" spans="1:5" ht="25.5" customHeight="1" x14ac:dyDescent="0.2">
      <c r="A30" s="473">
        <v>18</v>
      </c>
      <c r="B30" s="477" t="s">
        <v>581</v>
      </c>
      <c r="C30" s="364">
        <v>0</v>
      </c>
      <c r="D30" s="475" t="s">
        <v>582</v>
      </c>
      <c r="E30" s="354" t="s">
        <v>540</v>
      </c>
    </row>
    <row r="31" spans="1:5" ht="25.5" customHeight="1" x14ac:dyDescent="0.2">
      <c r="A31" s="473">
        <v>19</v>
      </c>
      <c r="B31" s="293" t="s">
        <v>583</v>
      </c>
      <c r="C31" s="364">
        <v>0</v>
      </c>
      <c r="D31" s="475" t="s">
        <v>584</v>
      </c>
      <c r="E31" s="354" t="s">
        <v>540</v>
      </c>
    </row>
    <row r="32" spans="1:5" x14ac:dyDescent="0.2">
      <c r="A32" s="473">
        <v>20</v>
      </c>
      <c r="B32" s="293" t="s">
        <v>564</v>
      </c>
      <c r="C32" s="364"/>
      <c r="D32" s="354"/>
      <c r="E32" s="354" t="s">
        <v>540</v>
      </c>
    </row>
    <row r="33" spans="1:5" x14ac:dyDescent="0.2">
      <c r="A33" s="473" t="s">
        <v>585</v>
      </c>
      <c r="B33" s="293" t="s">
        <v>586</v>
      </c>
      <c r="C33" s="364">
        <v>0</v>
      </c>
      <c r="D33" s="474" t="s">
        <v>587</v>
      </c>
      <c r="E33" s="354" t="s">
        <v>540</v>
      </c>
    </row>
    <row r="34" spans="1:5" ht="12.75" customHeight="1" x14ac:dyDescent="0.2">
      <c r="A34" s="478" t="s">
        <v>588</v>
      </c>
      <c r="B34" s="293" t="s">
        <v>589</v>
      </c>
      <c r="C34" s="364"/>
      <c r="D34" s="301" t="s">
        <v>590</v>
      </c>
      <c r="E34" s="354" t="s">
        <v>540</v>
      </c>
    </row>
    <row r="35" spans="1:5" ht="13.5" customHeight="1" x14ac:dyDescent="0.2">
      <c r="A35" s="478" t="s">
        <v>591</v>
      </c>
      <c r="B35" s="477" t="s">
        <v>592</v>
      </c>
      <c r="C35" s="364">
        <v>0</v>
      </c>
      <c r="D35" s="301" t="s">
        <v>593</v>
      </c>
      <c r="E35" s="354" t="s">
        <v>540</v>
      </c>
    </row>
    <row r="36" spans="1:5" ht="12.75" customHeight="1" x14ac:dyDescent="0.2">
      <c r="A36" s="478" t="s">
        <v>594</v>
      </c>
      <c r="B36" s="293" t="s">
        <v>595</v>
      </c>
      <c r="C36" s="364">
        <v>0</v>
      </c>
      <c r="D36" s="475" t="s">
        <v>596</v>
      </c>
      <c r="E36" s="354" t="s">
        <v>540</v>
      </c>
    </row>
    <row r="37" spans="1:5" ht="12.75" customHeight="1" x14ac:dyDescent="0.2">
      <c r="A37" s="473">
        <v>21</v>
      </c>
      <c r="B37" s="293" t="s">
        <v>597</v>
      </c>
      <c r="C37" s="364">
        <v>0</v>
      </c>
      <c r="D37" s="475" t="s">
        <v>598</v>
      </c>
      <c r="E37" s="354" t="s">
        <v>540</v>
      </c>
    </row>
    <row r="38" spans="1:5" ht="12.75" customHeight="1" x14ac:dyDescent="0.2">
      <c r="A38" s="473">
        <v>22</v>
      </c>
      <c r="B38" s="293" t="s">
        <v>599</v>
      </c>
      <c r="C38" s="364">
        <v>0</v>
      </c>
      <c r="D38" s="474" t="s">
        <v>600</v>
      </c>
      <c r="E38" s="354" t="s">
        <v>540</v>
      </c>
    </row>
    <row r="39" spans="1:5" ht="12.75" customHeight="1" x14ac:dyDescent="0.2">
      <c r="A39" s="473">
        <v>23</v>
      </c>
      <c r="B39" s="293" t="s">
        <v>601</v>
      </c>
      <c r="C39" s="364">
        <v>0</v>
      </c>
      <c r="D39" s="475" t="s">
        <v>602</v>
      </c>
      <c r="E39" s="354" t="s">
        <v>540</v>
      </c>
    </row>
    <row r="40" spans="1:5" x14ac:dyDescent="0.2">
      <c r="A40" s="473">
        <v>24</v>
      </c>
      <c r="B40" s="293" t="s">
        <v>564</v>
      </c>
      <c r="C40" s="364"/>
      <c r="D40" s="354"/>
      <c r="E40" s="354" t="s">
        <v>540</v>
      </c>
    </row>
    <row r="41" spans="1:5" ht="12" customHeight="1" x14ac:dyDescent="0.2">
      <c r="A41" s="473">
        <v>25</v>
      </c>
      <c r="B41" s="293" t="s">
        <v>603</v>
      </c>
      <c r="C41" s="364">
        <v>0</v>
      </c>
      <c r="D41" s="301" t="s">
        <v>598</v>
      </c>
      <c r="E41" s="354" t="s">
        <v>540</v>
      </c>
    </row>
    <row r="42" spans="1:5" ht="12.75" customHeight="1" x14ac:dyDescent="0.2">
      <c r="A42" s="478" t="s">
        <v>604</v>
      </c>
      <c r="B42" s="293" t="s">
        <v>605</v>
      </c>
      <c r="C42" s="364">
        <v>0</v>
      </c>
      <c r="D42" s="474" t="s">
        <v>606</v>
      </c>
      <c r="E42" s="354" t="s">
        <v>540</v>
      </c>
    </row>
    <row r="43" spans="1:5" ht="12.75" customHeight="1" x14ac:dyDescent="0.2">
      <c r="A43" s="478" t="s">
        <v>607</v>
      </c>
      <c r="B43" s="293" t="s">
        <v>608</v>
      </c>
      <c r="C43" s="364">
        <v>0</v>
      </c>
      <c r="D43" s="474" t="s">
        <v>609</v>
      </c>
      <c r="E43" s="354" t="s">
        <v>540</v>
      </c>
    </row>
    <row r="44" spans="1:5" ht="12.75" customHeight="1" x14ac:dyDescent="0.2">
      <c r="A44" s="473">
        <v>26</v>
      </c>
      <c r="B44" s="293" t="s">
        <v>610</v>
      </c>
      <c r="C44" s="364">
        <v>0</v>
      </c>
      <c r="D44" s="301" t="s">
        <v>611</v>
      </c>
      <c r="E44" s="354" t="s">
        <v>540</v>
      </c>
    </row>
    <row r="45" spans="1:5" ht="12.75" customHeight="1" x14ac:dyDescent="0.2">
      <c r="A45" s="478" t="s">
        <v>612</v>
      </c>
      <c r="B45" s="293" t="s">
        <v>613</v>
      </c>
      <c r="C45" s="364">
        <v>0</v>
      </c>
      <c r="D45" s="354"/>
      <c r="E45" s="354" t="s">
        <v>540</v>
      </c>
    </row>
    <row r="46" spans="1:5" x14ac:dyDescent="0.2">
      <c r="A46" s="104"/>
      <c r="B46" s="293" t="s">
        <v>614</v>
      </c>
      <c r="C46" s="364"/>
      <c r="D46" s="354"/>
      <c r="E46" s="354" t="s">
        <v>540</v>
      </c>
    </row>
    <row r="47" spans="1:5" x14ac:dyDescent="0.2">
      <c r="A47" s="104"/>
      <c r="B47" s="293" t="s">
        <v>615</v>
      </c>
      <c r="C47" s="364"/>
      <c r="D47" s="354"/>
      <c r="E47" s="354" t="s">
        <v>540</v>
      </c>
    </row>
    <row r="48" spans="1:5" x14ac:dyDescent="0.2">
      <c r="A48" s="104"/>
      <c r="B48" s="293" t="s">
        <v>616</v>
      </c>
      <c r="C48" s="364"/>
      <c r="D48" s="354">
        <v>468</v>
      </c>
      <c r="E48" s="354" t="s">
        <v>540</v>
      </c>
    </row>
    <row r="49" spans="1:5" x14ac:dyDescent="0.2">
      <c r="A49" s="104"/>
      <c r="B49" s="293" t="s">
        <v>617</v>
      </c>
      <c r="C49" s="364"/>
      <c r="D49" s="474">
        <v>468</v>
      </c>
      <c r="E49" s="354" t="s">
        <v>540</v>
      </c>
    </row>
    <row r="50" spans="1:5" ht="12.75" customHeight="1" x14ac:dyDescent="0.2">
      <c r="A50" s="478" t="s">
        <v>618</v>
      </c>
      <c r="B50" s="293" t="s">
        <v>619</v>
      </c>
      <c r="C50" s="364"/>
      <c r="D50" s="354"/>
      <c r="E50" s="354" t="s">
        <v>540</v>
      </c>
    </row>
    <row r="51" spans="1:5" x14ac:dyDescent="0.2">
      <c r="A51" s="104"/>
      <c r="B51" s="293" t="s">
        <v>620</v>
      </c>
      <c r="C51" s="364"/>
      <c r="D51" s="354"/>
      <c r="E51" s="354" t="s">
        <v>540</v>
      </c>
    </row>
    <row r="52" spans="1:5" ht="12.75" customHeight="1" x14ac:dyDescent="0.2">
      <c r="A52" s="473">
        <v>27</v>
      </c>
      <c r="B52" s="293" t="s">
        <v>621</v>
      </c>
      <c r="C52" s="364">
        <v>0</v>
      </c>
      <c r="D52" s="475" t="s">
        <v>622</v>
      </c>
      <c r="E52" s="354" t="s">
        <v>540</v>
      </c>
    </row>
    <row r="53" spans="1:5" x14ac:dyDescent="0.2">
      <c r="A53" s="473">
        <v>28</v>
      </c>
      <c r="B53" s="479" t="s">
        <v>623</v>
      </c>
      <c r="C53" s="311">
        <v>-423237.90700000001</v>
      </c>
      <c r="D53" s="301" t="s">
        <v>624</v>
      </c>
      <c r="E53" s="354" t="s">
        <v>540</v>
      </c>
    </row>
    <row r="54" spans="1:5" ht="12.75" customHeight="1" x14ac:dyDescent="0.2">
      <c r="A54" s="473">
        <v>29</v>
      </c>
      <c r="B54" s="479" t="s">
        <v>625</v>
      </c>
      <c r="C54" s="311">
        <v>17701941.108999997</v>
      </c>
      <c r="D54" s="354" t="s">
        <v>626</v>
      </c>
      <c r="E54" s="354" t="s">
        <v>540</v>
      </c>
    </row>
    <row r="55" spans="1:5" ht="12.75" customHeight="1" x14ac:dyDescent="0.2">
      <c r="A55" s="473"/>
      <c r="B55" s="479"/>
      <c r="C55" s="311"/>
      <c r="D55" s="300"/>
      <c r="E55" s="104"/>
    </row>
    <row r="56" spans="1:5" ht="13.5" thickBot="1" x14ac:dyDescent="0.25">
      <c r="A56" s="469"/>
      <c r="B56" s="449" t="s">
        <v>627</v>
      </c>
      <c r="C56" s="534"/>
      <c r="D56" s="449"/>
      <c r="E56" s="449"/>
    </row>
    <row r="57" spans="1:5" x14ac:dyDescent="0.2">
      <c r="A57" s="473">
        <v>30</v>
      </c>
      <c r="B57" s="106" t="s">
        <v>538</v>
      </c>
      <c r="C57" s="311">
        <v>446896.86700000003</v>
      </c>
      <c r="D57" s="354" t="s">
        <v>628</v>
      </c>
      <c r="E57" s="354" t="s">
        <v>540</v>
      </c>
    </row>
    <row r="58" spans="1:5" ht="12.75" customHeight="1" x14ac:dyDescent="0.2">
      <c r="A58" s="473">
        <v>31</v>
      </c>
      <c r="B58" s="293" t="s">
        <v>629</v>
      </c>
      <c r="C58" s="311">
        <v>0</v>
      </c>
      <c r="D58" s="354"/>
      <c r="E58" s="354" t="s">
        <v>540</v>
      </c>
    </row>
    <row r="59" spans="1:5" ht="12.75" customHeight="1" x14ac:dyDescent="0.2">
      <c r="A59" s="473">
        <v>32</v>
      </c>
      <c r="B59" s="293" t="s">
        <v>630</v>
      </c>
      <c r="C59" s="311">
        <v>446896.86700000003</v>
      </c>
      <c r="D59" s="354"/>
      <c r="E59" s="354" t="s">
        <v>540</v>
      </c>
    </row>
    <row r="60" spans="1:5" x14ac:dyDescent="0.2">
      <c r="A60" s="473">
        <v>33</v>
      </c>
      <c r="B60" s="293" t="s">
        <v>631</v>
      </c>
      <c r="C60" s="311">
        <v>796629.54700000002</v>
      </c>
      <c r="D60" s="354" t="s">
        <v>632</v>
      </c>
      <c r="E60" s="354" t="s">
        <v>540</v>
      </c>
    </row>
    <row r="61" spans="1:5" ht="12.75" customHeight="1" x14ac:dyDescent="0.2">
      <c r="A61" s="473">
        <v>34</v>
      </c>
      <c r="B61" s="293" t="s">
        <v>633</v>
      </c>
      <c r="C61" s="311"/>
      <c r="D61" s="354" t="s">
        <v>634</v>
      </c>
      <c r="E61" s="354" t="s">
        <v>540</v>
      </c>
    </row>
    <row r="62" spans="1:5" x14ac:dyDescent="0.2">
      <c r="A62" s="473">
        <v>35</v>
      </c>
      <c r="B62" s="106" t="s">
        <v>635</v>
      </c>
      <c r="C62" s="311"/>
      <c r="D62" s="354"/>
      <c r="E62" s="354" t="s">
        <v>540</v>
      </c>
    </row>
    <row r="63" spans="1:5" x14ac:dyDescent="0.2">
      <c r="A63" s="473">
        <v>36</v>
      </c>
      <c r="B63" s="479" t="s">
        <v>636</v>
      </c>
      <c r="C63" s="311">
        <v>1243526.4140000001</v>
      </c>
      <c r="D63" s="301" t="s">
        <v>637</v>
      </c>
      <c r="E63" s="354" t="s">
        <v>540</v>
      </c>
    </row>
    <row r="64" spans="1:5" x14ac:dyDescent="0.2">
      <c r="A64" s="473"/>
      <c r="B64" s="480"/>
      <c r="C64" s="364"/>
      <c r="D64" s="445"/>
      <c r="E64" s="104"/>
    </row>
    <row r="65" spans="1:5" ht="12.75" customHeight="1" thickBot="1" x14ac:dyDescent="0.25">
      <c r="A65" s="469"/>
      <c r="B65" s="449" t="s">
        <v>638</v>
      </c>
      <c r="C65" s="534"/>
      <c r="D65" s="449"/>
      <c r="E65" s="449"/>
    </row>
    <row r="66" spans="1:5" ht="12.75" customHeight="1" x14ac:dyDescent="0.2">
      <c r="A66" s="473">
        <v>37</v>
      </c>
      <c r="B66" s="293" t="s">
        <v>639</v>
      </c>
      <c r="C66" s="364">
        <v>-5918</v>
      </c>
      <c r="D66" s="301" t="s">
        <v>640</v>
      </c>
      <c r="E66" s="354" t="s">
        <v>540</v>
      </c>
    </row>
    <row r="67" spans="1:5" ht="12.75" customHeight="1" x14ac:dyDescent="0.2">
      <c r="A67" s="473">
        <v>38</v>
      </c>
      <c r="B67" s="293" t="s">
        <v>641</v>
      </c>
      <c r="C67" s="364">
        <v>0</v>
      </c>
      <c r="D67" s="474" t="s">
        <v>642</v>
      </c>
      <c r="E67" s="354" t="s">
        <v>540</v>
      </c>
    </row>
    <row r="68" spans="1:5" ht="24.75" customHeight="1" x14ac:dyDescent="0.2">
      <c r="A68" s="473">
        <v>39</v>
      </c>
      <c r="B68" s="477" t="s">
        <v>643</v>
      </c>
      <c r="C68" s="364">
        <v>0</v>
      </c>
      <c r="D68" s="475" t="s">
        <v>644</v>
      </c>
      <c r="E68" s="354" t="s">
        <v>540</v>
      </c>
    </row>
    <row r="69" spans="1:5" ht="25.5" customHeight="1" x14ac:dyDescent="0.2">
      <c r="A69" s="473">
        <v>40</v>
      </c>
      <c r="B69" s="477" t="s">
        <v>645</v>
      </c>
      <c r="C69" s="364">
        <v>0</v>
      </c>
      <c r="D69" s="475" t="s">
        <v>646</v>
      </c>
      <c r="E69" s="354" t="s">
        <v>540</v>
      </c>
    </row>
    <row r="70" spans="1:5" ht="12.75" customHeight="1" x14ac:dyDescent="0.2">
      <c r="A70" s="473">
        <v>41</v>
      </c>
      <c r="B70" s="293" t="s">
        <v>647</v>
      </c>
      <c r="C70" s="364">
        <v>0</v>
      </c>
      <c r="D70" s="301" t="s">
        <v>648</v>
      </c>
      <c r="E70" s="354" t="s">
        <v>540</v>
      </c>
    </row>
    <row r="71" spans="1:5" ht="12.75" customHeight="1" x14ac:dyDescent="0.2">
      <c r="A71" s="478" t="s">
        <v>649</v>
      </c>
      <c r="B71" s="293" t="s">
        <v>650</v>
      </c>
      <c r="C71" s="364">
        <v>0</v>
      </c>
      <c r="D71" s="475" t="s">
        <v>651</v>
      </c>
      <c r="E71" s="354" t="s">
        <v>540</v>
      </c>
    </row>
    <row r="72" spans="1:5" x14ac:dyDescent="0.2">
      <c r="A72" s="104"/>
      <c r="B72" s="104" t="s">
        <v>652</v>
      </c>
      <c r="C72" s="364"/>
      <c r="D72" s="354"/>
      <c r="E72" s="104"/>
    </row>
    <row r="73" spans="1:5" ht="12.75" customHeight="1" x14ac:dyDescent="0.2">
      <c r="A73" s="478" t="s">
        <v>653</v>
      </c>
      <c r="B73" s="293" t="s">
        <v>654</v>
      </c>
      <c r="C73" s="364"/>
      <c r="D73" s="354"/>
      <c r="E73" s="104"/>
    </row>
    <row r="74" spans="1:5" x14ac:dyDescent="0.2">
      <c r="A74" s="104"/>
      <c r="B74" s="293" t="s">
        <v>652</v>
      </c>
      <c r="C74" s="364"/>
      <c r="D74" s="354"/>
      <c r="E74" s="104"/>
    </row>
    <row r="75" spans="1:5" ht="12.75" customHeight="1" x14ac:dyDescent="0.2">
      <c r="A75" s="478" t="s">
        <v>655</v>
      </c>
      <c r="B75" s="293" t="s">
        <v>656</v>
      </c>
      <c r="C75" s="364"/>
      <c r="D75" s="354"/>
      <c r="E75" s="104"/>
    </row>
    <row r="76" spans="1:5" ht="12.75" customHeight="1" x14ac:dyDescent="0.2">
      <c r="A76" s="104"/>
      <c r="B76" s="293" t="s">
        <v>657</v>
      </c>
      <c r="C76" s="364"/>
      <c r="D76" s="354"/>
      <c r="E76" s="104"/>
    </row>
    <row r="77" spans="1:5" x14ac:dyDescent="0.2">
      <c r="A77" s="104"/>
      <c r="B77" s="293" t="s">
        <v>658</v>
      </c>
      <c r="C77" s="364"/>
      <c r="D77" s="354"/>
      <c r="E77" s="104"/>
    </row>
    <row r="78" spans="1:5" x14ac:dyDescent="0.2">
      <c r="A78" s="104"/>
      <c r="B78" s="293" t="s">
        <v>620</v>
      </c>
      <c r="C78" s="364"/>
      <c r="D78" s="354"/>
      <c r="E78" s="104"/>
    </row>
    <row r="79" spans="1:5" x14ac:dyDescent="0.2">
      <c r="A79" s="473">
        <v>42</v>
      </c>
      <c r="B79" s="293" t="s">
        <v>659</v>
      </c>
      <c r="C79" s="364">
        <v>0</v>
      </c>
      <c r="D79" s="354" t="s">
        <v>660</v>
      </c>
      <c r="E79" s="354" t="s">
        <v>540</v>
      </c>
    </row>
    <row r="80" spans="1:5" x14ac:dyDescent="0.2">
      <c r="A80" s="473">
        <v>43</v>
      </c>
      <c r="B80" s="476" t="s">
        <v>661</v>
      </c>
      <c r="C80" s="364">
        <v>-5918</v>
      </c>
      <c r="D80" s="301" t="s">
        <v>662</v>
      </c>
      <c r="E80" s="354" t="s">
        <v>540</v>
      </c>
    </row>
    <row r="81" spans="1:5" ht="12.75" customHeight="1" x14ac:dyDescent="0.2">
      <c r="A81" s="473">
        <v>44</v>
      </c>
      <c r="B81" s="476" t="s">
        <v>663</v>
      </c>
      <c r="C81" s="364">
        <v>1237608.4140000001</v>
      </c>
      <c r="D81" s="301" t="s">
        <v>664</v>
      </c>
      <c r="E81" s="354" t="s">
        <v>540</v>
      </c>
    </row>
    <row r="82" spans="1:5" ht="12" customHeight="1" x14ac:dyDescent="0.2">
      <c r="A82" s="473">
        <v>45</v>
      </c>
      <c r="B82" s="476" t="s">
        <v>665</v>
      </c>
      <c r="C82" s="364">
        <v>18939549.522999998</v>
      </c>
      <c r="D82" s="301" t="s">
        <v>666</v>
      </c>
      <c r="E82" s="354" t="s">
        <v>540</v>
      </c>
    </row>
    <row r="83" spans="1:5" x14ac:dyDescent="0.2">
      <c r="A83" s="473"/>
      <c r="B83" s="476"/>
      <c r="C83" s="364"/>
      <c r="D83" s="445"/>
      <c r="E83" s="104"/>
    </row>
    <row r="84" spans="1:5" ht="12.75" customHeight="1" thickBot="1" x14ac:dyDescent="0.25">
      <c r="A84" s="469"/>
      <c r="B84" s="449" t="s">
        <v>667</v>
      </c>
      <c r="C84" s="534"/>
      <c r="D84" s="449"/>
      <c r="E84" s="449"/>
    </row>
    <row r="85" spans="1:5" x14ac:dyDescent="0.2">
      <c r="A85" s="473">
        <v>46</v>
      </c>
      <c r="B85" s="293" t="s">
        <v>538</v>
      </c>
      <c r="C85" s="364">
        <v>2954758.148</v>
      </c>
      <c r="D85" s="354" t="s">
        <v>668</v>
      </c>
      <c r="E85" s="354" t="s">
        <v>540</v>
      </c>
    </row>
    <row r="86" spans="1:5" x14ac:dyDescent="0.2">
      <c r="A86" s="473">
        <v>47</v>
      </c>
      <c r="B86" s="293" t="s">
        <v>669</v>
      </c>
      <c r="C86" s="364">
        <v>0</v>
      </c>
      <c r="D86" s="354" t="s">
        <v>670</v>
      </c>
      <c r="E86" s="354" t="s">
        <v>540</v>
      </c>
    </row>
    <row r="87" spans="1:5" ht="12.75" customHeight="1" x14ac:dyDescent="0.2">
      <c r="A87" s="104"/>
      <c r="B87" s="293" t="s">
        <v>671</v>
      </c>
      <c r="C87" s="364"/>
      <c r="D87" s="354"/>
      <c r="E87" s="354" t="s">
        <v>540</v>
      </c>
    </row>
    <row r="88" spans="1:5" ht="12.75" customHeight="1" x14ac:dyDescent="0.2">
      <c r="A88" s="473">
        <v>48</v>
      </c>
      <c r="B88" s="293" t="s">
        <v>672</v>
      </c>
      <c r="C88" s="364">
        <v>0</v>
      </c>
      <c r="D88" s="474" t="s">
        <v>673</v>
      </c>
      <c r="E88" s="354" t="s">
        <v>540</v>
      </c>
    </row>
    <row r="89" spans="1:5" x14ac:dyDescent="0.2">
      <c r="A89" s="473">
        <v>49</v>
      </c>
      <c r="B89" s="477" t="s">
        <v>635</v>
      </c>
      <c r="C89" s="364"/>
      <c r="D89" s="354"/>
      <c r="E89" s="354" t="s">
        <v>540</v>
      </c>
    </row>
    <row r="90" spans="1:5" x14ac:dyDescent="0.2">
      <c r="A90" s="473">
        <v>50</v>
      </c>
      <c r="B90" s="293" t="s">
        <v>674</v>
      </c>
      <c r="C90" s="364">
        <v>0</v>
      </c>
      <c r="D90" s="354" t="s">
        <v>675</v>
      </c>
      <c r="E90" s="354" t="s">
        <v>540</v>
      </c>
    </row>
    <row r="91" spans="1:5" x14ac:dyDescent="0.2">
      <c r="A91" s="473">
        <v>51</v>
      </c>
      <c r="B91" s="476" t="s">
        <v>676</v>
      </c>
      <c r="C91" s="364">
        <v>2954758.148</v>
      </c>
      <c r="D91" s="301" t="s">
        <v>677</v>
      </c>
      <c r="E91" s="354" t="s">
        <v>540</v>
      </c>
    </row>
    <row r="92" spans="1:5" x14ac:dyDescent="0.2">
      <c r="A92" s="473"/>
      <c r="B92" s="476"/>
      <c r="C92" s="364"/>
      <c r="D92" s="445"/>
      <c r="E92" s="104"/>
    </row>
    <row r="93" spans="1:5" ht="13.5" thickBot="1" x14ac:dyDescent="0.25">
      <c r="A93" s="469"/>
      <c r="B93" s="449" t="s">
        <v>678</v>
      </c>
      <c r="C93" s="534"/>
      <c r="D93" s="449"/>
      <c r="E93" s="449"/>
    </row>
    <row r="94" spans="1:5" ht="12.75" customHeight="1" x14ac:dyDescent="0.2">
      <c r="A94" s="473">
        <v>52</v>
      </c>
      <c r="B94" s="293" t="s">
        <v>679</v>
      </c>
      <c r="C94" s="364">
        <v>-228998.62899999999</v>
      </c>
      <c r="D94" s="475" t="s">
        <v>680</v>
      </c>
      <c r="E94" s="354" t="s">
        <v>540</v>
      </c>
    </row>
    <row r="95" spans="1:5" ht="12.75" customHeight="1" x14ac:dyDescent="0.2">
      <c r="A95" s="473">
        <v>53</v>
      </c>
      <c r="B95" s="293" t="s">
        <v>681</v>
      </c>
      <c r="C95" s="364">
        <v>0</v>
      </c>
      <c r="D95" s="474" t="s">
        <v>682</v>
      </c>
      <c r="E95" s="354" t="s">
        <v>540</v>
      </c>
    </row>
    <row r="96" spans="1:5" ht="25.5" customHeight="1" x14ac:dyDescent="0.2">
      <c r="A96" s="473">
        <v>54</v>
      </c>
      <c r="B96" s="477" t="s">
        <v>683</v>
      </c>
      <c r="C96" s="364">
        <v>0</v>
      </c>
      <c r="D96" s="301" t="s">
        <v>684</v>
      </c>
      <c r="E96" s="354" t="s">
        <v>540</v>
      </c>
    </row>
    <row r="97" spans="1:5" ht="12.75" customHeight="1" x14ac:dyDescent="0.2">
      <c r="A97" s="478" t="s">
        <v>685</v>
      </c>
      <c r="B97" s="293" t="s">
        <v>686</v>
      </c>
      <c r="C97" s="364">
        <v>0</v>
      </c>
      <c r="D97" s="474"/>
      <c r="E97" s="104"/>
    </row>
    <row r="98" spans="1:5" ht="12.75" customHeight="1" x14ac:dyDescent="0.2">
      <c r="A98" s="478" t="s">
        <v>687</v>
      </c>
      <c r="B98" s="293" t="s">
        <v>688</v>
      </c>
      <c r="C98" s="364">
        <v>0</v>
      </c>
      <c r="D98" s="474"/>
      <c r="E98" s="104"/>
    </row>
    <row r="99" spans="1:5" ht="25.5" customHeight="1" x14ac:dyDescent="0.2">
      <c r="A99" s="473">
        <v>55</v>
      </c>
      <c r="B99" s="293" t="s">
        <v>689</v>
      </c>
      <c r="C99" s="364">
        <v>-42600</v>
      </c>
      <c r="D99" s="301" t="s">
        <v>690</v>
      </c>
      <c r="E99" s="354" t="s">
        <v>540</v>
      </c>
    </row>
    <row r="100" spans="1:5" ht="12.75" customHeight="1" x14ac:dyDescent="0.2">
      <c r="A100" s="473">
        <v>56</v>
      </c>
      <c r="B100" s="293" t="s">
        <v>691</v>
      </c>
      <c r="C100" s="364">
        <v>0</v>
      </c>
      <c r="D100" s="475" t="s">
        <v>692</v>
      </c>
      <c r="E100" s="354" t="s">
        <v>540</v>
      </c>
    </row>
    <row r="101" spans="1:5" ht="12.75" customHeight="1" x14ac:dyDescent="0.2">
      <c r="A101" s="473" t="s">
        <v>693</v>
      </c>
      <c r="B101" s="293" t="s">
        <v>694</v>
      </c>
      <c r="C101" s="364">
        <v>0</v>
      </c>
      <c r="D101" s="475" t="s">
        <v>651</v>
      </c>
      <c r="E101" s="354" t="s">
        <v>540</v>
      </c>
    </row>
    <row r="102" spans="1:5" x14ac:dyDescent="0.2">
      <c r="A102" s="478"/>
      <c r="B102" s="293" t="s">
        <v>652</v>
      </c>
      <c r="C102" s="364"/>
      <c r="D102" s="474"/>
      <c r="E102" s="104"/>
    </row>
    <row r="103" spans="1:5" ht="12.75" customHeight="1" x14ac:dyDescent="0.2">
      <c r="A103" s="473" t="s">
        <v>695</v>
      </c>
      <c r="B103" s="293" t="s">
        <v>696</v>
      </c>
      <c r="C103" s="364">
        <v>0</v>
      </c>
      <c r="D103" s="474"/>
      <c r="E103" s="104"/>
    </row>
    <row r="104" spans="1:5" x14ac:dyDescent="0.2">
      <c r="A104" s="478"/>
      <c r="B104" s="293" t="s">
        <v>652</v>
      </c>
      <c r="C104" s="364"/>
      <c r="D104" s="474"/>
      <c r="E104" s="104"/>
    </row>
    <row r="105" spans="1:5" ht="12.75" customHeight="1" x14ac:dyDescent="0.2">
      <c r="A105" s="473" t="s">
        <v>697</v>
      </c>
      <c r="B105" s="293" t="s">
        <v>698</v>
      </c>
      <c r="C105" s="364">
        <v>0</v>
      </c>
      <c r="D105" s="474">
        <v>468</v>
      </c>
      <c r="E105" s="354" t="s">
        <v>540</v>
      </c>
    </row>
    <row r="106" spans="1:5" x14ac:dyDescent="0.2">
      <c r="A106" s="473"/>
      <c r="B106" s="293" t="s">
        <v>657</v>
      </c>
      <c r="C106" s="364"/>
      <c r="D106" s="474"/>
      <c r="E106" s="104"/>
    </row>
    <row r="107" spans="1:5" x14ac:dyDescent="0.2">
      <c r="A107" s="473"/>
      <c r="B107" s="293" t="s">
        <v>699</v>
      </c>
      <c r="C107" s="364"/>
      <c r="D107" s="474">
        <v>468</v>
      </c>
      <c r="E107" s="354" t="s">
        <v>540</v>
      </c>
    </row>
    <row r="108" spans="1:5" x14ac:dyDescent="0.2">
      <c r="A108" s="473"/>
      <c r="B108" s="293" t="s">
        <v>620</v>
      </c>
      <c r="C108" s="364"/>
      <c r="D108" s="474"/>
      <c r="E108" s="104"/>
    </row>
    <row r="109" spans="1:5" ht="12.75" customHeight="1" x14ac:dyDescent="0.2">
      <c r="A109" s="473">
        <v>57</v>
      </c>
      <c r="B109" s="476" t="s">
        <v>700</v>
      </c>
      <c r="C109" s="364">
        <v>-271598.62899999996</v>
      </c>
      <c r="D109" s="475" t="s">
        <v>701</v>
      </c>
      <c r="E109" s="354" t="s">
        <v>540</v>
      </c>
    </row>
    <row r="110" spans="1:5" ht="12.75" customHeight="1" x14ac:dyDescent="0.2">
      <c r="A110" s="473">
        <v>58</v>
      </c>
      <c r="B110" s="476" t="s">
        <v>702</v>
      </c>
      <c r="C110" s="364">
        <v>2683159.5190000003</v>
      </c>
      <c r="D110" s="475" t="s">
        <v>703</v>
      </c>
      <c r="E110" s="354" t="s">
        <v>540</v>
      </c>
    </row>
    <row r="111" spans="1:5" x14ac:dyDescent="0.2">
      <c r="A111" s="473">
        <v>59</v>
      </c>
      <c r="B111" s="476" t="s">
        <v>704</v>
      </c>
      <c r="C111" s="364">
        <v>21622709.041999999</v>
      </c>
      <c r="D111" s="475" t="s">
        <v>705</v>
      </c>
      <c r="E111" s="354" t="s">
        <v>540</v>
      </c>
    </row>
    <row r="112" spans="1:5" ht="12" customHeight="1" x14ac:dyDescent="0.2">
      <c r="A112" s="473" t="s">
        <v>706</v>
      </c>
      <c r="B112" s="293" t="s">
        <v>707</v>
      </c>
      <c r="C112" s="364">
        <v>0</v>
      </c>
      <c r="D112" s="474" t="s">
        <v>708</v>
      </c>
      <c r="E112" s="354" t="s">
        <v>540</v>
      </c>
    </row>
    <row r="113" spans="1:5" x14ac:dyDescent="0.2">
      <c r="A113" s="478"/>
      <c r="B113" s="293" t="s">
        <v>709</v>
      </c>
      <c r="C113" s="364">
        <v>0</v>
      </c>
      <c r="D113" s="474" t="s">
        <v>710</v>
      </c>
      <c r="E113" s="354" t="s">
        <v>540</v>
      </c>
    </row>
    <row r="114" spans="1:5" ht="12.75" customHeight="1" x14ac:dyDescent="0.2">
      <c r="A114" s="478"/>
      <c r="B114" s="293" t="s">
        <v>711</v>
      </c>
      <c r="C114" s="364"/>
      <c r="D114" s="474"/>
      <c r="E114" s="104"/>
    </row>
    <row r="115" spans="1:5" x14ac:dyDescent="0.2">
      <c r="A115" s="478"/>
      <c r="B115" s="293" t="s">
        <v>712</v>
      </c>
      <c r="C115" s="364"/>
      <c r="D115" s="473"/>
      <c r="E115" s="104"/>
    </row>
    <row r="116" spans="1:5" x14ac:dyDescent="0.2">
      <c r="A116" s="473">
        <v>60</v>
      </c>
      <c r="B116" s="481" t="s">
        <v>713</v>
      </c>
      <c r="C116" s="364">
        <v>120683321.36000001</v>
      </c>
      <c r="D116" s="473"/>
      <c r="E116" s="104"/>
    </row>
    <row r="117" spans="1:5" x14ac:dyDescent="0.2">
      <c r="A117" s="473"/>
      <c r="B117" s="481"/>
      <c r="C117" s="364"/>
      <c r="D117" s="473"/>
      <c r="E117" s="104"/>
    </row>
    <row r="118" spans="1:5" ht="12.75" customHeight="1" thickBot="1" x14ac:dyDescent="0.25">
      <c r="A118" s="469"/>
      <c r="B118" s="449" t="s">
        <v>714</v>
      </c>
      <c r="C118" s="534"/>
      <c r="D118" s="449"/>
      <c r="E118" s="449"/>
    </row>
    <row r="119" spans="1:5" x14ac:dyDescent="0.2">
      <c r="A119" s="473">
        <v>61</v>
      </c>
      <c r="B119" s="481" t="s">
        <v>715</v>
      </c>
      <c r="C119" s="482">
        <v>0.14668092158480511</v>
      </c>
      <c r="D119" s="474" t="s">
        <v>716</v>
      </c>
      <c r="E119" s="354" t="s">
        <v>540</v>
      </c>
    </row>
    <row r="120" spans="1:5" x14ac:dyDescent="0.2">
      <c r="A120" s="473">
        <v>62</v>
      </c>
      <c r="B120" s="481" t="s">
        <v>717</v>
      </c>
      <c r="C120" s="482">
        <v>0.15693592617080085</v>
      </c>
      <c r="D120" s="474" t="s">
        <v>718</v>
      </c>
      <c r="E120" s="354" t="s">
        <v>540</v>
      </c>
    </row>
    <row r="121" spans="1:5" x14ac:dyDescent="0.2">
      <c r="A121" s="473">
        <v>63</v>
      </c>
      <c r="B121" s="481" t="s">
        <v>719</v>
      </c>
      <c r="C121" s="482">
        <v>0.17916898612277302</v>
      </c>
      <c r="D121" s="474" t="s">
        <v>720</v>
      </c>
      <c r="E121" s="354" t="s">
        <v>540</v>
      </c>
    </row>
    <row r="122" spans="1:5" x14ac:dyDescent="0.2">
      <c r="A122" s="473">
        <v>64</v>
      </c>
      <c r="B122" s="476" t="s">
        <v>721</v>
      </c>
      <c r="C122" s="482">
        <v>0.115</v>
      </c>
      <c r="D122" s="475" t="s">
        <v>722</v>
      </c>
      <c r="E122" s="354" t="s">
        <v>540</v>
      </c>
    </row>
    <row r="123" spans="1:5" x14ac:dyDescent="0.2">
      <c r="A123" s="473">
        <v>65</v>
      </c>
      <c r="B123" s="481" t="s">
        <v>723</v>
      </c>
      <c r="C123" s="482">
        <v>2.5000000000000001E-2</v>
      </c>
      <c r="D123" s="474"/>
      <c r="E123" s="104"/>
    </row>
    <row r="124" spans="1:5" x14ac:dyDescent="0.2">
      <c r="A124" s="473">
        <v>66</v>
      </c>
      <c r="B124" s="481" t="s">
        <v>724</v>
      </c>
      <c r="C124" s="482">
        <v>1.4999999999999999E-2</v>
      </c>
      <c r="D124" s="474"/>
      <c r="E124" s="104"/>
    </row>
    <row r="125" spans="1:5" x14ac:dyDescent="0.2">
      <c r="A125" s="473">
        <v>67</v>
      </c>
      <c r="B125" s="481" t="s">
        <v>725</v>
      </c>
      <c r="C125" s="482">
        <v>0.03</v>
      </c>
      <c r="D125" s="474"/>
      <c r="E125" s="104"/>
    </row>
    <row r="126" spans="1:5" x14ac:dyDescent="0.2">
      <c r="A126" s="473" t="s">
        <v>726</v>
      </c>
      <c r="B126" s="481" t="s">
        <v>727</v>
      </c>
      <c r="C126" s="482">
        <v>0</v>
      </c>
      <c r="D126" s="474" t="s">
        <v>728</v>
      </c>
      <c r="E126" s="354" t="s">
        <v>540</v>
      </c>
    </row>
    <row r="127" spans="1:5" x14ac:dyDescent="0.2">
      <c r="A127" s="473">
        <v>68</v>
      </c>
      <c r="B127" s="481" t="s">
        <v>729</v>
      </c>
      <c r="C127" s="482">
        <v>3.1680921584805108E-2</v>
      </c>
      <c r="D127" s="474" t="s">
        <v>730</v>
      </c>
      <c r="E127" s="354" t="s">
        <v>540</v>
      </c>
    </row>
    <row r="128" spans="1:5" x14ac:dyDescent="0.2">
      <c r="A128" s="473">
        <v>69</v>
      </c>
      <c r="B128" s="481" t="s">
        <v>731</v>
      </c>
      <c r="C128" s="104"/>
      <c r="D128" s="474"/>
      <c r="E128" s="104"/>
    </row>
    <row r="129" spans="1:5" x14ac:dyDescent="0.2">
      <c r="A129" s="473">
        <v>70</v>
      </c>
      <c r="B129" s="481" t="s">
        <v>731</v>
      </c>
      <c r="C129" s="104"/>
      <c r="D129" s="474"/>
      <c r="E129" s="104"/>
    </row>
    <row r="130" spans="1:5" x14ac:dyDescent="0.2">
      <c r="A130" s="473">
        <v>71</v>
      </c>
      <c r="B130" s="481" t="s">
        <v>731</v>
      </c>
      <c r="C130" s="104"/>
      <c r="D130" s="474"/>
      <c r="E130" s="104"/>
    </row>
    <row r="131" spans="1:5" x14ac:dyDescent="0.2">
      <c r="A131" s="473"/>
      <c r="B131" s="481"/>
      <c r="C131" s="104"/>
      <c r="D131" s="474"/>
      <c r="E131" s="104"/>
    </row>
    <row r="132" spans="1:5" ht="13.5" thickBot="1" x14ac:dyDescent="0.25">
      <c r="A132" s="469"/>
      <c r="B132" s="449" t="s">
        <v>714</v>
      </c>
      <c r="C132" s="534"/>
      <c r="D132" s="449"/>
      <c r="E132" s="449"/>
    </row>
    <row r="133" spans="1:5" ht="25.5" customHeight="1" x14ac:dyDescent="0.2">
      <c r="A133" s="473">
        <v>72</v>
      </c>
      <c r="B133" s="293" t="s">
        <v>732</v>
      </c>
      <c r="C133" s="483">
        <v>90652</v>
      </c>
      <c r="D133" s="475" t="s">
        <v>733</v>
      </c>
      <c r="E133" s="474" t="s">
        <v>540</v>
      </c>
    </row>
    <row r="134" spans="1:5" ht="25.5" customHeight="1" x14ac:dyDescent="0.2">
      <c r="A134" s="473">
        <v>73</v>
      </c>
      <c r="B134" s="293" t="s">
        <v>734</v>
      </c>
      <c r="C134" s="483">
        <v>1600643</v>
      </c>
      <c r="D134" s="475" t="s">
        <v>735</v>
      </c>
      <c r="E134" s="474" t="s">
        <v>540</v>
      </c>
    </row>
    <row r="135" spans="1:5" x14ac:dyDescent="0.2">
      <c r="A135" s="473">
        <v>74</v>
      </c>
      <c r="B135" s="106" t="s">
        <v>564</v>
      </c>
      <c r="C135" s="106"/>
      <c r="D135" s="354"/>
      <c r="E135" s="104"/>
    </row>
    <row r="136" spans="1:5" ht="12.75" customHeight="1" x14ac:dyDescent="0.2">
      <c r="A136" s="473">
        <v>75</v>
      </c>
      <c r="B136" s="293" t="s">
        <v>736</v>
      </c>
      <c r="C136" s="106"/>
      <c r="D136" s="301" t="s">
        <v>737</v>
      </c>
      <c r="E136" s="474" t="s">
        <v>540</v>
      </c>
    </row>
    <row r="137" spans="1:5" x14ac:dyDescent="0.2">
      <c r="A137" s="473"/>
      <c r="B137" s="293"/>
      <c r="C137" s="104"/>
      <c r="D137" s="475"/>
      <c r="E137" s="104"/>
    </row>
    <row r="138" spans="1:5" ht="12.75" customHeight="1" thickBot="1" x14ac:dyDescent="0.25">
      <c r="A138" s="469"/>
      <c r="B138" s="449" t="s">
        <v>738</v>
      </c>
      <c r="C138" s="534"/>
      <c r="D138" s="449"/>
      <c r="E138" s="449"/>
    </row>
    <row r="139" spans="1:5" x14ac:dyDescent="0.2">
      <c r="A139" s="473">
        <v>76</v>
      </c>
      <c r="B139" s="104" t="s">
        <v>739</v>
      </c>
      <c r="C139" s="354">
        <v>0</v>
      </c>
      <c r="D139" s="354">
        <v>62</v>
      </c>
      <c r="E139" s="474" t="s">
        <v>540</v>
      </c>
    </row>
    <row r="140" spans="1:5" ht="12.75" customHeight="1" x14ac:dyDescent="0.2">
      <c r="A140" s="473">
        <v>77</v>
      </c>
      <c r="B140" s="293" t="s">
        <v>740</v>
      </c>
      <c r="C140" s="354"/>
      <c r="D140" s="354">
        <v>62</v>
      </c>
      <c r="E140" s="474" t="s">
        <v>540</v>
      </c>
    </row>
    <row r="141" spans="1:5" x14ac:dyDescent="0.2">
      <c r="A141" s="473">
        <v>78</v>
      </c>
      <c r="B141" s="104" t="s">
        <v>674</v>
      </c>
      <c r="C141" s="354">
        <v>0</v>
      </c>
      <c r="D141" s="354">
        <v>62</v>
      </c>
      <c r="E141" s="474" t="s">
        <v>540</v>
      </c>
    </row>
    <row r="142" spans="1:5" ht="12.75" customHeight="1" x14ac:dyDescent="0.2">
      <c r="A142" s="473">
        <v>79</v>
      </c>
      <c r="B142" s="293" t="s">
        <v>741</v>
      </c>
      <c r="C142" s="354"/>
      <c r="D142" s="354">
        <v>62</v>
      </c>
      <c r="E142" s="474" t="s">
        <v>540</v>
      </c>
    </row>
    <row r="143" spans="1:5" x14ac:dyDescent="0.2">
      <c r="A143" s="473"/>
      <c r="B143" s="293"/>
      <c r="C143" s="354"/>
      <c r="D143" s="474"/>
      <c r="E143" s="104"/>
    </row>
    <row r="144" spans="1:5" ht="12.75" customHeight="1" thickBot="1" x14ac:dyDescent="0.25">
      <c r="A144" s="469"/>
      <c r="B144" s="449" t="s">
        <v>742</v>
      </c>
      <c r="C144" s="534"/>
      <c r="D144" s="449"/>
      <c r="E144" s="449"/>
    </row>
    <row r="145" spans="1:5" ht="12.75" customHeight="1" x14ac:dyDescent="0.2">
      <c r="A145" s="473">
        <v>80</v>
      </c>
      <c r="B145" s="293" t="s">
        <v>743</v>
      </c>
      <c r="C145" s="354"/>
      <c r="D145" s="301" t="s">
        <v>744</v>
      </c>
      <c r="E145" s="474" t="s">
        <v>540</v>
      </c>
    </row>
    <row r="146" spans="1:5" ht="12.75" customHeight="1" x14ac:dyDescent="0.2">
      <c r="A146" s="473">
        <v>81</v>
      </c>
      <c r="B146" s="293" t="s">
        <v>745</v>
      </c>
      <c r="C146" s="354">
        <v>0</v>
      </c>
      <c r="D146" s="301" t="s">
        <v>744</v>
      </c>
      <c r="E146" s="474" t="s">
        <v>540</v>
      </c>
    </row>
    <row r="147" spans="1:5" ht="12.75" customHeight="1" x14ac:dyDescent="0.2">
      <c r="A147" s="473">
        <v>82</v>
      </c>
      <c r="B147" s="293" t="s">
        <v>746</v>
      </c>
      <c r="C147" s="484">
        <v>1158000</v>
      </c>
      <c r="D147" s="301" t="s">
        <v>747</v>
      </c>
      <c r="E147" s="474" t="s">
        <v>540</v>
      </c>
    </row>
    <row r="148" spans="1:5" ht="12.75" customHeight="1" x14ac:dyDescent="0.2">
      <c r="A148" s="473">
        <v>83</v>
      </c>
      <c r="B148" s="293" t="s">
        <v>748</v>
      </c>
      <c r="C148" s="484"/>
      <c r="D148" s="301" t="s">
        <v>747</v>
      </c>
      <c r="E148" s="474" t="s">
        <v>540</v>
      </c>
    </row>
    <row r="149" spans="1:5" ht="12.75" customHeight="1" x14ac:dyDescent="0.2">
      <c r="A149" s="473">
        <v>84</v>
      </c>
      <c r="B149" s="293" t="s">
        <v>749</v>
      </c>
      <c r="C149" s="484"/>
      <c r="D149" s="301" t="s">
        <v>750</v>
      </c>
      <c r="E149" s="474" t="s">
        <v>540</v>
      </c>
    </row>
    <row r="150" spans="1:5" ht="12.75" customHeight="1" x14ac:dyDescent="0.2">
      <c r="A150" s="473">
        <v>85</v>
      </c>
      <c r="B150" s="293" t="s">
        <v>751</v>
      </c>
      <c r="C150" s="484"/>
      <c r="D150" s="301" t="s">
        <v>750</v>
      </c>
      <c r="E150" s="474" t="s">
        <v>540</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5"/>
  <sheetViews>
    <sheetView zoomScaleNormal="100" workbookViewId="0"/>
  </sheetViews>
  <sheetFormatPr baseColWidth="10" defaultRowHeight="12" x14ac:dyDescent="0.2"/>
  <cols>
    <col min="1" max="1" width="50.5" style="389" customWidth="1"/>
    <col min="2" max="2" width="17.375" style="389" customWidth="1"/>
    <col min="3" max="5" width="17.25" style="389" customWidth="1"/>
    <col min="6" max="6" width="17.25" style="675" customWidth="1"/>
    <col min="7" max="7" width="11" style="389"/>
    <col min="8" max="8" width="19" style="389" customWidth="1"/>
    <col min="9" max="9" width="11.875" style="389" customWidth="1"/>
    <col min="10" max="16384" width="11" style="389"/>
  </cols>
  <sheetData>
    <row r="1" spans="1:9" x14ac:dyDescent="0.2">
      <c r="A1" s="485" t="s">
        <v>888</v>
      </c>
    </row>
    <row r="4" spans="1:9" ht="48.75" customHeight="1" x14ac:dyDescent="0.2">
      <c r="A4" s="451"/>
      <c r="B4" s="535" t="s">
        <v>1174</v>
      </c>
      <c r="C4" s="445" t="s">
        <v>499</v>
      </c>
      <c r="D4" s="445" t="s">
        <v>500</v>
      </c>
      <c r="E4" s="535" t="s">
        <v>1145</v>
      </c>
      <c r="F4" s="535" t="s">
        <v>1146</v>
      </c>
      <c r="G4" s="445" t="s">
        <v>501</v>
      </c>
      <c r="H4" s="535" t="s">
        <v>1175</v>
      </c>
      <c r="I4" s="445" t="s">
        <v>502</v>
      </c>
    </row>
    <row r="5" spans="1:9" ht="12.75" customHeight="1" thickBot="1" x14ac:dyDescent="0.25">
      <c r="A5" s="449" t="s">
        <v>503</v>
      </c>
      <c r="B5" s="448"/>
      <c r="C5" s="448"/>
      <c r="D5" s="448"/>
      <c r="E5" s="448"/>
      <c r="F5" s="448"/>
      <c r="G5" s="448"/>
      <c r="H5" s="450"/>
      <c r="I5" s="448"/>
    </row>
    <row r="6" spans="1:9" ht="12.75" customHeight="1" x14ac:dyDescent="0.2">
      <c r="A6" s="452" t="s">
        <v>504</v>
      </c>
      <c r="B6" s="453">
        <v>747</v>
      </c>
      <c r="C6" s="453">
        <v>0</v>
      </c>
      <c r="D6" s="453">
        <v>0</v>
      </c>
      <c r="E6" s="453">
        <v>0</v>
      </c>
      <c r="F6" s="453">
        <v>0</v>
      </c>
      <c r="G6" s="453"/>
      <c r="H6" s="454">
        <f>SUM(B6:G6)</f>
        <v>747</v>
      </c>
      <c r="I6" s="455"/>
    </row>
    <row r="7" spans="1:9" ht="12.75" customHeight="1" x14ac:dyDescent="0.2">
      <c r="A7" s="452" t="s">
        <v>505</v>
      </c>
      <c r="B7" s="453">
        <v>8335</v>
      </c>
      <c r="C7" s="453">
        <v>1604</v>
      </c>
      <c r="D7" s="453">
        <v>77</v>
      </c>
      <c r="E7" s="453">
        <v>165</v>
      </c>
      <c r="F7" s="453">
        <v>107</v>
      </c>
      <c r="G7" s="453">
        <f>-154-20-17</f>
        <v>-191</v>
      </c>
      <c r="H7" s="454">
        <f>SUM(B7:G7)</f>
        <v>10097</v>
      </c>
      <c r="I7" s="455"/>
    </row>
    <row r="8" spans="1:9" ht="12.75" customHeight="1" x14ac:dyDescent="0.2">
      <c r="A8" s="452" t="s">
        <v>506</v>
      </c>
      <c r="B8" s="453">
        <v>163703</v>
      </c>
      <c r="C8" s="453">
        <v>26539</v>
      </c>
      <c r="D8" s="453">
        <v>2246</v>
      </c>
      <c r="E8" s="453">
        <v>4918</v>
      </c>
      <c r="F8" s="453">
        <f>883-25</f>
        <v>858</v>
      </c>
      <c r="G8" s="453"/>
      <c r="H8" s="454">
        <f t="shared" ref="H8:H15" si="0">SUM(B8:G8)</f>
        <v>198264</v>
      </c>
      <c r="I8" s="455"/>
    </row>
    <row r="9" spans="1:9" ht="12.75" customHeight="1" x14ac:dyDescent="0.2">
      <c r="A9" s="452" t="s">
        <v>507</v>
      </c>
      <c r="B9" s="453">
        <v>28451</v>
      </c>
      <c r="C9" s="453">
        <f>408+6438</f>
        <v>6846</v>
      </c>
      <c r="D9" s="453">
        <f>44+398</f>
        <v>442</v>
      </c>
      <c r="E9" s="453">
        <v>1218</v>
      </c>
      <c r="F9" s="453">
        <v>0</v>
      </c>
      <c r="G9" s="453">
        <f>-18</f>
        <v>-18</v>
      </c>
      <c r="H9" s="454">
        <f>SUM(B9:G9)</f>
        <v>36939</v>
      </c>
      <c r="I9" s="455"/>
    </row>
    <row r="10" spans="1:9" ht="12.75" customHeight="1" x14ac:dyDescent="0.2">
      <c r="A10" s="452" t="s">
        <v>508</v>
      </c>
      <c r="B10" s="453">
        <v>5354</v>
      </c>
      <c r="C10" s="453">
        <v>3774</v>
      </c>
      <c r="D10" s="453">
        <v>108</v>
      </c>
      <c r="E10" s="453">
        <v>78</v>
      </c>
      <c r="F10" s="453">
        <v>0</v>
      </c>
      <c r="G10" s="453"/>
      <c r="H10" s="454">
        <f t="shared" si="0"/>
        <v>9314</v>
      </c>
      <c r="I10" s="455"/>
    </row>
    <row r="11" spans="1:9" ht="12.75" customHeight="1" x14ac:dyDescent="0.2">
      <c r="A11" s="452" t="s">
        <v>509</v>
      </c>
      <c r="B11" s="453">
        <v>528</v>
      </c>
      <c r="C11" s="453">
        <v>0</v>
      </c>
      <c r="D11" s="453">
        <v>0</v>
      </c>
      <c r="E11" s="453">
        <v>0</v>
      </c>
      <c r="F11" s="453">
        <v>0</v>
      </c>
      <c r="G11" s="453"/>
      <c r="H11" s="454">
        <f t="shared" si="0"/>
        <v>528</v>
      </c>
      <c r="I11" s="455"/>
    </row>
    <row r="12" spans="1:9" ht="12.75" customHeight="1" x14ac:dyDescent="0.2">
      <c r="A12" s="452" t="s">
        <v>510</v>
      </c>
      <c r="B12" s="453">
        <v>4277</v>
      </c>
      <c r="C12" s="453">
        <v>0</v>
      </c>
      <c r="D12" s="453">
        <v>0</v>
      </c>
      <c r="E12" s="453">
        <v>3</v>
      </c>
      <c r="F12" s="453">
        <v>0</v>
      </c>
      <c r="G12" s="453">
        <f>-2734-163-20</f>
        <v>-2917</v>
      </c>
      <c r="H12" s="454">
        <f t="shared" si="0"/>
        <v>1363</v>
      </c>
      <c r="I12" s="454" t="s">
        <v>944</v>
      </c>
    </row>
    <row r="13" spans="1:9" ht="12.75" customHeight="1" x14ac:dyDescent="0.2">
      <c r="A13" s="452" t="s">
        <v>511</v>
      </c>
      <c r="B13" s="453">
        <v>22</v>
      </c>
      <c r="C13" s="453">
        <v>0</v>
      </c>
      <c r="D13" s="453">
        <v>0</v>
      </c>
      <c r="E13" s="453">
        <v>17</v>
      </c>
      <c r="F13" s="453">
        <v>0</v>
      </c>
      <c r="G13" s="453"/>
      <c r="H13" s="454">
        <f t="shared" si="0"/>
        <v>39</v>
      </c>
      <c r="I13" s="455"/>
    </row>
    <row r="14" spans="1:9" ht="12.75" customHeight="1" x14ac:dyDescent="0.2">
      <c r="A14" s="452" t="s">
        <v>512</v>
      </c>
      <c r="B14" s="453">
        <v>96</v>
      </c>
      <c r="C14" s="453">
        <v>0</v>
      </c>
      <c r="D14" s="453">
        <v>0</v>
      </c>
      <c r="E14" s="453">
        <f>4</f>
        <v>4</v>
      </c>
      <c r="F14" s="453">
        <v>20</v>
      </c>
      <c r="G14" s="453"/>
      <c r="H14" s="454">
        <f>SUM(B14:G14)</f>
        <v>120</v>
      </c>
      <c r="I14" s="455"/>
    </row>
    <row r="15" spans="1:9" ht="12.75" customHeight="1" x14ac:dyDescent="0.2">
      <c r="A15" s="456" t="s">
        <v>513</v>
      </c>
      <c r="B15" s="453">
        <v>1366</v>
      </c>
      <c r="C15" s="453">
        <f>1</f>
        <v>1</v>
      </c>
      <c r="D15" s="453">
        <v>0</v>
      </c>
      <c r="E15" s="453">
        <f>4+5+1+2</f>
        <v>12</v>
      </c>
      <c r="F15" s="453">
        <f>2+58+12</f>
        <v>72</v>
      </c>
      <c r="G15" s="453">
        <v>-2</v>
      </c>
      <c r="H15" s="454">
        <f t="shared" si="0"/>
        <v>1449</v>
      </c>
      <c r="I15" s="455"/>
    </row>
    <row r="16" spans="1:9" ht="12.75" customHeight="1" x14ac:dyDescent="0.2">
      <c r="A16" s="99" t="s">
        <v>514</v>
      </c>
      <c r="B16" s="457">
        <f>SUM(B6:B15)</f>
        <v>212879</v>
      </c>
      <c r="C16" s="457">
        <f t="shared" ref="C16:G16" si="1">SUM(C6:C15)</f>
        <v>38764</v>
      </c>
      <c r="D16" s="457">
        <f t="shared" si="1"/>
        <v>2873</v>
      </c>
      <c r="E16" s="457">
        <f t="shared" si="1"/>
        <v>6415</v>
      </c>
      <c r="F16" s="457">
        <f t="shared" si="1"/>
        <v>1057</v>
      </c>
      <c r="G16" s="457">
        <f t="shared" si="1"/>
        <v>-3128</v>
      </c>
      <c r="H16" s="457">
        <f>SUM(H6:H15)</f>
        <v>258860</v>
      </c>
      <c r="I16" s="458"/>
    </row>
    <row r="17" spans="1:9" ht="12.75" customHeight="1" x14ac:dyDescent="0.2">
      <c r="A17" s="14"/>
      <c r="B17" s="326"/>
      <c r="C17" s="326"/>
      <c r="D17" s="326"/>
      <c r="E17" s="326"/>
      <c r="F17" s="326"/>
      <c r="G17" s="326"/>
      <c r="H17" s="326"/>
      <c r="I17" s="326"/>
    </row>
    <row r="18" spans="1:9" ht="12.75" customHeight="1" thickBot="1" x14ac:dyDescent="0.25">
      <c r="A18" s="449" t="s">
        <v>515</v>
      </c>
      <c r="B18" s="448"/>
      <c r="C18" s="448"/>
      <c r="D18" s="448"/>
      <c r="E18" s="448"/>
      <c r="F18" s="448"/>
      <c r="G18" s="448"/>
      <c r="H18" s="450"/>
      <c r="I18" s="448"/>
    </row>
    <row r="19" spans="1:9" ht="12.75" customHeight="1" x14ac:dyDescent="0.2">
      <c r="A19" s="452" t="s">
        <v>516</v>
      </c>
      <c r="B19" s="453">
        <v>2805</v>
      </c>
      <c r="C19" s="453">
        <v>0</v>
      </c>
      <c r="D19" s="453">
        <v>0</v>
      </c>
      <c r="E19" s="453">
        <v>28</v>
      </c>
      <c r="F19" s="453">
        <v>803</v>
      </c>
      <c r="G19" s="453">
        <f>-154-20-17</f>
        <v>-191</v>
      </c>
      <c r="H19" s="454">
        <f t="shared" ref="H19:H28" si="2">SUM(B19:G19)</f>
        <v>3445</v>
      </c>
      <c r="I19" s="455"/>
    </row>
    <row r="20" spans="1:9" ht="12.75" customHeight="1" x14ac:dyDescent="0.2">
      <c r="A20" s="452" t="s">
        <v>517</v>
      </c>
      <c r="B20" s="453">
        <v>99758</v>
      </c>
      <c r="C20" s="453">
        <v>0</v>
      </c>
      <c r="D20" s="453">
        <v>0</v>
      </c>
      <c r="E20" s="453">
        <v>3295</v>
      </c>
      <c r="F20" s="453">
        <v>0</v>
      </c>
      <c r="G20" s="453"/>
      <c r="H20" s="454">
        <f t="shared" si="2"/>
        <v>103053</v>
      </c>
      <c r="I20" s="455"/>
    </row>
    <row r="21" spans="1:9" ht="12.75" customHeight="1" x14ac:dyDescent="0.2">
      <c r="A21" s="452" t="s">
        <v>518</v>
      </c>
      <c r="B21" s="453">
        <v>83222</v>
      </c>
      <c r="C21" s="453">
        <v>33098</v>
      </c>
      <c r="D21" s="453">
        <v>2343</v>
      </c>
      <c r="E21" s="453">
        <v>1899</v>
      </c>
      <c r="F21" s="453">
        <v>0</v>
      </c>
      <c r="G21" s="453"/>
      <c r="H21" s="454">
        <f t="shared" si="2"/>
        <v>120562</v>
      </c>
      <c r="I21" s="455"/>
    </row>
    <row r="22" spans="1:9" ht="12.75" customHeight="1" x14ac:dyDescent="0.2">
      <c r="A22" s="452" t="s">
        <v>508</v>
      </c>
      <c r="B22" s="453">
        <v>3622</v>
      </c>
      <c r="C22" s="453">
        <f>3554+164</f>
        <v>3718</v>
      </c>
      <c r="D22" s="453">
        <v>0</v>
      </c>
      <c r="E22" s="453">
        <v>52</v>
      </c>
      <c r="F22" s="453">
        <v>0</v>
      </c>
      <c r="G22" s="453"/>
      <c r="H22" s="454">
        <f t="shared" si="2"/>
        <v>7392</v>
      </c>
      <c r="I22" s="455"/>
    </row>
    <row r="23" spans="1:9" ht="12.75" customHeight="1" x14ac:dyDescent="0.2">
      <c r="A23" s="452" t="s">
        <v>519</v>
      </c>
      <c r="B23" s="104">
        <v>349</v>
      </c>
      <c r="C23" s="453">
        <v>32</v>
      </c>
      <c r="D23" s="453">
        <v>4</v>
      </c>
      <c r="E23" s="104">
        <v>0</v>
      </c>
      <c r="F23" s="104">
        <v>0</v>
      </c>
      <c r="G23" s="104"/>
      <c r="H23" s="454">
        <f t="shared" si="2"/>
        <v>385</v>
      </c>
      <c r="I23" s="106"/>
    </row>
    <row r="24" spans="1:9" ht="13.5" customHeight="1" x14ac:dyDescent="0.2">
      <c r="A24" s="452" t="s">
        <v>520</v>
      </c>
      <c r="B24" s="453">
        <v>1284</v>
      </c>
      <c r="C24" s="453">
        <v>14</v>
      </c>
      <c r="D24" s="453">
        <v>5</v>
      </c>
      <c r="E24" s="453">
        <f>37+7</f>
        <v>44</v>
      </c>
      <c r="F24" s="453">
        <f>27+1+8</f>
        <v>36</v>
      </c>
      <c r="G24" s="453">
        <v>-2</v>
      </c>
      <c r="H24" s="454">
        <f t="shared" si="2"/>
        <v>1381</v>
      </c>
      <c r="I24" s="455"/>
    </row>
    <row r="25" spans="1:9" ht="12.75" customHeight="1" x14ac:dyDescent="0.2">
      <c r="A25" s="452" t="s">
        <v>521</v>
      </c>
      <c r="B25" s="453">
        <v>3105</v>
      </c>
      <c r="C25" s="677">
        <v>245</v>
      </c>
      <c r="D25" s="453">
        <v>76</v>
      </c>
      <c r="E25" s="453">
        <v>290</v>
      </c>
      <c r="F25" s="453">
        <v>18</v>
      </c>
      <c r="G25" s="453">
        <v>-18</v>
      </c>
      <c r="H25" s="454">
        <f t="shared" si="2"/>
        <v>3716</v>
      </c>
      <c r="I25" s="455"/>
    </row>
    <row r="26" spans="1:9" ht="12.75" customHeight="1" x14ac:dyDescent="0.2">
      <c r="A26" s="459" t="s">
        <v>522</v>
      </c>
      <c r="B26" s="536">
        <v>797</v>
      </c>
      <c r="C26" s="536">
        <v>0</v>
      </c>
      <c r="D26" s="536">
        <v>0</v>
      </c>
      <c r="E26" s="536">
        <v>97</v>
      </c>
      <c r="F26" s="536">
        <v>0</v>
      </c>
      <c r="G26" s="536">
        <v>-10</v>
      </c>
      <c r="H26" s="454">
        <f t="shared" si="2"/>
        <v>884</v>
      </c>
      <c r="I26" s="455"/>
    </row>
    <row r="27" spans="1:9" ht="12.75" customHeight="1" x14ac:dyDescent="0.2">
      <c r="A27" s="459" t="s">
        <v>523</v>
      </c>
      <c r="B27" s="536">
        <v>2161</v>
      </c>
      <c r="C27" s="536">
        <v>245</v>
      </c>
      <c r="D27" s="536">
        <v>76</v>
      </c>
      <c r="E27" s="536">
        <v>193</v>
      </c>
      <c r="F27" s="536">
        <v>18</v>
      </c>
      <c r="G27" s="536">
        <v>-8</v>
      </c>
      <c r="H27" s="454">
        <f t="shared" si="2"/>
        <v>2685</v>
      </c>
      <c r="I27" s="455"/>
    </row>
    <row r="28" spans="1:9" ht="12.75" customHeight="1" x14ac:dyDescent="0.2">
      <c r="A28" s="459" t="s">
        <v>524</v>
      </c>
      <c r="B28" s="616"/>
      <c r="C28" s="536"/>
      <c r="D28" s="536"/>
      <c r="E28" s="536">
        <v>0</v>
      </c>
      <c r="F28" s="536"/>
      <c r="G28" s="536"/>
      <c r="H28" s="454">
        <f t="shared" si="2"/>
        <v>0</v>
      </c>
      <c r="I28" s="576"/>
    </row>
    <row r="29" spans="1:9" ht="12.75" customHeight="1" x14ac:dyDescent="0.2">
      <c r="A29" s="459" t="s">
        <v>525</v>
      </c>
      <c r="B29" s="536"/>
      <c r="C29" s="536"/>
      <c r="D29" s="536"/>
      <c r="E29" s="536"/>
      <c r="F29" s="536"/>
      <c r="G29" s="536"/>
      <c r="H29" s="454">
        <v>0</v>
      </c>
      <c r="I29" s="576"/>
    </row>
    <row r="30" spans="1:9" ht="12.75" customHeight="1" x14ac:dyDescent="0.2">
      <c r="A30" s="99" t="s">
        <v>526</v>
      </c>
      <c r="B30" s="457">
        <f>SUM(B19:B25)</f>
        <v>194145</v>
      </c>
      <c r="C30" s="457">
        <f t="shared" ref="C30:G30" si="3">SUM(C19:C25)</f>
        <v>37107</v>
      </c>
      <c r="D30" s="457">
        <f t="shared" si="3"/>
        <v>2428</v>
      </c>
      <c r="E30" s="457">
        <f t="shared" si="3"/>
        <v>5608</v>
      </c>
      <c r="F30" s="457">
        <f t="shared" si="3"/>
        <v>857</v>
      </c>
      <c r="G30" s="457">
        <f t="shared" si="3"/>
        <v>-211</v>
      </c>
      <c r="H30" s="457">
        <f>SUM(H19:H25)</f>
        <v>239934</v>
      </c>
      <c r="I30" s="458"/>
    </row>
    <row r="31" spans="1:9" ht="12.75" customHeight="1" x14ac:dyDescent="0.2">
      <c r="A31" s="14"/>
      <c r="B31" s="326"/>
      <c r="C31" s="326"/>
      <c r="D31" s="326"/>
      <c r="E31" s="326"/>
      <c r="F31" s="326"/>
      <c r="G31" s="326"/>
      <c r="H31" s="326"/>
      <c r="I31" s="326"/>
    </row>
    <row r="32" spans="1:9" ht="12.75" customHeight="1" thickBot="1" x14ac:dyDescent="0.25">
      <c r="A32" s="449" t="s">
        <v>527</v>
      </c>
      <c r="B32" s="448"/>
      <c r="C32" s="448"/>
      <c r="D32" s="448"/>
      <c r="E32" s="448"/>
      <c r="F32" s="448"/>
      <c r="G32" s="448"/>
      <c r="H32" s="450"/>
      <c r="I32" s="448"/>
    </row>
    <row r="33" spans="1:9" ht="12.75" customHeight="1" x14ac:dyDescent="0.2">
      <c r="A33" s="452" t="s">
        <v>528</v>
      </c>
      <c r="B33" s="453">
        <v>7981</v>
      </c>
      <c r="C33" s="460">
        <v>1484</v>
      </c>
      <c r="D33" s="460">
        <v>400</v>
      </c>
      <c r="E33" s="460">
        <v>254</v>
      </c>
      <c r="F33" s="460">
        <v>160</v>
      </c>
      <c r="G33" s="460">
        <v>-2298</v>
      </c>
      <c r="H33" s="460">
        <f t="shared" ref="H33:H37" si="4">SUM(B33:G33)</f>
        <v>7981</v>
      </c>
      <c r="I33" s="460" t="s">
        <v>285</v>
      </c>
    </row>
    <row r="34" spans="1:9" ht="12.75" customHeight="1" x14ac:dyDescent="0.2">
      <c r="A34" s="452" t="s">
        <v>529</v>
      </c>
      <c r="B34" s="453">
        <v>52</v>
      </c>
      <c r="C34" s="460">
        <v>0</v>
      </c>
      <c r="D34" s="460">
        <v>0</v>
      </c>
      <c r="E34" s="460">
        <v>0</v>
      </c>
      <c r="F34" s="460">
        <v>0</v>
      </c>
      <c r="G34" s="460"/>
      <c r="H34" s="460">
        <f t="shared" si="4"/>
        <v>52</v>
      </c>
      <c r="I34" s="461"/>
    </row>
    <row r="35" spans="1:9" s="351" customFormat="1" ht="12.75" customHeight="1" x14ac:dyDescent="0.2">
      <c r="A35" s="459" t="s">
        <v>1176</v>
      </c>
      <c r="B35" s="733">
        <v>150</v>
      </c>
      <c r="C35" s="734">
        <v>165</v>
      </c>
      <c r="D35" s="734">
        <v>38</v>
      </c>
      <c r="E35" s="460"/>
      <c r="F35" s="460"/>
      <c r="G35" s="460"/>
      <c r="H35" s="460">
        <f t="shared" si="4"/>
        <v>353</v>
      </c>
      <c r="I35" s="461"/>
    </row>
    <row r="36" spans="1:9" x14ac:dyDescent="0.2">
      <c r="A36" s="452" t="s">
        <v>530</v>
      </c>
      <c r="B36" s="453">
        <v>9634</v>
      </c>
      <c r="C36" s="460">
        <f>20+18</f>
        <v>38</v>
      </c>
      <c r="D36" s="460">
        <v>-1</v>
      </c>
      <c r="E36" s="460">
        <v>518</v>
      </c>
      <c r="F36" s="460">
        <v>33</v>
      </c>
      <c r="G36" s="460">
        <f>-588-10-1</f>
        <v>-599</v>
      </c>
      <c r="H36" s="460">
        <f t="shared" si="4"/>
        <v>9623</v>
      </c>
      <c r="I36" s="460" t="s">
        <v>285</v>
      </c>
    </row>
    <row r="37" spans="1:9" s="578" customFormat="1" ht="12.75" customHeight="1" x14ac:dyDescent="0.2">
      <c r="A37" s="452" t="s">
        <v>1006</v>
      </c>
      <c r="B37" s="453">
        <v>917</v>
      </c>
      <c r="C37" s="460">
        <v>-30</v>
      </c>
      <c r="D37" s="460">
        <v>8</v>
      </c>
      <c r="E37" s="460">
        <v>35</v>
      </c>
      <c r="F37" s="460">
        <v>7</v>
      </c>
      <c r="G37" s="460">
        <v>-20</v>
      </c>
      <c r="H37" s="460">
        <f t="shared" si="4"/>
        <v>917</v>
      </c>
      <c r="I37" s="460"/>
    </row>
    <row r="38" spans="1:9" ht="12.75" customHeight="1" x14ac:dyDescent="0.2">
      <c r="A38" s="99" t="s">
        <v>531</v>
      </c>
      <c r="B38" s="457">
        <f>SUM(B33:B37)</f>
        <v>18734</v>
      </c>
      <c r="C38" s="457">
        <f t="shared" ref="C38:H38" si="5">SUM(C33:C37)</f>
        <v>1657</v>
      </c>
      <c r="D38" s="457">
        <f t="shared" si="5"/>
        <v>445</v>
      </c>
      <c r="E38" s="457">
        <f t="shared" si="5"/>
        <v>807</v>
      </c>
      <c r="F38" s="457">
        <f t="shared" si="5"/>
        <v>200</v>
      </c>
      <c r="G38" s="457">
        <f t="shared" si="5"/>
        <v>-2917</v>
      </c>
      <c r="H38" s="457">
        <f t="shared" si="5"/>
        <v>18926</v>
      </c>
      <c r="I38" s="586" t="s">
        <v>285</v>
      </c>
    </row>
    <row r="39" spans="1:9" ht="12.75" customHeight="1" x14ac:dyDescent="0.2">
      <c r="A39" s="463"/>
      <c r="B39" s="464"/>
      <c r="C39" s="464"/>
      <c r="D39" s="464"/>
      <c r="E39" s="464"/>
      <c r="F39" s="464"/>
      <c r="G39" s="464"/>
      <c r="H39" s="464"/>
      <c r="I39" s="465"/>
    </row>
    <row r="40" spans="1:9" ht="12.75" customHeight="1" thickBot="1" x14ac:dyDescent="0.25">
      <c r="A40" s="449" t="s">
        <v>532</v>
      </c>
      <c r="B40" s="466">
        <f t="shared" ref="B40:H40" si="6">B30+B38</f>
        <v>212879</v>
      </c>
      <c r="C40" s="467">
        <f t="shared" si="6"/>
        <v>38764</v>
      </c>
      <c r="D40" s="467">
        <f t="shared" si="6"/>
        <v>2873</v>
      </c>
      <c r="E40" s="467">
        <f t="shared" si="6"/>
        <v>6415</v>
      </c>
      <c r="F40" s="467">
        <f t="shared" si="6"/>
        <v>1057</v>
      </c>
      <c r="G40" s="467">
        <f>G30+G38</f>
        <v>-3128</v>
      </c>
      <c r="H40" s="467">
        <f t="shared" si="6"/>
        <v>258860</v>
      </c>
      <c r="I40" s="587"/>
    </row>
    <row r="41" spans="1:9" x14ac:dyDescent="0.2">
      <c r="H41" s="468"/>
    </row>
    <row r="43" spans="1:9" x14ac:dyDescent="0.2">
      <c r="A43" s="577" t="s">
        <v>1017</v>
      </c>
    </row>
    <row r="44" spans="1:9" x14ac:dyDescent="0.2">
      <c r="A44" s="389" t="s">
        <v>1148</v>
      </c>
    </row>
    <row r="45" spans="1:9" x14ac:dyDescent="0.2">
      <c r="A45" s="389" t="s">
        <v>1147</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9"/>
  <sheetViews>
    <sheetView zoomScaleNormal="100" workbookViewId="0"/>
  </sheetViews>
  <sheetFormatPr baseColWidth="10" defaultRowHeight="12" x14ac:dyDescent="0.2"/>
  <cols>
    <col min="1" max="1" width="57.625" style="389" bestFit="1" customWidth="1"/>
    <col min="2" max="2" width="11.25" style="389" bestFit="1" customWidth="1"/>
    <col min="3" max="16384" width="11" style="389"/>
  </cols>
  <sheetData>
    <row r="1" spans="1:5" x14ac:dyDescent="0.2">
      <c r="A1" s="510" t="s">
        <v>889</v>
      </c>
    </row>
    <row r="3" spans="1:5" ht="12.75" thickBot="1" x14ac:dyDescent="0.25">
      <c r="A3" s="448"/>
      <c r="B3" s="422">
        <v>42916</v>
      </c>
      <c r="C3" s="423">
        <v>42735</v>
      </c>
    </row>
    <row r="4" spans="1:5" x14ac:dyDescent="0.2">
      <c r="A4" s="588" t="s">
        <v>1027</v>
      </c>
      <c r="B4" s="18"/>
      <c r="C4" s="18"/>
      <c r="E4" s="589"/>
    </row>
    <row r="5" spans="1:5" x14ac:dyDescent="0.2">
      <c r="A5" s="588" t="s">
        <v>1028</v>
      </c>
      <c r="B5" s="18"/>
      <c r="C5" s="18"/>
      <c r="E5" s="589"/>
    </row>
    <row r="6" spans="1:5" s="589" customFormat="1" x14ac:dyDescent="0.2">
      <c r="A6" s="588" t="s">
        <v>1029</v>
      </c>
      <c r="B6" s="18"/>
      <c r="C6" s="18"/>
    </row>
    <row r="7" spans="1:5" x14ac:dyDescent="0.2">
      <c r="A7" s="591" t="s">
        <v>1030</v>
      </c>
      <c r="B7" s="18"/>
      <c r="C7" s="18"/>
      <c r="E7" s="589"/>
    </row>
    <row r="8" spans="1:5" x14ac:dyDescent="0.2">
      <c r="A8" s="591" t="s">
        <v>1031</v>
      </c>
      <c r="B8" s="18"/>
      <c r="C8" s="18"/>
      <c r="E8" s="589"/>
    </row>
    <row r="9" spans="1:5" x14ac:dyDescent="0.2">
      <c r="A9" s="591" t="s">
        <v>1032</v>
      </c>
      <c r="B9" s="18">
        <v>7232361</v>
      </c>
      <c r="C9" s="18">
        <v>7241492</v>
      </c>
      <c r="E9" s="589"/>
    </row>
    <row r="10" spans="1:5" ht="12.75" customHeight="1" x14ac:dyDescent="0.2">
      <c r="A10" s="591" t="s">
        <v>1033</v>
      </c>
      <c r="B10" s="18">
        <v>-5640253</v>
      </c>
      <c r="C10" s="18">
        <v>-5239016</v>
      </c>
      <c r="E10" s="589"/>
    </row>
    <row r="11" spans="1:5" x14ac:dyDescent="0.2">
      <c r="A11" s="591" t="s">
        <v>1034</v>
      </c>
      <c r="B11" s="18"/>
      <c r="C11" s="18"/>
      <c r="E11" s="589"/>
    </row>
    <row r="12" spans="1:5" ht="12.75" customHeight="1" x14ac:dyDescent="0.2">
      <c r="A12" s="591" t="s">
        <v>1035</v>
      </c>
      <c r="B12" s="18">
        <v>1899654</v>
      </c>
      <c r="C12" s="18">
        <v>1873636</v>
      </c>
      <c r="E12" s="589"/>
    </row>
    <row r="13" spans="1:5" x14ac:dyDescent="0.2">
      <c r="A13" s="591" t="s">
        <v>1036</v>
      </c>
      <c r="B13" s="18"/>
      <c r="C13" s="18"/>
      <c r="E13" s="589"/>
    </row>
    <row r="14" spans="1:5" x14ac:dyDescent="0.2">
      <c r="A14" s="591" t="s">
        <v>1037</v>
      </c>
      <c r="B14" s="18"/>
      <c r="C14" s="18"/>
      <c r="E14" s="589"/>
    </row>
    <row r="15" spans="1:5" s="592" customFormat="1" x14ac:dyDescent="0.2">
      <c r="A15" s="591" t="s">
        <v>1038</v>
      </c>
      <c r="B15" s="18"/>
      <c r="C15" s="18"/>
      <c r="E15" s="589"/>
    </row>
    <row r="16" spans="1:5" s="592" customFormat="1" x14ac:dyDescent="0.2">
      <c r="A16" s="591" t="s">
        <v>1039</v>
      </c>
      <c r="B16" s="18"/>
      <c r="C16" s="18"/>
      <c r="E16" s="589"/>
    </row>
    <row r="17" spans="1:5" s="592" customFormat="1" x14ac:dyDescent="0.2">
      <c r="A17" s="591" t="s">
        <v>1040</v>
      </c>
      <c r="B17" s="18"/>
      <c r="C17" s="18"/>
      <c r="E17" s="589"/>
    </row>
    <row r="18" spans="1:5" s="592" customFormat="1" x14ac:dyDescent="0.2">
      <c r="A18" s="591" t="s">
        <v>1041</v>
      </c>
      <c r="B18" s="18">
        <v>851549.10000000009</v>
      </c>
      <c r="C18" s="18">
        <v>751768.4</v>
      </c>
      <c r="E18" s="589"/>
    </row>
    <row r="19" spans="1:5" s="592" customFormat="1" x14ac:dyDescent="0.2">
      <c r="A19" s="591" t="s">
        <v>1042</v>
      </c>
      <c r="B19" s="18">
        <v>3514.2000000000003</v>
      </c>
      <c r="C19" s="18">
        <v>4659.2</v>
      </c>
      <c r="E19" s="589"/>
    </row>
    <row r="20" spans="1:5" s="592" customFormat="1" x14ac:dyDescent="0.2">
      <c r="A20" s="591" t="s">
        <v>1043</v>
      </c>
      <c r="B20" s="18">
        <v>10135671.5</v>
      </c>
      <c r="C20" s="18">
        <v>9905460</v>
      </c>
      <c r="E20" s="589"/>
    </row>
    <row r="21" spans="1:5" s="592" customFormat="1" x14ac:dyDescent="0.2">
      <c r="A21" s="591" t="s">
        <v>1044</v>
      </c>
      <c r="B21" s="18">
        <v>5574753</v>
      </c>
      <c r="C21" s="18">
        <v>6327240</v>
      </c>
      <c r="E21" s="589"/>
    </row>
    <row r="22" spans="1:5" s="592" customFormat="1" x14ac:dyDescent="0.2">
      <c r="A22" s="591" t="s">
        <v>1045</v>
      </c>
      <c r="B22" s="18">
        <v>243006927</v>
      </c>
      <c r="C22" s="18">
        <v>230160708.58962765</v>
      </c>
      <c r="E22" s="589"/>
    </row>
    <row r="23" spans="1:5" s="592" customFormat="1" x14ac:dyDescent="0.2">
      <c r="A23" s="591" t="s">
        <v>1046</v>
      </c>
      <c r="B23" s="18"/>
      <c r="C23" s="18">
        <v>0</v>
      </c>
      <c r="E23" s="589"/>
    </row>
    <row r="24" spans="1:5" s="592" customFormat="1" x14ac:dyDescent="0.2">
      <c r="A24" s="591" t="s">
        <v>1047</v>
      </c>
      <c r="B24" s="18"/>
      <c r="C24" s="18"/>
      <c r="E24" s="589"/>
    </row>
    <row r="25" spans="1:5" s="592" customFormat="1" x14ac:dyDescent="0.2">
      <c r="A25" s="591" t="s">
        <v>1048</v>
      </c>
      <c r="B25" s="18"/>
      <c r="C25" s="18"/>
      <c r="E25" s="589"/>
    </row>
    <row r="26" spans="1:5" s="592" customFormat="1" x14ac:dyDescent="0.2">
      <c r="A26" s="591" t="s">
        <v>1049</v>
      </c>
      <c r="B26" s="18"/>
      <c r="C26" s="18"/>
      <c r="E26" s="589"/>
    </row>
    <row r="27" spans="1:5" s="592" customFormat="1" x14ac:dyDescent="0.2">
      <c r="A27" s="591" t="s">
        <v>1050</v>
      </c>
      <c r="B27" s="18"/>
      <c r="C27" s="18"/>
      <c r="E27" s="589"/>
    </row>
    <row r="28" spans="1:5" s="592" customFormat="1" x14ac:dyDescent="0.2">
      <c r="A28" s="591" t="s">
        <v>1052</v>
      </c>
      <c r="B28" s="18"/>
      <c r="C28" s="18"/>
      <c r="E28" s="589"/>
    </row>
    <row r="29" spans="1:5" s="592" customFormat="1" x14ac:dyDescent="0.2">
      <c r="A29" s="591" t="s">
        <v>1051</v>
      </c>
      <c r="B29" s="18"/>
      <c r="C29" s="18"/>
      <c r="E29" s="589"/>
    </row>
    <row r="30" spans="1:5" s="592" customFormat="1" x14ac:dyDescent="0.2">
      <c r="A30" s="591" t="s">
        <v>1055</v>
      </c>
      <c r="B30" s="18">
        <v>-423238</v>
      </c>
      <c r="C30" s="18">
        <v>-569350</v>
      </c>
      <c r="E30" s="589"/>
    </row>
    <row r="31" spans="1:5" s="592" customFormat="1" x14ac:dyDescent="0.2">
      <c r="A31" s="591" t="s">
        <v>1056</v>
      </c>
      <c r="B31" s="18">
        <v>-423238</v>
      </c>
      <c r="C31" s="18">
        <v>-569350</v>
      </c>
      <c r="E31" s="589"/>
    </row>
    <row r="32" spans="1:5" s="592" customFormat="1" x14ac:dyDescent="0.2">
      <c r="A32" s="592" t="s">
        <v>1059</v>
      </c>
      <c r="B32" s="18">
        <v>262640938.80000001</v>
      </c>
      <c r="C32" s="18">
        <f>SUM(C4:C30)</f>
        <v>250456598.18962765</v>
      </c>
      <c r="E32" s="589"/>
    </row>
    <row r="33" spans="1:5" s="592" customFormat="1" x14ac:dyDescent="0.2">
      <c r="A33" s="592" t="s">
        <v>1060</v>
      </c>
      <c r="B33" s="18">
        <v>262640938.80000001</v>
      </c>
      <c r="C33" s="18">
        <f>SUM(C4:C29,C31)</f>
        <v>250456598.18962765</v>
      </c>
      <c r="E33" s="589"/>
    </row>
    <row r="34" spans="1:5" ht="12.75" thickBot="1" x14ac:dyDescent="0.25">
      <c r="A34" s="534" t="s">
        <v>1061</v>
      </c>
      <c r="B34" s="596"/>
      <c r="C34" s="596"/>
    </row>
    <row r="35" spans="1:5" x14ac:dyDescent="0.2">
      <c r="A35" s="592" t="s">
        <v>1053</v>
      </c>
      <c r="B35" s="18">
        <v>18142919.264000006</v>
      </c>
      <c r="C35" s="18">
        <v>18227258</v>
      </c>
    </row>
    <row r="36" spans="1:5" x14ac:dyDescent="0.2">
      <c r="A36" s="592" t="s">
        <v>1054</v>
      </c>
      <c r="B36" s="18">
        <v>18939548.811000004</v>
      </c>
      <c r="C36" s="18">
        <v>18227258</v>
      </c>
    </row>
    <row r="37" spans="1:5" ht="12.75" thickBot="1" x14ac:dyDescent="0.25">
      <c r="A37" s="534" t="s">
        <v>1062</v>
      </c>
      <c r="B37" s="596"/>
      <c r="C37" s="596"/>
    </row>
    <row r="38" spans="1:5" x14ac:dyDescent="0.2">
      <c r="A38" s="592" t="s">
        <v>1057</v>
      </c>
      <c r="B38" s="597">
        <v>6.9078793835015057E-2</v>
      </c>
      <c r="C38" s="678">
        <v>7.2776114231974179E-2</v>
      </c>
    </row>
    <row r="39" spans="1:5" x14ac:dyDescent="0.2">
      <c r="A39" s="592" t="s">
        <v>1058</v>
      </c>
      <c r="B39" s="597">
        <v>7.2111944533606739E-2</v>
      </c>
      <c r="C39" s="678">
        <v>7.2776114231974179E-2</v>
      </c>
    </row>
  </sheetData>
  <conditionalFormatting sqref="B7:B8 B18 B12 B29">
    <cfRule type="cellIs" dxfId="3" priority="4" operator="lessThan">
      <formula>0</formula>
    </cfRule>
  </conditionalFormatting>
  <conditionalFormatting sqref="B27">
    <cfRule type="cellIs" dxfId="2" priority="3" operator="lessThan">
      <formula>B25</formula>
    </cfRule>
  </conditionalFormatting>
  <conditionalFormatting sqref="C7:C8 C18 C12 C29">
    <cfRule type="cellIs" dxfId="1" priority="2" operator="lessThan">
      <formula>0</formula>
    </cfRule>
  </conditionalFormatting>
  <conditionalFormatting sqref="C27">
    <cfRule type="cellIs" dxfId="0" priority="1" operator="lessThan">
      <formula>C25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RowHeight="12.75" x14ac:dyDescent="0.2"/>
  <cols>
    <col min="1" max="1" width="40.875" style="637" customWidth="1"/>
    <col min="2" max="2" width="12.5" style="637" customWidth="1"/>
    <col min="3" max="3" width="11" style="637"/>
    <col min="4" max="13" width="15.375" style="637" customWidth="1"/>
    <col min="14" max="16384" width="11" style="637"/>
  </cols>
  <sheetData>
    <row r="1" spans="1:14" x14ac:dyDescent="0.2">
      <c r="A1" s="673" t="s">
        <v>1177</v>
      </c>
    </row>
    <row r="3" spans="1:14" x14ac:dyDescent="0.2">
      <c r="A3" s="672" t="s">
        <v>51</v>
      </c>
    </row>
    <row r="5" spans="1:14" x14ac:dyDescent="0.2">
      <c r="A5" s="669" t="s">
        <v>1121</v>
      </c>
      <c r="B5" s="671"/>
      <c r="C5" s="671"/>
      <c r="D5" s="670"/>
      <c r="E5" s="670"/>
      <c r="F5" s="638"/>
      <c r="G5" s="638"/>
      <c r="H5" s="638"/>
      <c r="I5" s="638"/>
      <c r="J5" s="638"/>
      <c r="K5" s="638"/>
      <c r="L5" s="638"/>
      <c r="M5" s="638"/>
    </row>
    <row r="6" spans="1:14" ht="24.75" customHeight="1" x14ac:dyDescent="0.2">
      <c r="A6" s="669"/>
      <c r="B6" s="730" t="s">
        <v>1123</v>
      </c>
      <c r="C6" s="730"/>
      <c r="D6" s="730" t="s">
        <v>1179</v>
      </c>
      <c r="E6" s="730"/>
      <c r="F6" s="731" t="s">
        <v>1124</v>
      </c>
      <c r="G6" s="731"/>
      <c r="H6" s="731" t="s">
        <v>1125</v>
      </c>
      <c r="I6" s="731"/>
      <c r="J6" s="731"/>
      <c r="K6" s="731"/>
      <c r="L6" s="668"/>
      <c r="M6" s="667"/>
    </row>
    <row r="7" spans="1:14" ht="52.5" customHeight="1" thickBot="1" x14ac:dyDescent="0.25">
      <c r="A7" s="645"/>
      <c r="B7" s="666" t="s">
        <v>1120</v>
      </c>
      <c r="C7" s="666" t="s">
        <v>1119</v>
      </c>
      <c r="D7" s="666" t="s">
        <v>1118</v>
      </c>
      <c r="E7" s="666" t="s">
        <v>1117</v>
      </c>
      <c r="F7" s="666" t="s">
        <v>1116</v>
      </c>
      <c r="G7" s="666" t="s">
        <v>1115</v>
      </c>
      <c r="H7" s="666" t="s">
        <v>1114</v>
      </c>
      <c r="I7" s="666" t="s">
        <v>1113</v>
      </c>
      <c r="J7" s="665" t="s">
        <v>1112</v>
      </c>
      <c r="K7" s="664" t="s">
        <v>1111</v>
      </c>
      <c r="L7" s="663" t="s">
        <v>1126</v>
      </c>
      <c r="M7" s="662" t="s">
        <v>1178</v>
      </c>
    </row>
    <row r="8" spans="1:14" s="653" customFormat="1" x14ac:dyDescent="0.2">
      <c r="A8" s="661" t="s">
        <v>1122</v>
      </c>
      <c r="B8" s="660">
        <v>49975109</v>
      </c>
      <c r="C8" s="659">
        <v>217527842</v>
      </c>
      <c r="D8" s="657">
        <v>0</v>
      </c>
      <c r="E8" s="657">
        <v>0</v>
      </c>
      <c r="F8" s="657">
        <v>0</v>
      </c>
      <c r="G8" s="657">
        <v>0</v>
      </c>
      <c r="H8" s="658">
        <v>7852056</v>
      </c>
      <c r="I8" s="657">
        <v>0</v>
      </c>
      <c r="J8" s="657">
        <v>0</v>
      </c>
      <c r="K8" s="657">
        <f>H8+I8+J8</f>
        <v>7852056</v>
      </c>
      <c r="L8" s="656"/>
      <c r="M8" s="655">
        <v>1.4999999999999999E-2</v>
      </c>
      <c r="N8" s="654"/>
    </row>
    <row r="9" spans="1:14" s="647" customFormat="1" x14ac:dyDescent="0.2">
      <c r="A9" s="652" t="s">
        <v>10</v>
      </c>
      <c r="B9" s="651">
        <f t="shared" ref="B9:K9" si="0">+B8</f>
        <v>49975109</v>
      </c>
      <c r="C9" s="651">
        <f t="shared" si="0"/>
        <v>217527842</v>
      </c>
      <c r="D9" s="651">
        <f t="shared" si="0"/>
        <v>0</v>
      </c>
      <c r="E9" s="651">
        <f t="shared" si="0"/>
        <v>0</v>
      </c>
      <c r="F9" s="651">
        <f t="shared" si="0"/>
        <v>0</v>
      </c>
      <c r="G9" s="651">
        <f t="shared" si="0"/>
        <v>0</v>
      </c>
      <c r="H9" s="651">
        <f t="shared" si="0"/>
        <v>7852056</v>
      </c>
      <c r="I9" s="651">
        <f t="shared" si="0"/>
        <v>0</v>
      </c>
      <c r="J9" s="651">
        <f t="shared" si="0"/>
        <v>0</v>
      </c>
      <c r="K9" s="651">
        <f t="shared" si="0"/>
        <v>7852056</v>
      </c>
      <c r="L9" s="650"/>
      <c r="M9" s="649">
        <f>+M8</f>
        <v>1.4999999999999999E-2</v>
      </c>
      <c r="N9" s="648"/>
    </row>
    <row r="10" spans="1:14" x14ac:dyDescent="0.2">
      <c r="A10" s="641"/>
      <c r="B10" s="640"/>
      <c r="C10" s="640"/>
      <c r="D10" s="638"/>
      <c r="E10" s="638"/>
      <c r="F10" s="638"/>
      <c r="G10" s="638"/>
      <c r="H10" s="638"/>
      <c r="I10" s="638"/>
      <c r="J10" s="638"/>
      <c r="K10" s="638"/>
      <c r="L10" s="638"/>
      <c r="M10" s="638"/>
    </row>
    <row r="11" spans="1:14" x14ac:dyDescent="0.2">
      <c r="A11" s="641" t="s">
        <v>1127</v>
      </c>
      <c r="B11" s="640"/>
      <c r="C11" s="640"/>
      <c r="D11" s="638"/>
      <c r="E11" s="638"/>
      <c r="F11" s="638"/>
      <c r="G11" s="638"/>
      <c r="H11" s="638"/>
      <c r="I11" s="638"/>
      <c r="J11" s="638"/>
      <c r="K11" s="638"/>
      <c r="L11" s="638"/>
      <c r="M11" s="638"/>
    </row>
    <row r="12" spans="1:14" x14ac:dyDescent="0.2">
      <c r="A12" s="641"/>
      <c r="B12" s="640"/>
      <c r="C12" s="640"/>
      <c r="D12" s="638"/>
      <c r="E12" s="638"/>
      <c r="F12" s="638"/>
      <c r="G12" s="638"/>
      <c r="H12" s="638"/>
      <c r="I12" s="638"/>
      <c r="J12" s="638"/>
      <c r="K12" s="638"/>
      <c r="L12" s="638"/>
      <c r="M12" s="638"/>
    </row>
    <row r="13" spans="1:14" x14ac:dyDescent="0.2">
      <c r="A13" s="641"/>
      <c r="B13" s="640"/>
      <c r="C13" s="640"/>
      <c r="D13" s="638"/>
      <c r="E13" s="638"/>
      <c r="F13" s="638"/>
      <c r="G13" s="638"/>
      <c r="H13" s="638"/>
      <c r="I13" s="638"/>
      <c r="J13" s="638"/>
      <c r="K13" s="638"/>
      <c r="L13" s="638"/>
      <c r="M13" s="638"/>
    </row>
    <row r="14" spans="1:14" x14ac:dyDescent="0.2">
      <c r="A14" s="674" t="s">
        <v>1128</v>
      </c>
      <c r="B14" s="640"/>
      <c r="C14" s="640"/>
      <c r="D14" s="638"/>
      <c r="E14" s="638"/>
      <c r="F14" s="638"/>
      <c r="G14" s="638"/>
      <c r="H14" s="638"/>
      <c r="I14" s="638"/>
      <c r="J14" s="638"/>
      <c r="K14" s="638"/>
      <c r="L14" s="638"/>
      <c r="M14" s="638"/>
    </row>
    <row r="15" spans="1:14" ht="13.5" thickBot="1" x14ac:dyDescent="0.25">
      <c r="A15" s="646"/>
      <c r="B15" s="645"/>
      <c r="C15" s="645"/>
      <c r="E15" s="638"/>
      <c r="F15" s="638"/>
      <c r="G15" s="638"/>
      <c r="H15" s="638"/>
      <c r="I15" s="638"/>
      <c r="J15" s="638"/>
      <c r="K15" s="638"/>
      <c r="L15" s="638"/>
      <c r="M15" s="638"/>
    </row>
    <row r="16" spans="1:14" x14ac:dyDescent="0.2">
      <c r="A16" s="641" t="s">
        <v>1129</v>
      </c>
      <c r="B16" s="640"/>
      <c r="C16" s="644">
        <v>120683321</v>
      </c>
      <c r="D16" s="643"/>
      <c r="E16" s="638"/>
      <c r="F16" s="638"/>
      <c r="G16" s="638"/>
      <c r="H16" s="638"/>
      <c r="I16" s="638"/>
      <c r="J16" s="638"/>
      <c r="K16" s="638"/>
      <c r="L16" s="638"/>
      <c r="M16" s="638"/>
    </row>
    <row r="17" spans="1:13" x14ac:dyDescent="0.2">
      <c r="A17" s="641" t="s">
        <v>1130</v>
      </c>
      <c r="B17" s="640"/>
      <c r="C17" s="642">
        <v>1.4999999999999999E-2</v>
      </c>
      <c r="D17" s="642"/>
      <c r="E17" s="638"/>
      <c r="F17" s="638"/>
      <c r="G17" s="638"/>
      <c r="H17" s="638"/>
      <c r="I17" s="638"/>
      <c r="J17" s="638"/>
      <c r="K17" s="638"/>
      <c r="L17" s="638"/>
      <c r="M17" s="638"/>
    </row>
    <row r="18" spans="1:13" x14ac:dyDescent="0.2">
      <c r="A18" s="641" t="s">
        <v>1131</v>
      </c>
      <c r="B18" s="640"/>
      <c r="C18" s="640"/>
      <c r="D18" s="639"/>
      <c r="E18" s="638"/>
      <c r="F18" s="638"/>
      <c r="G18" s="638"/>
      <c r="H18" s="638"/>
      <c r="I18" s="638"/>
      <c r="J18" s="638"/>
      <c r="K18" s="638"/>
      <c r="L18" s="638"/>
      <c r="M18" s="638"/>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8"/>
  <sheetViews>
    <sheetView zoomScaleNormal="100" workbookViewId="0"/>
  </sheetViews>
  <sheetFormatPr baseColWidth="10" defaultColWidth="11" defaultRowHeight="12" x14ac:dyDescent="0.2"/>
  <cols>
    <col min="1" max="1" width="26" style="17" customWidth="1"/>
    <col min="2" max="2" width="11.25" style="350" customWidth="1"/>
    <col min="3" max="3" width="11.25" style="17" customWidth="1"/>
    <col min="4" max="4" width="11.25" style="350" customWidth="1"/>
    <col min="5" max="5" width="11.25" style="17" customWidth="1"/>
    <col min="6" max="6" width="16.375" style="17" customWidth="1"/>
    <col min="7" max="16384" width="11" style="17"/>
  </cols>
  <sheetData>
    <row r="1" spans="1:7" x14ac:dyDescent="0.2">
      <c r="A1" s="429" t="s">
        <v>883</v>
      </c>
      <c r="B1" s="89"/>
    </row>
    <row r="3" spans="1:7" x14ac:dyDescent="0.2">
      <c r="A3" s="15"/>
      <c r="B3" s="112" t="s">
        <v>3</v>
      </c>
      <c r="C3" s="112" t="s">
        <v>4</v>
      </c>
      <c r="D3" s="113" t="s">
        <v>5</v>
      </c>
      <c r="E3" s="113" t="s">
        <v>6</v>
      </c>
      <c r="F3" s="15"/>
      <c r="G3" s="15"/>
    </row>
    <row r="4" spans="1:7" ht="12.75" thickBot="1" x14ac:dyDescent="0.25">
      <c r="A4" s="395" t="s">
        <v>7</v>
      </c>
      <c r="B4" s="420" t="s">
        <v>1155</v>
      </c>
      <c r="C4" s="420" t="s">
        <v>1155</v>
      </c>
      <c r="D4" s="421" t="s">
        <v>1005</v>
      </c>
      <c r="E4" s="421" t="s">
        <v>1005</v>
      </c>
      <c r="F4" s="74"/>
    </row>
    <row r="5" spans="1:7" s="350" customFormat="1" x14ac:dyDescent="0.2">
      <c r="A5" s="105" t="s">
        <v>8</v>
      </c>
      <c r="B5" s="378">
        <v>0.19500000000000001</v>
      </c>
      <c r="C5" s="311">
        <v>1444</v>
      </c>
      <c r="D5" s="378">
        <v>0.19500000000000001</v>
      </c>
      <c r="E5" s="311">
        <v>1585</v>
      </c>
      <c r="F5" s="74"/>
    </row>
    <row r="6" spans="1:7" s="350" customFormat="1" ht="14.25" x14ac:dyDescent="0.2">
      <c r="A6" s="350" t="s">
        <v>1156</v>
      </c>
      <c r="B6" s="590"/>
      <c r="C6" s="84"/>
      <c r="D6" s="590">
        <v>1.61E-2</v>
      </c>
      <c r="E6" s="84">
        <v>126</v>
      </c>
      <c r="F6" s="96"/>
      <c r="G6" s="580"/>
    </row>
    <row r="7" spans="1:7" s="295" customFormat="1" x14ac:dyDescent="0.2">
      <c r="A7" s="447" t="s">
        <v>9</v>
      </c>
      <c r="B7" s="379">
        <v>0.15140000000000001</v>
      </c>
      <c r="C7" s="86">
        <v>152</v>
      </c>
      <c r="D7" s="379">
        <v>0.15140000000000001</v>
      </c>
      <c r="E7" s="86">
        <v>140</v>
      </c>
      <c r="F7" s="96"/>
      <c r="G7" s="114"/>
    </row>
    <row r="8" spans="1:7" s="349" customFormat="1" ht="14.25" x14ac:dyDescent="0.2">
      <c r="A8" s="447" t="s">
        <v>1138</v>
      </c>
      <c r="B8" s="379"/>
      <c r="C8" s="86"/>
      <c r="D8" s="379">
        <v>0.18090000000000001</v>
      </c>
      <c r="E8" s="86">
        <v>210</v>
      </c>
      <c r="F8" s="96"/>
      <c r="G8" s="114"/>
    </row>
    <row r="9" spans="1:7" x14ac:dyDescent="0.2">
      <c r="A9" s="447" t="s">
        <v>1139</v>
      </c>
      <c r="B9" s="447"/>
      <c r="C9" s="311">
        <v>91</v>
      </c>
      <c r="D9" s="447"/>
      <c r="E9" s="311">
        <v>96</v>
      </c>
      <c r="F9" s="96"/>
      <c r="G9" s="114"/>
    </row>
    <row r="10" spans="1:7" x14ac:dyDescent="0.2">
      <c r="A10" s="115" t="s">
        <v>10</v>
      </c>
      <c r="B10" s="115"/>
      <c r="C10" s="100">
        <f>SUM(C5:C9)</f>
        <v>1687</v>
      </c>
      <c r="D10" s="100"/>
      <c r="E10" s="355">
        <f>SUM(E5:E9)</f>
        <v>2157</v>
      </c>
      <c r="F10" s="74"/>
      <c r="G10" s="114"/>
    </row>
    <row r="12" spans="1:7" x14ac:dyDescent="0.2">
      <c r="A12" s="514" t="s">
        <v>909</v>
      </c>
    </row>
    <row r="13" spans="1:7" x14ac:dyDescent="0.2">
      <c r="A13" s="514" t="s">
        <v>910</v>
      </c>
    </row>
    <row r="14" spans="1:7" x14ac:dyDescent="0.2">
      <c r="A14" s="514" t="s">
        <v>884</v>
      </c>
    </row>
    <row r="15" spans="1:7" x14ac:dyDescent="0.2">
      <c r="A15" s="514" t="s">
        <v>911</v>
      </c>
    </row>
    <row r="17" spans="1:1" ht="14.25" x14ac:dyDescent="0.2">
      <c r="A17" s="350" t="s">
        <v>1140</v>
      </c>
    </row>
    <row r="18" spans="1:1" ht="14.25" x14ac:dyDescent="0.2">
      <c r="A18" s="350" t="s">
        <v>1157</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Q153"/>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11</v>
      </c>
    </row>
    <row r="2" spans="1:3" s="350" customFormat="1" x14ac:dyDescent="0.2">
      <c r="A2" s="515" t="s">
        <v>885</v>
      </c>
    </row>
    <row r="3" spans="1:3" s="350" customFormat="1" x14ac:dyDescent="0.2">
      <c r="A3" s="515"/>
    </row>
    <row r="4" spans="1:3" s="350" customFormat="1" x14ac:dyDescent="0.2">
      <c r="A4" s="594" t="s">
        <v>1065</v>
      </c>
    </row>
    <row r="5" spans="1:3" s="350" customFormat="1" x14ac:dyDescent="0.2">
      <c r="A5" s="594" t="s">
        <v>1067</v>
      </c>
    </row>
    <row r="6" spans="1:3" s="350" customFormat="1" x14ac:dyDescent="0.2">
      <c r="A6" s="515"/>
    </row>
    <row r="7" spans="1:3" s="350" customFormat="1" x14ac:dyDescent="0.2">
      <c r="A7" s="594" t="s">
        <v>1066</v>
      </c>
    </row>
    <row r="8" spans="1:3" s="350" customFormat="1" x14ac:dyDescent="0.2">
      <c r="A8" s="594" t="s">
        <v>1068</v>
      </c>
    </row>
    <row r="9" spans="1:3" s="350" customFormat="1" x14ac:dyDescent="0.2">
      <c r="A9" s="598" t="s">
        <v>1069</v>
      </c>
    </row>
    <row r="10" spans="1:3" s="350" customFormat="1" x14ac:dyDescent="0.2">
      <c r="A10" s="594" t="s">
        <v>1070</v>
      </c>
    </row>
    <row r="11" spans="1:3" s="350" customFormat="1" x14ac:dyDescent="0.2">
      <c r="A11" s="594" t="s">
        <v>1071</v>
      </c>
    </row>
    <row r="12" spans="1:3" s="350" customFormat="1" x14ac:dyDescent="0.2">
      <c r="A12" s="515"/>
    </row>
    <row r="15" spans="1:3" ht="12.75" thickBot="1" x14ac:dyDescent="0.25">
      <c r="A15" s="1" t="s">
        <v>12</v>
      </c>
      <c r="B15" s="422">
        <v>42916</v>
      </c>
      <c r="C15" s="423">
        <v>42735</v>
      </c>
    </row>
    <row r="16" spans="1:3" x14ac:dyDescent="0.2">
      <c r="A16" s="2" t="s">
        <v>13</v>
      </c>
      <c r="B16" s="3">
        <v>6394</v>
      </c>
      <c r="C16" s="4">
        <v>6394</v>
      </c>
    </row>
    <row r="17" spans="1:5" x14ac:dyDescent="0.2">
      <c r="A17" s="2" t="s">
        <v>14</v>
      </c>
      <c r="B17" s="3">
        <v>1587</v>
      </c>
      <c r="C17" s="4">
        <v>1587</v>
      </c>
    </row>
    <row r="18" spans="1:5" x14ac:dyDescent="0.2">
      <c r="A18" s="2" t="s">
        <v>15</v>
      </c>
      <c r="B18" s="3">
        <v>0</v>
      </c>
      <c r="C18" s="4">
        <v>575</v>
      </c>
    </row>
    <row r="19" spans="1:5" x14ac:dyDescent="0.2">
      <c r="A19" s="2" t="s">
        <v>16</v>
      </c>
      <c r="B19" s="3">
        <v>52</v>
      </c>
      <c r="C19" s="4">
        <v>52</v>
      </c>
    </row>
    <row r="20" spans="1:5" s="350" customFormat="1" x14ac:dyDescent="0.2">
      <c r="A20" s="2" t="s">
        <v>1158</v>
      </c>
      <c r="B20" s="3">
        <v>150</v>
      </c>
      <c r="C20" s="4">
        <v>0</v>
      </c>
    </row>
    <row r="21" spans="1:5" s="350" customFormat="1" x14ac:dyDescent="0.2">
      <c r="A21" s="5" t="s">
        <v>17</v>
      </c>
      <c r="B21" s="3">
        <v>9634</v>
      </c>
      <c r="C21" s="4">
        <v>9680</v>
      </c>
    </row>
    <row r="22" spans="1:5" x14ac:dyDescent="0.2">
      <c r="A22" s="583" t="s">
        <v>1006</v>
      </c>
      <c r="B22" s="3">
        <v>917</v>
      </c>
      <c r="C22" s="4"/>
    </row>
    <row r="23" spans="1:5" x14ac:dyDescent="0.2">
      <c r="A23" s="6" t="s">
        <v>18</v>
      </c>
      <c r="B23" s="7">
        <f>SUM(B16:B22)</f>
        <v>18734</v>
      </c>
      <c r="C23" s="8">
        <f>SUM(C16:C22)</f>
        <v>18288</v>
      </c>
    </row>
    <row r="24" spans="1:5" x14ac:dyDescent="0.2">
      <c r="A24" s="2"/>
      <c r="B24" s="3"/>
      <c r="C24" s="4"/>
    </row>
    <row r="25" spans="1:5" x14ac:dyDescent="0.2">
      <c r="A25" s="9" t="s">
        <v>19</v>
      </c>
      <c r="B25" s="3"/>
      <c r="C25" s="4"/>
      <c r="E25" s="9"/>
    </row>
    <row r="26" spans="1:5" x14ac:dyDescent="0.2">
      <c r="A26" s="2" t="s">
        <v>20</v>
      </c>
      <c r="B26" s="3">
        <v>-120</v>
      </c>
      <c r="C26" s="4">
        <v>-94</v>
      </c>
      <c r="E26" s="2"/>
    </row>
    <row r="27" spans="1:5" x14ac:dyDescent="0.2">
      <c r="A27" s="2" t="s">
        <v>21</v>
      </c>
      <c r="B27" s="3">
        <v>0</v>
      </c>
      <c r="C27" s="4">
        <v>-575</v>
      </c>
      <c r="E27" s="2"/>
    </row>
    <row r="28" spans="1:5" x14ac:dyDescent="0.2">
      <c r="A28" s="424" t="s">
        <v>921</v>
      </c>
      <c r="B28" s="3">
        <v>-255</v>
      </c>
      <c r="C28" s="4">
        <v>-263</v>
      </c>
      <c r="E28" s="2"/>
    </row>
    <row r="29" spans="1:5" s="350" customFormat="1" x14ac:dyDescent="0.2">
      <c r="A29" s="350" t="s">
        <v>1159</v>
      </c>
      <c r="B29" s="3">
        <v>-150</v>
      </c>
      <c r="C29" s="4"/>
      <c r="E29" s="2"/>
    </row>
    <row r="30" spans="1:5" s="350" customFormat="1" x14ac:dyDescent="0.2">
      <c r="A30" s="350" t="s">
        <v>1007</v>
      </c>
      <c r="B30" s="3">
        <v>-458</v>
      </c>
      <c r="C30" s="4"/>
      <c r="E30" s="2"/>
    </row>
    <row r="31" spans="1:5" s="350" customFormat="1" x14ac:dyDescent="0.2">
      <c r="A31" s="2" t="s">
        <v>22</v>
      </c>
      <c r="B31" s="3">
        <v>0</v>
      </c>
      <c r="C31" s="4">
        <v>-163</v>
      </c>
      <c r="E31" s="2"/>
    </row>
    <row r="32" spans="1:5" s="350" customFormat="1" x14ac:dyDescent="0.2">
      <c r="A32" s="140" t="s">
        <v>23</v>
      </c>
      <c r="B32" s="3">
        <v>-50</v>
      </c>
      <c r="C32" s="4">
        <v>-50</v>
      </c>
      <c r="E32" s="2"/>
    </row>
    <row r="33" spans="1:5" s="290" customFormat="1" x14ac:dyDescent="0.2">
      <c r="A33" s="6" t="s">
        <v>24</v>
      </c>
      <c r="B33" s="581">
        <f>SUM(B23:B32)</f>
        <v>17701</v>
      </c>
      <c r="C33" s="582">
        <f>SUM(C23:C32)</f>
        <v>17143</v>
      </c>
    </row>
    <row r="34" spans="1:5" ht="12" customHeight="1" x14ac:dyDescent="0.2">
      <c r="A34" s="5" t="s">
        <v>1160</v>
      </c>
      <c r="B34" s="3">
        <v>150</v>
      </c>
      <c r="C34" s="4">
        <v>0</v>
      </c>
      <c r="E34" s="2"/>
    </row>
    <row r="35" spans="1:5" s="350" customFormat="1" ht="14.25" customHeight="1" x14ac:dyDescent="0.2">
      <c r="A35" s="5" t="s">
        <v>25</v>
      </c>
      <c r="B35" s="3">
        <v>1087</v>
      </c>
      <c r="C35" s="4">
        <v>1084</v>
      </c>
      <c r="E35" s="2"/>
    </row>
    <row r="36" spans="1:5" x14ac:dyDescent="0.2">
      <c r="A36" s="6" t="s">
        <v>26</v>
      </c>
      <c r="B36" s="7">
        <f>B33+B34+B35</f>
        <v>18938</v>
      </c>
      <c r="C36" s="8">
        <f>C33+C34+C35</f>
        <v>18227</v>
      </c>
      <c r="E36" s="2"/>
    </row>
    <row r="37" spans="1:5" x14ac:dyDescent="0.2">
      <c r="A37" s="2"/>
      <c r="B37" s="3"/>
      <c r="C37" s="4"/>
    </row>
    <row r="38" spans="1:5" x14ac:dyDescent="0.2">
      <c r="A38" s="9" t="s">
        <v>27</v>
      </c>
      <c r="B38" s="3"/>
      <c r="C38" s="4"/>
    </row>
    <row r="39" spans="1:5" x14ac:dyDescent="0.2">
      <c r="A39" s="2" t="s">
        <v>28</v>
      </c>
      <c r="B39" s="3">
        <v>2728</v>
      </c>
      <c r="C39" s="4">
        <v>2276</v>
      </c>
    </row>
    <row r="40" spans="1:5" s="350" customFormat="1" x14ac:dyDescent="0.2">
      <c r="A40" s="2" t="s">
        <v>29</v>
      </c>
      <c r="B40" s="3">
        <v>-43</v>
      </c>
      <c r="C40" s="4">
        <v>-60</v>
      </c>
    </row>
    <row r="41" spans="1:5" x14ac:dyDescent="0.2">
      <c r="A41" s="6" t="s">
        <v>30</v>
      </c>
      <c r="B41" s="7">
        <f>SUM(B39:B40)</f>
        <v>2685</v>
      </c>
      <c r="C41" s="8">
        <f>SUM(C39:C40)</f>
        <v>2216</v>
      </c>
    </row>
    <row r="42" spans="1:5" x14ac:dyDescent="0.2">
      <c r="A42" s="5"/>
      <c r="B42" s="3"/>
      <c r="C42" s="4"/>
    </row>
    <row r="43" spans="1:5" x14ac:dyDescent="0.2">
      <c r="A43" s="6" t="s">
        <v>31</v>
      </c>
      <c r="B43" s="7">
        <f>+B41+B36</f>
        <v>21623</v>
      </c>
      <c r="C43" s="8">
        <f>+C41+C36</f>
        <v>20443</v>
      </c>
    </row>
    <row r="44" spans="1:5" ht="14.25" x14ac:dyDescent="0.2">
      <c r="A44" s="10" t="s">
        <v>32</v>
      </c>
      <c r="B44" s="11"/>
      <c r="C44" s="12"/>
    </row>
    <row r="45" spans="1:5" x14ac:dyDescent="0.2">
      <c r="A45" s="13"/>
      <c r="B45" s="14"/>
      <c r="C45" s="15"/>
    </row>
    <row r="46" spans="1:5" ht="12.75" thickBot="1" x14ac:dyDescent="0.25">
      <c r="A46" s="16" t="s">
        <v>33</v>
      </c>
      <c r="B46" s="422">
        <v>42916</v>
      </c>
      <c r="C46" s="423">
        <v>42735</v>
      </c>
    </row>
    <row r="47" spans="1:5" x14ac:dyDescent="0.2">
      <c r="A47" s="514" t="s">
        <v>973</v>
      </c>
      <c r="B47" s="346">
        <v>101738</v>
      </c>
      <c r="C47" s="18">
        <f>72607+23073</f>
        <v>95680</v>
      </c>
    </row>
    <row r="48" spans="1:5" s="350" customFormat="1" x14ac:dyDescent="0.2">
      <c r="A48" s="350" t="s">
        <v>34</v>
      </c>
      <c r="B48" s="346">
        <v>821</v>
      </c>
      <c r="C48" s="18">
        <v>701</v>
      </c>
    </row>
    <row r="49" spans="1:3" x14ac:dyDescent="0.2">
      <c r="A49" s="350" t="s">
        <v>35</v>
      </c>
      <c r="B49" s="346">
        <v>7480</v>
      </c>
      <c r="C49" s="18">
        <v>7054</v>
      </c>
    </row>
    <row r="50" spans="1:3" x14ac:dyDescent="0.2">
      <c r="A50" s="20" t="s">
        <v>36</v>
      </c>
      <c r="B50" s="21">
        <v>10644</v>
      </c>
      <c r="C50" s="291">
        <v>13216</v>
      </c>
    </row>
    <row r="51" spans="1:3" x14ac:dyDescent="0.2">
      <c r="A51" s="23" t="s">
        <v>37</v>
      </c>
      <c r="B51" s="24">
        <f>B47+B48+B49+B50</f>
        <v>120683</v>
      </c>
      <c r="C51" s="292">
        <f>C47+C48+C49+C50</f>
        <v>116651</v>
      </c>
    </row>
    <row r="52" spans="1:3" x14ac:dyDescent="0.2">
      <c r="A52" s="25"/>
      <c r="B52" s="26"/>
      <c r="C52" s="27"/>
    </row>
    <row r="53" spans="1:3" s="350" customFormat="1" x14ac:dyDescent="0.2">
      <c r="A53" s="380" t="s">
        <v>38</v>
      </c>
      <c r="B53" s="346">
        <f>B51*4.5/100</f>
        <v>5430.7349999999997</v>
      </c>
      <c r="C53" s="18">
        <f>C51*4.5/100</f>
        <v>5249.2950000000001</v>
      </c>
    </row>
    <row r="54" spans="1:3" s="350" customFormat="1" x14ac:dyDescent="0.2">
      <c r="A54" s="380" t="s">
        <v>39</v>
      </c>
      <c r="B54" s="346"/>
      <c r="C54" s="18"/>
    </row>
    <row r="55" spans="1:3" s="350" customFormat="1" x14ac:dyDescent="0.2">
      <c r="A55" s="380" t="s">
        <v>912</v>
      </c>
      <c r="B55" s="346">
        <f>B51*2.5/100</f>
        <v>3017.0749999999998</v>
      </c>
      <c r="C55" s="18">
        <f>C51*2.5/100</f>
        <v>2916.2750000000001</v>
      </c>
    </row>
    <row r="56" spans="1:3" s="350" customFormat="1" x14ac:dyDescent="0.2">
      <c r="A56" s="380" t="s">
        <v>40</v>
      </c>
      <c r="B56" s="346">
        <f>B51*3/100</f>
        <v>3620.49</v>
      </c>
      <c r="C56" s="18">
        <f>C51*3/100</f>
        <v>3499.53</v>
      </c>
    </row>
    <row r="57" spans="1:3" s="350" customFormat="1" x14ac:dyDescent="0.2">
      <c r="A57" s="380" t="s">
        <v>974</v>
      </c>
      <c r="B57" s="346">
        <f>B51*1.5/100</f>
        <v>1810.2449999999999</v>
      </c>
      <c r="C57" s="18">
        <f>C51*1.5/100</f>
        <v>1749.7650000000001</v>
      </c>
    </row>
    <row r="58" spans="1:3" s="350" customFormat="1" x14ac:dyDescent="0.2">
      <c r="A58" s="380" t="s">
        <v>41</v>
      </c>
      <c r="B58" s="346">
        <f>SUM(B55:B57)</f>
        <v>8447.81</v>
      </c>
      <c r="C58" s="18">
        <f>SUM(C55:C57)</f>
        <v>8165.5700000000006</v>
      </c>
    </row>
    <row r="59" spans="1:3" s="350" customFormat="1" x14ac:dyDescent="0.2">
      <c r="A59" s="380" t="s">
        <v>42</v>
      </c>
      <c r="B59" s="346">
        <f>B33-B53-B58</f>
        <v>3822.4549999999999</v>
      </c>
      <c r="C59" s="18">
        <f>C33-C53-C58</f>
        <v>3728.1349999999993</v>
      </c>
    </row>
    <row r="60" spans="1:3" s="350" customFormat="1" x14ac:dyDescent="0.2">
      <c r="A60" s="25"/>
      <c r="B60" s="26"/>
      <c r="C60" s="27"/>
    </row>
    <row r="61" spans="1:3" x14ac:dyDescent="0.2">
      <c r="A61" s="9" t="s">
        <v>43</v>
      </c>
      <c r="B61" s="28">
        <v>0.1792</v>
      </c>
      <c r="C61" s="29">
        <v>0.17519999999999999</v>
      </c>
    </row>
    <row r="62" spans="1:3" x14ac:dyDescent="0.2">
      <c r="A62" s="2" t="s">
        <v>44</v>
      </c>
      <c r="B62" s="28">
        <v>0.15690000000000001</v>
      </c>
      <c r="C62" s="29">
        <v>0.15629999999999999</v>
      </c>
    </row>
    <row r="63" spans="1:3" x14ac:dyDescent="0.2">
      <c r="A63" s="2" t="s">
        <v>45</v>
      </c>
      <c r="B63" s="28">
        <v>2.2200000000000001E-2</v>
      </c>
      <c r="C63" s="29">
        <v>1.9E-2</v>
      </c>
    </row>
    <row r="64" spans="1:3" x14ac:dyDescent="0.2">
      <c r="A64" s="425" t="s">
        <v>46</v>
      </c>
      <c r="B64" s="28">
        <v>0.1467</v>
      </c>
      <c r="C64" s="29">
        <v>0.14699999999999999</v>
      </c>
    </row>
    <row r="65" spans="1:17" x14ac:dyDescent="0.2">
      <c r="A65" s="15" t="s">
        <v>1008</v>
      </c>
      <c r="B65" s="593">
        <v>7.2099999999999997E-2</v>
      </c>
      <c r="C65" s="676">
        <v>7.2800000000000004E-2</v>
      </c>
    </row>
    <row r="66" spans="1:17" s="31" customFormat="1" x14ac:dyDescent="0.2">
      <c r="A66" s="359"/>
      <c r="B66" s="359"/>
      <c r="C66" s="359"/>
      <c r="L66" s="17"/>
      <c r="M66" s="17"/>
      <c r="N66" s="17"/>
      <c r="O66" s="17"/>
      <c r="P66" s="17"/>
      <c r="Q66" s="17"/>
    </row>
    <row r="67" spans="1:17" s="31" customFormat="1" x14ac:dyDescent="0.2">
      <c r="L67" s="17"/>
      <c r="M67" s="17"/>
      <c r="N67" s="17"/>
      <c r="O67" s="17"/>
      <c r="P67" s="17"/>
      <c r="Q67" s="17"/>
    </row>
    <row r="68" spans="1:17" s="31" customFormat="1" x14ac:dyDescent="0.2">
      <c r="L68" s="17"/>
      <c r="M68" s="17"/>
      <c r="N68" s="17"/>
      <c r="O68" s="17"/>
      <c r="P68" s="17"/>
      <c r="Q68" s="17"/>
    </row>
    <row r="69" spans="1:17" x14ac:dyDescent="0.2">
      <c r="C69" s="32"/>
      <c r="D69" s="32"/>
      <c r="E69" s="32"/>
      <c r="F69" s="32"/>
    </row>
    <row r="70" spans="1:17" x14ac:dyDescent="0.2">
      <c r="A70" s="33"/>
      <c r="B70" s="34"/>
      <c r="C70" s="34"/>
      <c r="D70" s="35"/>
      <c r="E70" s="35"/>
      <c r="F70" s="35"/>
      <c r="G70" s="15"/>
      <c r="H70" s="15"/>
      <c r="I70" s="15"/>
    </row>
    <row r="71" spans="1:17" x14ac:dyDescent="0.2">
      <c r="A71" s="15"/>
      <c r="B71" s="15"/>
      <c r="C71" s="34"/>
      <c r="D71" s="36"/>
      <c r="E71" s="36"/>
      <c r="F71" s="34"/>
      <c r="G71" s="15"/>
      <c r="H71" s="15"/>
      <c r="I71" s="15"/>
    </row>
    <row r="72" spans="1:17" x14ac:dyDescent="0.2">
      <c r="A72" s="37"/>
      <c r="B72" s="37"/>
      <c r="C72" s="38"/>
      <c r="D72" s="36"/>
      <c r="E72" s="36"/>
      <c r="F72" s="37"/>
      <c r="G72" s="37"/>
      <c r="H72" s="15"/>
      <c r="I72" s="15"/>
    </row>
    <row r="73" spans="1:17" x14ac:dyDescent="0.2">
      <c r="A73" s="39"/>
      <c r="B73" s="40"/>
      <c r="C73" s="36"/>
      <c r="D73" s="36"/>
      <c r="E73" s="36"/>
      <c r="F73" s="41"/>
      <c r="G73" s="41"/>
      <c r="H73" s="15"/>
      <c r="I73" s="15"/>
    </row>
    <row r="74" spans="1:17" x14ac:dyDescent="0.2">
      <c r="A74" s="41"/>
      <c r="B74" s="40"/>
      <c r="C74" s="36"/>
      <c r="D74" s="36"/>
      <c r="E74" s="36"/>
      <c r="F74" s="41"/>
      <c r="G74" s="42"/>
      <c r="H74" s="15"/>
      <c r="I74" s="15"/>
    </row>
    <row r="75" spans="1:17" x14ac:dyDescent="0.2">
      <c r="A75" s="43"/>
      <c r="B75" s="44"/>
      <c r="C75" s="45"/>
      <c r="D75" s="45"/>
      <c r="E75" s="45"/>
      <c r="F75" s="46"/>
      <c r="G75" s="47"/>
      <c r="H75" s="15"/>
      <c r="I75" s="15"/>
    </row>
    <row r="76" spans="1:17" x14ac:dyDescent="0.2">
      <c r="A76" s="48"/>
      <c r="B76" s="44"/>
      <c r="C76" s="45"/>
      <c r="D76" s="45"/>
      <c r="E76" s="45"/>
      <c r="F76" s="49"/>
      <c r="G76" s="49"/>
      <c r="H76" s="15"/>
      <c r="I76" s="15"/>
    </row>
    <row r="77" spans="1:17" x14ac:dyDescent="0.2">
      <c r="A77" s="48"/>
      <c r="B77" s="44"/>
      <c r="C77" s="45"/>
      <c r="D77" s="45"/>
      <c r="E77" s="45"/>
      <c r="F77" s="49"/>
      <c r="G77" s="49"/>
      <c r="H77" s="15"/>
      <c r="I77" s="15"/>
    </row>
    <row r="78" spans="1:17" x14ac:dyDescent="0.2">
      <c r="A78" s="48"/>
      <c r="B78" s="44"/>
      <c r="C78" s="45"/>
      <c r="D78" s="45"/>
      <c r="E78" s="45"/>
      <c r="F78" s="49"/>
      <c r="G78" s="49"/>
      <c r="H78" s="15"/>
      <c r="I78" s="15"/>
    </row>
    <row r="79" spans="1:17" x14ac:dyDescent="0.2">
      <c r="A79" s="50"/>
      <c r="B79" s="44"/>
      <c r="C79" s="45"/>
      <c r="D79" s="45"/>
      <c r="E79" s="45"/>
      <c r="F79" s="51"/>
      <c r="G79" s="47"/>
      <c r="H79" s="15"/>
      <c r="I79" s="15"/>
    </row>
    <row r="80" spans="1:17" x14ac:dyDescent="0.2">
      <c r="A80" s="52"/>
      <c r="B80" s="53"/>
      <c r="C80" s="54"/>
      <c r="D80" s="54"/>
      <c r="E80" s="54"/>
      <c r="F80" s="55"/>
      <c r="G80" s="55"/>
      <c r="H80" s="15"/>
      <c r="I80" s="15"/>
    </row>
    <row r="81" spans="1:9" x14ac:dyDescent="0.2">
      <c r="A81" s="56"/>
      <c r="B81" s="44"/>
      <c r="C81" s="54"/>
      <c r="D81" s="54"/>
      <c r="E81" s="54"/>
      <c r="F81" s="46"/>
      <c r="G81" s="47"/>
      <c r="H81" s="15"/>
      <c r="I81" s="15"/>
    </row>
    <row r="82" spans="1:9" x14ac:dyDescent="0.2">
      <c r="A82" s="57"/>
      <c r="B82" s="37"/>
      <c r="C82" s="54"/>
      <c r="D82" s="54"/>
      <c r="E82" s="54"/>
      <c r="F82" s="46"/>
      <c r="G82" s="47"/>
      <c r="H82" s="15"/>
      <c r="I82" s="15"/>
    </row>
    <row r="83" spans="1:9" x14ac:dyDescent="0.2">
      <c r="A83" s="48"/>
      <c r="B83" s="44"/>
      <c r="C83" s="54"/>
      <c r="D83" s="54"/>
      <c r="E83" s="54"/>
      <c r="F83" s="49"/>
      <c r="G83" s="49"/>
      <c r="H83" s="15"/>
      <c r="I83" s="15"/>
    </row>
    <row r="84" spans="1:9" x14ac:dyDescent="0.2">
      <c r="A84" s="48"/>
      <c r="B84" s="44"/>
      <c r="C84" s="54"/>
      <c r="D84" s="54"/>
      <c r="E84" s="54"/>
      <c r="F84" s="49"/>
      <c r="G84" s="49"/>
      <c r="H84" s="15"/>
      <c r="I84" s="15"/>
    </row>
    <row r="85" spans="1:9" x14ac:dyDescent="0.2">
      <c r="A85" s="48"/>
      <c r="B85" s="44"/>
      <c r="C85" s="54"/>
      <c r="D85" s="54"/>
      <c r="E85" s="54"/>
      <c r="F85" s="49"/>
      <c r="G85" s="49"/>
      <c r="H85" s="15"/>
      <c r="I85" s="15"/>
    </row>
    <row r="86" spans="1:9" x14ac:dyDescent="0.2">
      <c r="A86" s="52"/>
      <c r="B86" s="53"/>
      <c r="C86" s="58"/>
      <c r="D86" s="58"/>
      <c r="E86" s="58"/>
      <c r="F86" s="55"/>
      <c r="G86" s="55"/>
      <c r="H86" s="15"/>
      <c r="I86" s="15"/>
    </row>
    <row r="87" spans="1:9" ht="14.25" x14ac:dyDescent="0.2">
      <c r="A87" s="59"/>
      <c r="B87" s="10"/>
      <c r="C87" s="54"/>
      <c r="D87" s="54"/>
      <c r="E87" s="54"/>
      <c r="F87" s="60"/>
      <c r="G87" s="61"/>
      <c r="H87" s="15"/>
      <c r="I87" s="15"/>
    </row>
    <row r="88" spans="1:9" ht="14.25" x14ac:dyDescent="0.2">
      <c r="A88" s="57"/>
      <c r="B88" s="62"/>
      <c r="C88" s="10"/>
      <c r="D88" s="10"/>
      <c r="E88" s="10"/>
      <c r="F88" s="63"/>
      <c r="G88" s="64"/>
      <c r="H88" s="15"/>
      <c r="I88" s="15"/>
    </row>
    <row r="89" spans="1:9" x14ac:dyDescent="0.2">
      <c r="A89" s="48"/>
      <c r="B89" s="65"/>
      <c r="C89" s="65"/>
      <c r="D89" s="65"/>
      <c r="E89" s="65"/>
      <c r="F89" s="49"/>
      <c r="G89" s="49"/>
      <c r="H89" s="15"/>
      <c r="I89" s="15"/>
    </row>
    <row r="90" spans="1:9" x14ac:dyDescent="0.2">
      <c r="A90" s="48"/>
      <c r="B90" s="44"/>
      <c r="C90" s="65"/>
      <c r="D90" s="65"/>
      <c r="E90" s="65"/>
      <c r="F90" s="49"/>
      <c r="G90" s="49"/>
      <c r="H90" s="15"/>
      <c r="I90" s="15"/>
    </row>
    <row r="91" spans="1:9" x14ac:dyDescent="0.2">
      <c r="A91" s="48"/>
      <c r="B91" s="44"/>
      <c r="C91" s="65"/>
      <c r="D91" s="65"/>
      <c r="E91" s="65"/>
      <c r="F91" s="49"/>
      <c r="G91" s="49"/>
      <c r="H91" s="15"/>
      <c r="I91" s="15"/>
    </row>
    <row r="92" spans="1:9" x14ac:dyDescent="0.2">
      <c r="A92" s="48"/>
      <c r="B92" s="44"/>
      <c r="C92" s="65"/>
      <c r="D92" s="65"/>
      <c r="E92" s="65"/>
      <c r="F92" s="49"/>
      <c r="G92" s="47"/>
      <c r="H92" s="15"/>
      <c r="I92" s="15"/>
    </row>
    <row r="93" spans="1:9" x14ac:dyDescent="0.2">
      <c r="A93" s="52"/>
      <c r="B93" s="66"/>
      <c r="C93" s="65"/>
      <c r="D93" s="65"/>
      <c r="E93" s="65"/>
      <c r="F93" s="55"/>
      <c r="G93" s="55"/>
      <c r="H93" s="15"/>
      <c r="I93" s="15"/>
    </row>
    <row r="94" spans="1:9" x14ac:dyDescent="0.2">
      <c r="A94" s="56"/>
      <c r="B94" s="44"/>
      <c r="C94" s="44"/>
      <c r="D94" s="44"/>
      <c r="E94" s="44"/>
      <c r="F94" s="53"/>
      <c r="G94" s="44"/>
      <c r="H94" s="15"/>
      <c r="I94" s="15"/>
    </row>
    <row r="95" spans="1:9" x14ac:dyDescent="0.2">
      <c r="A95" s="56"/>
      <c r="B95" s="44"/>
      <c r="C95" s="44"/>
      <c r="D95" s="44"/>
      <c r="E95" s="44"/>
      <c r="F95" s="49"/>
      <c r="G95" s="49"/>
      <c r="H95" s="15"/>
      <c r="I95" s="15"/>
    </row>
    <row r="96" spans="1:9" x14ac:dyDescent="0.2">
      <c r="A96" s="52"/>
      <c r="B96" s="53"/>
      <c r="C96" s="58"/>
      <c r="D96" s="58"/>
      <c r="E96" s="58"/>
      <c r="F96" s="55"/>
      <c r="G96" s="55"/>
      <c r="H96" s="15"/>
      <c r="I96" s="15"/>
    </row>
    <row r="97" spans="1:12" x14ac:dyDescent="0.2">
      <c r="A97" s="15"/>
      <c r="B97" s="15"/>
      <c r="C97" s="15"/>
      <c r="D97" s="15"/>
      <c r="E97" s="15"/>
      <c r="F97" s="15"/>
      <c r="G97" s="15"/>
      <c r="H97" s="15"/>
      <c r="I97" s="15"/>
    </row>
    <row r="98" spans="1:12" x14ac:dyDescent="0.2">
      <c r="A98" s="15"/>
      <c r="B98" s="15"/>
      <c r="C98" s="15"/>
      <c r="D98" s="15"/>
      <c r="E98" s="15"/>
      <c r="F98" s="15"/>
      <c r="G98" s="15"/>
      <c r="H98" s="15"/>
      <c r="I98" s="15"/>
    </row>
    <row r="99" spans="1:12" x14ac:dyDescent="0.2">
      <c r="A99" s="67"/>
      <c r="B99" s="67"/>
      <c r="C99" s="67"/>
      <c r="D99" s="67"/>
      <c r="E99" s="67"/>
      <c r="F99" s="67"/>
      <c r="G99" s="67"/>
      <c r="H99" s="37"/>
      <c r="I99" s="37"/>
      <c r="J99" s="68"/>
      <c r="K99" s="68"/>
      <c r="L99" s="68"/>
    </row>
    <row r="100" spans="1:12" x14ac:dyDescent="0.2">
      <c r="A100" s="67"/>
      <c r="B100" s="67"/>
      <c r="C100" s="67"/>
      <c r="D100" s="67"/>
      <c r="E100" s="67"/>
      <c r="F100" s="67"/>
      <c r="G100" s="67"/>
      <c r="H100" s="37"/>
      <c r="I100" s="37"/>
      <c r="J100" s="68"/>
      <c r="K100" s="68"/>
      <c r="L100" s="68"/>
    </row>
    <row r="101" spans="1:12" x14ac:dyDescent="0.2">
      <c r="A101" s="67"/>
      <c r="B101" s="67"/>
      <c r="C101" s="67"/>
      <c r="D101" s="67"/>
      <c r="E101" s="67"/>
      <c r="F101" s="67"/>
      <c r="G101" s="67"/>
      <c r="H101" s="37"/>
      <c r="I101" s="37"/>
      <c r="J101" s="68"/>
      <c r="K101" s="68"/>
      <c r="L101" s="68"/>
    </row>
    <row r="102" spans="1:12" x14ac:dyDescent="0.2">
      <c r="A102" s="67"/>
      <c r="B102" s="67"/>
      <c r="C102" s="67"/>
      <c r="D102" s="67"/>
      <c r="E102" s="67"/>
      <c r="F102" s="67"/>
      <c r="G102" s="67"/>
      <c r="H102" s="37"/>
      <c r="I102" s="37"/>
      <c r="J102" s="68"/>
      <c r="K102" s="68"/>
      <c r="L102" s="68"/>
    </row>
    <row r="103" spans="1:12" x14ac:dyDescent="0.2">
      <c r="A103" s="15"/>
      <c r="B103" s="15"/>
      <c r="C103" s="15"/>
      <c r="D103" s="15"/>
      <c r="E103" s="15"/>
      <c r="F103" s="15"/>
      <c r="G103" s="15"/>
      <c r="H103" s="15"/>
      <c r="I103" s="15"/>
    </row>
    <row r="104" spans="1:12" x14ac:dyDescent="0.2">
      <c r="A104" s="15"/>
      <c r="B104" s="15"/>
      <c r="C104" s="15"/>
      <c r="D104" s="15"/>
      <c r="E104" s="15"/>
      <c r="F104" s="15"/>
      <c r="G104" s="15"/>
      <c r="H104" s="15"/>
      <c r="I104" s="15"/>
    </row>
    <row r="105" spans="1:12" x14ac:dyDescent="0.2">
      <c r="A105" s="15"/>
      <c r="B105" s="15"/>
      <c r="C105" s="15"/>
      <c r="D105" s="15"/>
      <c r="E105" s="15"/>
      <c r="F105" s="15"/>
      <c r="G105" s="15"/>
      <c r="H105" s="15"/>
      <c r="I105" s="15"/>
    </row>
    <row r="106" spans="1:12" x14ac:dyDescent="0.2">
      <c r="A106" s="15"/>
      <c r="B106" s="15"/>
      <c r="C106" s="15"/>
      <c r="D106" s="15"/>
      <c r="E106" s="15"/>
      <c r="F106" s="15"/>
      <c r="G106" s="15"/>
      <c r="H106" s="15"/>
      <c r="I106" s="15"/>
    </row>
    <row r="107" spans="1:12" x14ac:dyDescent="0.2">
      <c r="A107" s="15"/>
      <c r="B107" s="15"/>
      <c r="C107" s="15"/>
      <c r="D107" s="15"/>
      <c r="E107" s="15"/>
      <c r="F107" s="15"/>
      <c r="G107" s="15"/>
      <c r="H107" s="15"/>
      <c r="I107" s="15"/>
    </row>
    <row r="108" spans="1:12" x14ac:dyDescent="0.2">
      <c r="A108" s="15"/>
      <c r="B108" s="15"/>
      <c r="C108" s="15"/>
      <c r="D108" s="15"/>
      <c r="E108" s="15"/>
      <c r="F108" s="15"/>
      <c r="G108" s="15"/>
      <c r="H108" s="15"/>
      <c r="I108" s="15"/>
    </row>
    <row r="109" spans="1:12" x14ac:dyDescent="0.2">
      <c r="A109" s="15"/>
      <c r="B109" s="15"/>
      <c r="C109" s="15"/>
      <c r="D109" s="15"/>
      <c r="E109" s="15"/>
      <c r="F109" s="15"/>
      <c r="G109" s="15"/>
      <c r="H109" s="15"/>
      <c r="I109" s="15"/>
    </row>
    <row r="110" spans="1:12" x14ac:dyDescent="0.2">
      <c r="A110" s="15"/>
      <c r="B110" s="15"/>
      <c r="C110" s="15"/>
      <c r="D110" s="15"/>
      <c r="E110" s="15"/>
      <c r="F110" s="15"/>
      <c r="G110" s="15"/>
      <c r="H110" s="15"/>
      <c r="I110" s="15"/>
    </row>
    <row r="111" spans="1:12" x14ac:dyDescent="0.2">
      <c r="A111" s="15"/>
      <c r="B111" s="15"/>
      <c r="C111" s="15"/>
      <c r="D111" s="15"/>
      <c r="E111" s="15"/>
      <c r="F111" s="15"/>
      <c r="G111" s="15"/>
      <c r="H111" s="15"/>
      <c r="I111" s="15"/>
    </row>
    <row r="112" spans="1:12"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row r="146" spans="1:9" x14ac:dyDescent="0.2">
      <c r="A146" s="15"/>
      <c r="B146" s="15"/>
      <c r="C146" s="15"/>
      <c r="D146" s="15"/>
      <c r="E146" s="15"/>
      <c r="F146" s="15"/>
      <c r="G146" s="15"/>
      <c r="H146" s="15"/>
      <c r="I146" s="15"/>
    </row>
    <row r="147" spans="1:9" x14ac:dyDescent="0.2">
      <c r="A147" s="15"/>
      <c r="B147" s="15"/>
      <c r="C147" s="15"/>
      <c r="D147" s="15"/>
      <c r="E147" s="15"/>
      <c r="F147" s="15"/>
      <c r="G147" s="15"/>
      <c r="H147" s="15"/>
      <c r="I147" s="15"/>
    </row>
    <row r="148" spans="1:9" x14ac:dyDescent="0.2">
      <c r="A148" s="15"/>
      <c r="B148" s="15"/>
      <c r="C148" s="15"/>
      <c r="D148" s="15"/>
      <c r="E148" s="15"/>
      <c r="F148" s="15"/>
      <c r="G148" s="15"/>
      <c r="H148" s="15"/>
      <c r="I148" s="15"/>
    </row>
    <row r="149" spans="1:9" x14ac:dyDescent="0.2">
      <c r="A149" s="15"/>
      <c r="B149" s="15"/>
      <c r="C149" s="15"/>
      <c r="D149" s="15"/>
      <c r="E149" s="15"/>
      <c r="F149" s="15"/>
      <c r="G149" s="15"/>
      <c r="H149" s="15"/>
      <c r="I149" s="15"/>
    </row>
    <row r="150" spans="1:9" x14ac:dyDescent="0.2">
      <c r="A150" s="15"/>
      <c r="B150" s="15"/>
      <c r="C150" s="15"/>
      <c r="D150" s="15"/>
      <c r="E150" s="15"/>
      <c r="F150" s="15"/>
      <c r="G150" s="15"/>
      <c r="H150" s="15"/>
      <c r="I150" s="15"/>
    </row>
    <row r="151" spans="1:9" x14ac:dyDescent="0.2">
      <c r="A151" s="15"/>
      <c r="B151" s="15"/>
      <c r="C151" s="15"/>
      <c r="D151" s="15"/>
      <c r="E151" s="15"/>
      <c r="F151" s="15"/>
      <c r="G151" s="15"/>
      <c r="H151" s="15"/>
      <c r="I151" s="15"/>
    </row>
    <row r="152" spans="1:9" x14ac:dyDescent="0.2">
      <c r="A152" s="15"/>
      <c r="B152" s="15"/>
      <c r="C152" s="15"/>
      <c r="D152" s="15"/>
      <c r="E152" s="15"/>
      <c r="F152" s="15"/>
      <c r="G152" s="15"/>
      <c r="H152" s="15"/>
      <c r="I152" s="15"/>
    </row>
    <row r="153" spans="1:9" x14ac:dyDescent="0.2">
      <c r="A153" s="15"/>
      <c r="B153" s="15"/>
      <c r="C153" s="15"/>
      <c r="D153" s="15"/>
      <c r="E153" s="15"/>
      <c r="F153" s="15"/>
      <c r="G153" s="15"/>
      <c r="H153" s="15"/>
      <c r="I153"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2"/>
  <sheetViews>
    <sheetView showGridLines="0" zoomScaleNormal="100" workbookViewId="0"/>
  </sheetViews>
  <sheetFormatPr baseColWidth="10" defaultColWidth="11" defaultRowHeight="12" x14ac:dyDescent="0.2"/>
  <cols>
    <col min="1" max="1" width="34.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50" customFormat="1" x14ac:dyDescent="0.2">
      <c r="A1" s="511" t="s">
        <v>47</v>
      </c>
      <c r="B1" s="389"/>
      <c r="C1" s="296"/>
      <c r="D1" s="296"/>
      <c r="E1" s="296"/>
      <c r="F1" s="296"/>
      <c r="G1" s="69"/>
      <c r="H1" s="69"/>
      <c r="J1" s="69"/>
    </row>
    <row r="2" spans="1:11" s="350" customFormat="1" x14ac:dyDescent="0.2">
      <c r="A2" s="512"/>
      <c r="B2" s="389"/>
      <c r="C2" s="296"/>
      <c r="D2" s="296"/>
      <c r="E2" s="296"/>
      <c r="F2" s="296"/>
      <c r="G2" s="69"/>
      <c r="H2" s="69"/>
      <c r="J2" s="69"/>
    </row>
    <row r="3" spans="1:11" s="350" customFormat="1" x14ac:dyDescent="0.2">
      <c r="A3" s="297"/>
      <c r="B3" s="297"/>
      <c r="C3" s="297"/>
      <c r="D3" s="297"/>
      <c r="E3" s="298"/>
      <c r="F3" s="389"/>
      <c r="J3" s="393"/>
    </row>
    <row r="4" spans="1:11" s="350" customFormat="1" x14ac:dyDescent="0.2">
      <c r="A4" s="444"/>
      <c r="B4" s="444"/>
      <c r="C4" s="444"/>
      <c r="D4" s="444"/>
      <c r="E4" s="445"/>
      <c r="F4" s="445"/>
      <c r="G4" s="72"/>
    </row>
    <row r="5" spans="1:11" s="350" customFormat="1" ht="24" x14ac:dyDescent="0.2">
      <c r="A5" s="294"/>
      <c r="B5" s="299"/>
      <c r="C5" s="74" t="s">
        <v>865</v>
      </c>
      <c r="D5" s="74" t="s">
        <v>865</v>
      </c>
      <c r="E5" s="445" t="s">
        <v>48</v>
      </c>
      <c r="F5" s="301" t="s">
        <v>49</v>
      </c>
      <c r="G5" s="75"/>
    </row>
    <row r="6" spans="1:11" s="350" customFormat="1" x14ac:dyDescent="0.2">
      <c r="A6" s="294"/>
      <c r="B6" s="299"/>
      <c r="C6" s="300"/>
      <c r="D6" s="300" t="s">
        <v>50</v>
      </c>
      <c r="E6" s="445" t="s">
        <v>51</v>
      </c>
      <c r="F6" s="301" t="s">
        <v>52</v>
      </c>
      <c r="G6" s="72"/>
    </row>
    <row r="7" spans="1:11" s="350" customFormat="1" ht="12.75" thickBot="1" x14ac:dyDescent="0.25">
      <c r="A7" s="302"/>
      <c r="B7" s="303"/>
      <c r="C7" s="422">
        <v>42916</v>
      </c>
      <c r="D7" s="422">
        <v>42916</v>
      </c>
      <c r="E7" s="422">
        <v>42916</v>
      </c>
      <c r="F7" s="423">
        <v>42735</v>
      </c>
      <c r="G7" s="77"/>
      <c r="I7" s="14"/>
    </row>
    <row r="8" spans="1:11" s="350" customFormat="1" x14ac:dyDescent="0.2">
      <c r="A8" s="105" t="s">
        <v>53</v>
      </c>
      <c r="B8" s="71" t="s">
        <v>866</v>
      </c>
      <c r="C8" s="304">
        <v>34627</v>
      </c>
      <c r="D8" s="304">
        <v>33215</v>
      </c>
      <c r="E8" s="304">
        <v>20082</v>
      </c>
      <c r="F8" s="304">
        <v>19471</v>
      </c>
      <c r="G8" s="79"/>
      <c r="I8" s="14"/>
    </row>
    <row r="9" spans="1:11" s="350" customFormat="1" x14ac:dyDescent="0.2">
      <c r="A9" s="105"/>
      <c r="B9" s="444" t="s">
        <v>890</v>
      </c>
      <c r="C9" s="304">
        <v>27192</v>
      </c>
      <c r="D9" s="304">
        <v>24375</v>
      </c>
      <c r="E9" s="304">
        <v>18847</v>
      </c>
      <c r="F9" s="304">
        <v>17231</v>
      </c>
      <c r="G9" s="79"/>
      <c r="I9" s="14"/>
    </row>
    <row r="10" spans="1:11" s="350" customFormat="1" x14ac:dyDescent="0.2">
      <c r="A10" s="305"/>
      <c r="B10" s="426" t="s">
        <v>867</v>
      </c>
      <c r="C10" s="307">
        <v>10142</v>
      </c>
      <c r="D10" s="307">
        <v>8432</v>
      </c>
      <c r="E10" s="307">
        <v>7068</v>
      </c>
      <c r="F10" s="307">
        <v>6785</v>
      </c>
      <c r="G10" s="79"/>
      <c r="I10" s="80"/>
    </row>
    <row r="11" spans="1:11" s="350" customFormat="1" x14ac:dyDescent="0.2">
      <c r="A11" s="293" t="s">
        <v>54</v>
      </c>
      <c r="B11" s="81" t="s">
        <v>868</v>
      </c>
      <c r="C11" s="304">
        <v>5867</v>
      </c>
      <c r="D11" s="304">
        <v>5863</v>
      </c>
      <c r="E11" s="304">
        <v>1311</v>
      </c>
      <c r="F11" s="304">
        <v>1194</v>
      </c>
      <c r="G11" s="79"/>
      <c r="I11" s="80"/>
    </row>
    <row r="12" spans="1:11" s="350" customFormat="1" ht="12" customHeight="1" x14ac:dyDescent="0.2">
      <c r="A12" s="293"/>
      <c r="B12" s="81" t="s">
        <v>869</v>
      </c>
      <c r="C12" s="304">
        <v>134824</v>
      </c>
      <c r="D12" s="304">
        <v>134814</v>
      </c>
      <c r="E12" s="304">
        <v>26785</v>
      </c>
      <c r="F12" s="304">
        <v>25899</v>
      </c>
      <c r="G12" s="79"/>
      <c r="I12" s="80"/>
    </row>
    <row r="13" spans="1:11" s="350" customFormat="1" ht="14.25" customHeight="1" x14ac:dyDescent="0.2">
      <c r="A13" s="308"/>
      <c r="B13" s="427" t="s">
        <v>870</v>
      </c>
      <c r="C13" s="307">
        <f>392+4483+1</f>
        <v>4876</v>
      </c>
      <c r="D13" s="307">
        <f>389+4476+1</f>
        <v>4866</v>
      </c>
      <c r="E13" s="307">
        <f>118+1942</f>
        <v>2060</v>
      </c>
      <c r="F13" s="307">
        <v>2027</v>
      </c>
      <c r="G13" s="79"/>
      <c r="I13" s="683"/>
      <c r="J13" s="683"/>
      <c r="K13" s="683"/>
    </row>
    <row r="14" spans="1:11" s="350" customFormat="1" x14ac:dyDescent="0.2">
      <c r="A14" s="684" t="s">
        <v>55</v>
      </c>
      <c r="B14" s="684"/>
      <c r="C14" s="309">
        <f>SUM(C8:C13)</f>
        <v>217528</v>
      </c>
      <c r="D14" s="309">
        <f>SUM(D8:D13)</f>
        <v>211565</v>
      </c>
      <c r="E14" s="309">
        <f>SUM(E8:E13)</f>
        <v>76153</v>
      </c>
      <c r="F14" s="304">
        <f>SUM(F8:F13)</f>
        <v>72607</v>
      </c>
      <c r="G14" s="82"/>
    </row>
    <row r="15" spans="1:11" s="350" customFormat="1" x14ac:dyDescent="0.2">
      <c r="A15" s="299"/>
      <c r="B15" s="299"/>
      <c r="C15" s="310"/>
      <c r="D15" s="310"/>
      <c r="E15" s="310"/>
      <c r="F15" s="310"/>
      <c r="G15" s="83"/>
    </row>
    <row r="16" spans="1:11" s="350" customFormat="1" x14ac:dyDescent="0.2">
      <c r="A16" s="71" t="s">
        <v>871</v>
      </c>
      <c r="B16" s="444"/>
      <c r="C16" s="304">
        <f>7296+847+25+2528</f>
        <v>10696</v>
      </c>
      <c r="D16" s="304"/>
      <c r="E16" s="304">
        <f>48+170+3</f>
        <v>221</v>
      </c>
      <c r="F16" s="304">
        <f>68+312+21</f>
        <v>401</v>
      </c>
      <c r="G16" s="79"/>
      <c r="H16" s="84"/>
    </row>
    <row r="17" spans="1:8" s="350" customFormat="1" x14ac:dyDescent="0.2">
      <c r="A17" s="71" t="s">
        <v>872</v>
      </c>
      <c r="B17" s="444"/>
      <c r="C17" s="304">
        <v>22955</v>
      </c>
      <c r="D17" s="304"/>
      <c r="E17" s="304">
        <f>2044+1323</f>
        <v>3367</v>
      </c>
      <c r="F17" s="304">
        <v>2169</v>
      </c>
      <c r="G17" s="79"/>
      <c r="H17" s="84"/>
    </row>
    <row r="18" spans="1:8" s="350" customFormat="1" x14ac:dyDescent="0.2">
      <c r="A18" s="71" t="s">
        <v>873</v>
      </c>
      <c r="B18" s="444"/>
      <c r="C18" s="304">
        <f>11558+239</f>
        <v>11797</v>
      </c>
      <c r="D18" s="304"/>
      <c r="E18" s="304">
        <f>8756+346</f>
        <v>9102</v>
      </c>
      <c r="F18" s="304">
        <v>7446</v>
      </c>
      <c r="G18" s="79"/>
      <c r="H18" s="84"/>
    </row>
    <row r="19" spans="1:8" s="350" customFormat="1" x14ac:dyDescent="0.2">
      <c r="A19" s="71" t="s">
        <v>874</v>
      </c>
      <c r="B19" s="444"/>
      <c r="C19" s="304">
        <f>7811+1626</f>
        <v>9437</v>
      </c>
      <c r="D19" s="304"/>
      <c r="E19" s="304">
        <f>2867+1401</f>
        <v>4268</v>
      </c>
      <c r="F19" s="304">
        <f>2058+2506</f>
        <v>4564</v>
      </c>
      <c r="G19" s="79"/>
      <c r="H19" s="84"/>
    </row>
    <row r="20" spans="1:8" s="350" customFormat="1" x14ac:dyDescent="0.2">
      <c r="A20" s="105" t="s">
        <v>975</v>
      </c>
      <c r="B20" s="539"/>
      <c r="C20" s="304">
        <v>24382</v>
      </c>
      <c r="D20" s="304"/>
      <c r="E20" s="304">
        <v>2438</v>
      </c>
      <c r="F20" s="304">
        <v>1817</v>
      </c>
      <c r="G20" s="79"/>
      <c r="H20" s="84"/>
    </row>
    <row r="21" spans="1:8" s="350" customFormat="1" x14ac:dyDescent="0.2">
      <c r="A21" s="105" t="s">
        <v>976</v>
      </c>
      <c r="B21" s="539"/>
      <c r="C21" s="304">
        <v>2041</v>
      </c>
      <c r="D21" s="304"/>
      <c r="E21" s="304">
        <v>4442</v>
      </c>
      <c r="F21" s="304">
        <v>4850</v>
      </c>
      <c r="G21" s="79"/>
      <c r="H21" s="84"/>
    </row>
    <row r="22" spans="1:8" s="350" customFormat="1" x14ac:dyDescent="0.2">
      <c r="A22" s="426" t="s">
        <v>513</v>
      </c>
      <c r="B22" s="306"/>
      <c r="C22" s="307">
        <f>2317+2</f>
        <v>2319</v>
      </c>
      <c r="D22" s="538"/>
      <c r="E22" s="307">
        <v>1747</v>
      </c>
      <c r="F22" s="307">
        <v>1826</v>
      </c>
      <c r="G22" s="79"/>
      <c r="H22" s="84"/>
    </row>
    <row r="23" spans="1:8" s="350" customFormat="1" x14ac:dyDescent="0.2">
      <c r="A23" s="684" t="s">
        <v>56</v>
      </c>
      <c r="B23" s="684"/>
      <c r="C23" s="309">
        <f>SUM(C16:C22)</f>
        <v>83627</v>
      </c>
      <c r="D23" s="309"/>
      <c r="E23" s="309">
        <f>SUM(E16:E22)</f>
        <v>25585</v>
      </c>
      <c r="F23" s="304">
        <f>SUM(F16:F22)</f>
        <v>23073</v>
      </c>
      <c r="G23" s="82"/>
      <c r="H23" s="84"/>
    </row>
    <row r="24" spans="1:8" s="350" customFormat="1" x14ac:dyDescent="0.2">
      <c r="A24" s="299"/>
      <c r="B24" s="299"/>
      <c r="C24" s="309"/>
      <c r="D24" s="309"/>
      <c r="E24" s="309"/>
      <c r="F24" s="304"/>
      <c r="G24" s="82"/>
      <c r="H24" s="84"/>
    </row>
    <row r="25" spans="1:8" s="350" customFormat="1" x14ac:dyDescent="0.2">
      <c r="A25" s="312" t="s">
        <v>57</v>
      </c>
      <c r="B25" s="313"/>
      <c r="C25" s="314"/>
      <c r="D25" s="358"/>
      <c r="E25" s="314">
        <f>E14+E23</f>
        <v>101738</v>
      </c>
      <c r="F25" s="358">
        <f>F14+F23</f>
        <v>95680</v>
      </c>
      <c r="G25" s="88"/>
    </row>
    <row r="26" spans="1:8" s="350" customFormat="1" x14ac:dyDescent="0.2"/>
    <row r="27" spans="1:8" s="350" customFormat="1" x14ac:dyDescent="0.2">
      <c r="A27" s="518"/>
      <c r="B27" s="389"/>
      <c r="C27" s="389"/>
      <c r="D27" s="18"/>
      <c r="E27" s="389"/>
      <c r="F27" s="389"/>
      <c r="G27" s="389"/>
    </row>
    <row r="28" spans="1:8" s="350" customFormat="1" ht="12.75" x14ac:dyDescent="0.2">
      <c r="A28" s="636" t="s">
        <v>1106</v>
      </c>
      <c r="B28" s="389"/>
      <c r="C28" s="389"/>
      <c r="D28" s="389"/>
      <c r="E28" s="389"/>
      <c r="F28" s="389"/>
      <c r="G28" s="389"/>
    </row>
    <row r="29" spans="1:8" s="350" customFormat="1" ht="12.75" x14ac:dyDescent="0.2">
      <c r="A29" s="636" t="s">
        <v>1107</v>
      </c>
      <c r="E29" s="84"/>
    </row>
    <row r="30" spans="1:8" s="350" customFormat="1" ht="12.75" x14ac:dyDescent="0.2">
      <c r="A30" s="636" t="s">
        <v>1108</v>
      </c>
    </row>
    <row r="31" spans="1:8" ht="12.75" x14ac:dyDescent="0.2">
      <c r="A31" s="636" t="s">
        <v>1109</v>
      </c>
      <c r="B31" s="19"/>
      <c r="C31" s="19"/>
      <c r="D31" s="19"/>
      <c r="E31" s="19"/>
      <c r="F31" s="19"/>
      <c r="G31" s="19"/>
    </row>
    <row r="32" spans="1:8" x14ac:dyDescent="0.2">
      <c r="A32" s="17" t="s">
        <v>1110</v>
      </c>
      <c r="B32" s="19"/>
      <c r="C32" s="19"/>
      <c r="D32" s="19"/>
      <c r="E32" s="19"/>
      <c r="F32" s="19"/>
      <c r="G32" s="19"/>
    </row>
    <row r="33" spans="1:7" x14ac:dyDescent="0.2">
      <c r="A33" s="19"/>
      <c r="B33" s="19"/>
      <c r="C33" s="19"/>
      <c r="D33" s="19"/>
      <c r="E33" s="19"/>
      <c r="F33" s="19"/>
      <c r="G33" s="19"/>
    </row>
    <row r="34" spans="1:7" x14ac:dyDescent="0.2">
      <c r="A34" s="19"/>
      <c r="B34" s="19"/>
      <c r="C34" s="19"/>
      <c r="D34" s="19"/>
      <c r="E34" s="19"/>
      <c r="F34" s="19"/>
      <c r="G34" s="19"/>
    </row>
    <row r="35" spans="1:7" x14ac:dyDescent="0.2">
      <c r="A35" s="19"/>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51" t="s">
        <v>58</v>
      </c>
      <c r="B1" s="19"/>
      <c r="C1" s="19"/>
      <c r="D1" s="19"/>
      <c r="E1" s="19"/>
      <c r="F1" s="19"/>
      <c r="G1" s="19"/>
      <c r="H1" s="350"/>
    </row>
    <row r="2" spans="1:8" x14ac:dyDescent="0.2">
      <c r="A2" s="350" t="s">
        <v>59</v>
      </c>
      <c r="B2" s="19"/>
      <c r="C2" s="19"/>
      <c r="D2" s="19"/>
      <c r="E2" s="19"/>
      <c r="F2" s="19"/>
      <c r="G2" s="19"/>
      <c r="H2" s="350"/>
    </row>
    <row r="3" spans="1:8" x14ac:dyDescent="0.2">
      <c r="A3" s="106"/>
      <c r="B3" s="106"/>
      <c r="C3" s="300"/>
      <c r="D3" s="685" t="s">
        <v>60</v>
      </c>
      <c r="E3" s="300"/>
      <c r="F3" s="300"/>
      <c r="G3" s="300"/>
      <c r="H3" s="350"/>
    </row>
    <row r="4" spans="1:8" ht="15" thickBot="1" x14ac:dyDescent="0.25">
      <c r="A4" s="526">
        <v>2017</v>
      </c>
      <c r="B4" s="352"/>
      <c r="C4" s="343" t="s">
        <v>61</v>
      </c>
      <c r="D4" s="686"/>
      <c r="E4" s="264" t="s">
        <v>62</v>
      </c>
      <c r="F4" s="264" t="s">
        <v>63</v>
      </c>
      <c r="G4" s="634" t="s">
        <v>1141</v>
      </c>
      <c r="H4" s="350"/>
    </row>
    <row r="5" spans="1:8" x14ac:dyDescent="0.2">
      <c r="A5" s="689" t="s">
        <v>64</v>
      </c>
      <c r="B5" s="689"/>
      <c r="C5" s="263">
        <f>300728*0.0125</f>
        <v>3759.1000000000004</v>
      </c>
      <c r="D5" s="263"/>
      <c r="E5" s="263"/>
      <c r="F5" s="263"/>
      <c r="G5" s="263"/>
      <c r="H5" s="120"/>
    </row>
    <row r="6" spans="1:8" x14ac:dyDescent="0.2">
      <c r="A6" s="689" t="s">
        <v>65</v>
      </c>
      <c r="B6" s="689"/>
      <c r="C6" s="263">
        <f>272470*0.0125</f>
        <v>3405.875</v>
      </c>
      <c r="D6" s="263"/>
      <c r="E6" s="263"/>
      <c r="F6" s="263"/>
      <c r="G6" s="263"/>
      <c r="H6" s="120"/>
    </row>
    <row r="7" spans="1:8" x14ac:dyDescent="0.2">
      <c r="A7" s="689" t="s">
        <v>66</v>
      </c>
      <c r="B7" s="689"/>
      <c r="C7" s="263">
        <f>-19635*0.0125</f>
        <v>-245.4375</v>
      </c>
      <c r="D7" s="263"/>
      <c r="E7" s="263"/>
      <c r="F7" s="263"/>
      <c r="G7" s="263"/>
      <c r="H7" s="120"/>
    </row>
    <row r="8" spans="1:8" s="350" customFormat="1" x14ac:dyDescent="0.2">
      <c r="A8" s="689" t="s">
        <v>864</v>
      </c>
      <c r="B8" s="689"/>
      <c r="C8" s="263">
        <f>SUM(D8:G8)</f>
        <v>560</v>
      </c>
      <c r="D8" s="263">
        <v>112</v>
      </c>
      <c r="E8" s="263">
        <v>60</v>
      </c>
      <c r="F8" s="263">
        <v>256</v>
      </c>
      <c r="G8" s="263">
        <v>132</v>
      </c>
      <c r="H8" s="120"/>
    </row>
    <row r="9" spans="1:8" x14ac:dyDescent="0.2">
      <c r="A9" s="312" t="s">
        <v>67</v>
      </c>
      <c r="B9" s="312"/>
      <c r="C9" s="353">
        <f>SUM(C5:C8)</f>
        <v>7479.5375000000004</v>
      </c>
      <c r="D9" s="353">
        <f t="shared" ref="D9:F9" si="0">SUM(D5:D8)</f>
        <v>112</v>
      </c>
      <c r="E9" s="353">
        <f t="shared" si="0"/>
        <v>60</v>
      </c>
      <c r="F9" s="353">
        <f t="shared" si="0"/>
        <v>256</v>
      </c>
      <c r="G9" s="353">
        <f t="shared" ref="G9" si="1">SUM(G5:G8)</f>
        <v>132</v>
      </c>
      <c r="H9" s="120"/>
    </row>
    <row r="10" spans="1:8" x14ac:dyDescent="0.2">
      <c r="A10" s="389"/>
      <c r="B10" s="389"/>
      <c r="C10" s="354"/>
      <c r="D10" s="354"/>
      <c r="E10" s="354"/>
      <c r="F10" s="354"/>
      <c r="G10" s="354"/>
      <c r="H10" s="120"/>
    </row>
    <row r="11" spans="1:8" s="350" customFormat="1" ht="12" customHeight="1" x14ac:dyDescent="0.2">
      <c r="A11" s="106"/>
      <c r="B11" s="106"/>
      <c r="C11" s="300"/>
      <c r="D11" s="685" t="s">
        <v>68</v>
      </c>
      <c r="E11" s="300"/>
      <c r="F11" s="300"/>
      <c r="G11" s="354"/>
      <c r="H11" s="120"/>
    </row>
    <row r="12" spans="1:8" s="350" customFormat="1" ht="12.75" thickBot="1" x14ac:dyDescent="0.25">
      <c r="A12" s="526">
        <v>2016</v>
      </c>
      <c r="B12" s="352"/>
      <c r="C12" s="446" t="s">
        <v>51</v>
      </c>
      <c r="D12" s="686"/>
      <c r="E12" s="446" t="s">
        <v>69</v>
      </c>
      <c r="F12" s="446" t="s">
        <v>70</v>
      </c>
      <c r="G12" s="354"/>
      <c r="H12" s="120"/>
    </row>
    <row r="13" spans="1:8" s="350" customFormat="1" x14ac:dyDescent="0.2">
      <c r="A13" s="689" t="s">
        <v>71</v>
      </c>
      <c r="B13" s="689"/>
      <c r="C13" s="263">
        <v>3894</v>
      </c>
      <c r="D13" s="263"/>
      <c r="E13" s="263"/>
      <c r="F13" s="263"/>
      <c r="G13" s="354"/>
      <c r="H13" s="120"/>
    </row>
    <row r="14" spans="1:8" s="350" customFormat="1" x14ac:dyDescent="0.2">
      <c r="A14" s="689" t="s">
        <v>72</v>
      </c>
      <c r="B14" s="689"/>
      <c r="C14" s="263">
        <v>3049</v>
      </c>
      <c r="D14" s="263"/>
      <c r="E14" s="263"/>
      <c r="F14" s="263"/>
      <c r="G14" s="354"/>
      <c r="H14" s="120"/>
    </row>
    <row r="15" spans="1:8" s="350" customFormat="1" x14ac:dyDescent="0.2">
      <c r="A15" s="689" t="s">
        <v>73</v>
      </c>
      <c r="B15" s="689"/>
      <c r="C15" s="263">
        <v>-302</v>
      </c>
      <c r="D15" s="263"/>
      <c r="E15" s="263"/>
      <c r="F15" s="263"/>
      <c r="G15" s="354"/>
      <c r="H15" s="120"/>
    </row>
    <row r="16" spans="1:8" s="350" customFormat="1" x14ac:dyDescent="0.2">
      <c r="A16" s="689" t="s">
        <v>864</v>
      </c>
      <c r="B16" s="689"/>
      <c r="C16" s="263">
        <f>SUM(D16:F16)</f>
        <v>413</v>
      </c>
      <c r="D16" s="263">
        <v>101</v>
      </c>
      <c r="E16" s="263">
        <v>51</v>
      </c>
      <c r="F16" s="263">
        <v>261</v>
      </c>
      <c r="G16" s="354"/>
      <c r="H16" s="120"/>
    </row>
    <row r="17" spans="1:8" x14ac:dyDescent="0.2">
      <c r="A17" s="312" t="s">
        <v>74</v>
      </c>
      <c r="B17" s="312"/>
      <c r="C17" s="353">
        <f>SUM(C13:C16)</f>
        <v>7054</v>
      </c>
      <c r="D17" s="353">
        <f>SUM(D16)</f>
        <v>101</v>
      </c>
      <c r="E17" s="353">
        <f t="shared" ref="E17:F17" si="2">SUM(E16)</f>
        <v>51</v>
      </c>
      <c r="F17" s="353">
        <f t="shared" si="2"/>
        <v>261</v>
      </c>
      <c r="G17" s="354"/>
      <c r="H17" s="120"/>
    </row>
    <row r="18" spans="1:8" x14ac:dyDescent="0.2">
      <c r="A18" s="389"/>
      <c r="B18" s="389"/>
      <c r="C18" s="354"/>
      <c r="D18" s="354"/>
      <c r="E18" s="354"/>
      <c r="F18" s="354"/>
      <c r="G18" s="354"/>
      <c r="H18" s="120"/>
    </row>
    <row r="19" spans="1:8" x14ac:dyDescent="0.2">
      <c r="A19" s="389"/>
      <c r="B19" s="389"/>
      <c r="C19" s="354"/>
      <c r="D19" s="354"/>
      <c r="E19" s="354"/>
      <c r="F19" s="354"/>
      <c r="G19" s="354"/>
      <c r="H19" s="120"/>
    </row>
    <row r="20" spans="1:8" x14ac:dyDescent="0.2">
      <c r="A20" s="687" t="s">
        <v>906</v>
      </c>
      <c r="B20" s="688"/>
      <c r="C20" s="688"/>
      <c r="D20" s="688"/>
      <c r="E20" s="688"/>
      <c r="F20" s="688"/>
      <c r="G20" s="688"/>
      <c r="H20" s="350"/>
    </row>
    <row r="21" spans="1:8" x14ac:dyDescent="0.2">
      <c r="A21" s="687" t="s">
        <v>914</v>
      </c>
      <c r="B21" s="688"/>
      <c r="C21" s="688"/>
      <c r="D21" s="688"/>
      <c r="E21" s="688"/>
      <c r="F21" s="688"/>
      <c r="G21" s="688"/>
      <c r="H21" s="350"/>
    </row>
    <row r="22" spans="1:8" x14ac:dyDescent="0.2">
      <c r="A22" s="518" t="s">
        <v>913</v>
      </c>
      <c r="B22" s="389"/>
      <c r="C22" s="389"/>
      <c r="D22" s="389"/>
      <c r="E22" s="389"/>
      <c r="F22" s="389"/>
      <c r="G22" s="389"/>
      <c r="H22" s="350"/>
    </row>
    <row r="23" spans="1:8" x14ac:dyDescent="0.2">
      <c r="A23" s="389"/>
      <c r="B23" s="389"/>
      <c r="C23" s="389"/>
      <c r="D23" s="389"/>
      <c r="E23" s="389"/>
      <c r="F23" s="389"/>
      <c r="G23" s="389"/>
      <c r="H23" s="350"/>
    </row>
    <row r="24" spans="1:8" ht="14.25" x14ac:dyDescent="0.2">
      <c r="A24" s="618" t="s">
        <v>1099</v>
      </c>
      <c r="B24" s="389"/>
      <c r="C24" s="389"/>
      <c r="D24" s="389"/>
      <c r="E24" s="389"/>
      <c r="F24" s="389"/>
      <c r="G24" s="389"/>
    </row>
    <row r="25" spans="1:8" ht="14.25" x14ac:dyDescent="0.2">
      <c r="A25" s="350" t="s">
        <v>1142</v>
      </c>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showGridLines="0" zoomScaleNormal="100" workbookViewId="0">
      <selection activeCell="C4" sqref="C4"/>
    </sheetView>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16" t="s">
        <v>886</v>
      </c>
      <c r="B1" s="32"/>
      <c r="C1" s="32"/>
      <c r="D1" s="121"/>
      <c r="E1" s="121"/>
    </row>
    <row r="2" spans="1:7" x14ac:dyDescent="0.2">
      <c r="C2" s="32"/>
      <c r="D2" s="36"/>
      <c r="E2" s="32"/>
    </row>
    <row r="3" spans="1:7" x14ac:dyDescent="0.2">
      <c r="A3" s="68"/>
      <c r="B3" s="68"/>
      <c r="C3" s="68"/>
      <c r="D3" s="122"/>
      <c r="E3" s="36"/>
      <c r="F3" s="68"/>
      <c r="G3" s="68"/>
    </row>
    <row r="4" spans="1:7" ht="24" x14ac:dyDescent="0.2">
      <c r="A4" s="690" t="s">
        <v>412</v>
      </c>
      <c r="B4" s="690"/>
      <c r="C4" s="123" t="s">
        <v>413</v>
      </c>
      <c r="D4" s="124" t="s">
        <v>414</v>
      </c>
      <c r="E4" s="517" t="s">
        <v>887</v>
      </c>
      <c r="F4" s="125">
        <v>2016</v>
      </c>
      <c r="G4" s="126">
        <v>2015</v>
      </c>
    </row>
    <row r="5" spans="1:7" x14ac:dyDescent="0.2">
      <c r="A5" s="41"/>
      <c r="B5" s="127"/>
      <c r="C5" s="40"/>
      <c r="D5" s="36"/>
      <c r="E5" s="36"/>
      <c r="F5" s="41"/>
      <c r="G5" s="42"/>
    </row>
    <row r="6" spans="1:7" x14ac:dyDescent="0.2">
      <c r="A6" s="691" t="s">
        <v>415</v>
      </c>
      <c r="B6" s="691"/>
      <c r="C6" s="2"/>
      <c r="D6" s="128"/>
      <c r="E6" s="128"/>
      <c r="F6" s="129"/>
      <c r="G6" s="130"/>
    </row>
    <row r="7" spans="1:7" x14ac:dyDescent="0.2">
      <c r="A7" s="131" t="s">
        <v>416</v>
      </c>
      <c r="B7" s="132"/>
      <c r="C7" s="2" t="s">
        <v>977</v>
      </c>
      <c r="D7" s="128">
        <v>2021</v>
      </c>
      <c r="E7" s="128">
        <v>2016</v>
      </c>
      <c r="F7" s="133">
        <v>0</v>
      </c>
      <c r="G7" s="134">
        <v>746</v>
      </c>
    </row>
    <row r="8" spans="1:7" x14ac:dyDescent="0.2">
      <c r="A8" s="131" t="s">
        <v>417</v>
      </c>
      <c r="B8" s="132"/>
      <c r="C8" s="2" t="s">
        <v>978</v>
      </c>
      <c r="D8" s="128">
        <v>2023</v>
      </c>
      <c r="E8" s="128">
        <v>2018</v>
      </c>
      <c r="F8" s="133">
        <v>499</v>
      </c>
      <c r="G8" s="134">
        <v>499</v>
      </c>
    </row>
    <row r="9" spans="1:7" x14ac:dyDescent="0.2">
      <c r="A9" s="131" t="s">
        <v>981</v>
      </c>
      <c r="B9" s="132"/>
      <c r="C9" s="2" t="s">
        <v>979</v>
      </c>
      <c r="D9" s="128">
        <v>2030</v>
      </c>
      <c r="E9" s="128">
        <v>2030</v>
      </c>
      <c r="F9" s="133">
        <v>465</v>
      </c>
      <c r="G9" s="134">
        <v>502</v>
      </c>
    </row>
    <row r="10" spans="1:7" x14ac:dyDescent="0.2">
      <c r="A10" s="131" t="s">
        <v>418</v>
      </c>
      <c r="B10" s="132"/>
      <c r="C10" s="2" t="s">
        <v>980</v>
      </c>
      <c r="D10" s="128">
        <v>2022</v>
      </c>
      <c r="E10" s="128">
        <v>2017</v>
      </c>
      <c r="F10" s="133">
        <v>825</v>
      </c>
      <c r="G10" s="134">
        <v>825</v>
      </c>
    </row>
    <row r="11" spans="1:7" x14ac:dyDescent="0.2">
      <c r="A11" s="430" t="s">
        <v>419</v>
      </c>
      <c r="B11" s="135"/>
      <c r="C11" s="136"/>
      <c r="D11" s="137"/>
      <c r="E11" s="137"/>
      <c r="F11" s="138">
        <f>SUM(F7:F10)</f>
        <v>1789</v>
      </c>
      <c r="G11" s="139">
        <f>SUM(G7:G10)</f>
        <v>2572</v>
      </c>
    </row>
    <row r="12" spans="1:7" x14ac:dyDescent="0.2">
      <c r="A12" s="131"/>
      <c r="B12" s="132"/>
      <c r="C12" s="2"/>
      <c r="D12" s="140"/>
      <c r="E12" s="140"/>
      <c r="F12" s="129"/>
      <c r="G12" s="130"/>
    </row>
    <row r="13" spans="1:7" ht="14.25" x14ac:dyDescent="0.2">
      <c r="A13" s="141"/>
      <c r="B13" s="142"/>
      <c r="C13" s="5"/>
      <c r="D13" s="140"/>
      <c r="E13" s="140"/>
      <c r="F13" s="143"/>
      <c r="G13" s="144"/>
    </row>
    <row r="14" spans="1:7" ht="14.25" x14ac:dyDescent="0.2">
      <c r="A14" s="691" t="s">
        <v>420</v>
      </c>
      <c r="B14" s="691"/>
      <c r="C14" s="145"/>
      <c r="D14" s="5"/>
      <c r="E14" s="5"/>
      <c r="F14" s="146"/>
      <c r="G14" s="147"/>
    </row>
    <row r="15" spans="1:7" x14ac:dyDescent="0.2">
      <c r="A15" s="148" t="s">
        <v>421</v>
      </c>
      <c r="B15" s="149"/>
      <c r="C15" s="2" t="s">
        <v>982</v>
      </c>
      <c r="D15" s="65"/>
      <c r="E15" s="388">
        <v>2019</v>
      </c>
      <c r="F15" s="133">
        <v>732</v>
      </c>
      <c r="G15" s="134">
        <v>759</v>
      </c>
    </row>
    <row r="16" spans="1:7" x14ac:dyDescent="0.2">
      <c r="A16" s="150" t="s">
        <v>422</v>
      </c>
      <c r="B16" s="151"/>
      <c r="C16" s="547" t="s">
        <v>983</v>
      </c>
      <c r="D16" s="152"/>
      <c r="E16" s="548">
        <v>2019</v>
      </c>
      <c r="F16" s="549">
        <v>116</v>
      </c>
      <c r="G16" s="599">
        <v>116</v>
      </c>
    </row>
    <row r="17" spans="1:12" x14ac:dyDescent="0.2">
      <c r="A17" s="153" t="s">
        <v>423</v>
      </c>
      <c r="B17" s="151"/>
      <c r="C17" s="154"/>
      <c r="D17" s="152"/>
      <c r="E17" s="152"/>
      <c r="F17" s="138">
        <f>SUM(F15:F16)</f>
        <v>848</v>
      </c>
      <c r="G17" s="139">
        <f>SUM(G15:G16)</f>
        <v>875</v>
      </c>
    </row>
    <row r="18" spans="1:12" x14ac:dyDescent="0.2">
      <c r="A18" s="131"/>
      <c r="B18" s="155"/>
      <c r="C18" s="2"/>
      <c r="D18" s="2"/>
      <c r="E18" s="2"/>
      <c r="F18" s="9"/>
      <c r="G18" s="2"/>
    </row>
    <row r="19" spans="1:12" x14ac:dyDescent="0.2">
      <c r="A19" s="131" t="s">
        <v>424</v>
      </c>
      <c r="B19" s="155"/>
      <c r="C19" s="2"/>
      <c r="D19" s="2"/>
      <c r="E19" s="2"/>
      <c r="F19" s="133">
        <v>9</v>
      </c>
      <c r="G19" s="134">
        <v>12</v>
      </c>
    </row>
    <row r="20" spans="1:12" x14ac:dyDescent="0.2">
      <c r="A20" s="131"/>
      <c r="B20" s="155"/>
      <c r="C20" s="2"/>
      <c r="D20" s="2"/>
      <c r="E20" s="2"/>
      <c r="F20" s="9"/>
      <c r="G20" s="2"/>
    </row>
    <row r="21" spans="1:12" x14ac:dyDescent="0.2">
      <c r="A21" s="431" t="s">
        <v>425</v>
      </c>
      <c r="B21" s="156"/>
      <c r="C21" s="136"/>
      <c r="D21" s="157"/>
      <c r="E21" s="157"/>
      <c r="F21" s="138">
        <f>+F19+F17+F11</f>
        <v>2646</v>
      </c>
      <c r="G21" s="139">
        <f>+G19+G17+G11</f>
        <v>3459</v>
      </c>
    </row>
    <row r="23" spans="1:12" x14ac:dyDescent="0.2">
      <c r="A23" s="390" t="s">
        <v>426</v>
      </c>
      <c r="B23" s="68"/>
      <c r="C23" s="158"/>
      <c r="D23" s="158"/>
      <c r="E23" s="158"/>
      <c r="F23" s="158"/>
      <c r="G23" s="158"/>
      <c r="H23" s="68"/>
      <c r="I23" s="68"/>
    </row>
    <row r="24" spans="1:12" x14ac:dyDescent="0.2">
      <c r="A24" s="432" t="s">
        <v>1072</v>
      </c>
      <c r="B24" s="68"/>
      <c r="C24" s="158"/>
      <c r="D24" s="158"/>
      <c r="E24" s="158"/>
      <c r="F24" s="158"/>
      <c r="G24" s="158"/>
      <c r="H24" s="68"/>
      <c r="I24" s="68"/>
    </row>
    <row r="25" spans="1:12" x14ac:dyDescent="0.2">
      <c r="A25" s="390" t="s">
        <v>427</v>
      </c>
      <c r="B25" s="68"/>
      <c r="C25" s="158"/>
      <c r="D25" s="158"/>
      <c r="E25" s="158"/>
      <c r="F25" s="158"/>
      <c r="G25" s="158"/>
      <c r="H25" s="68"/>
      <c r="I25" s="68"/>
    </row>
    <row r="26" spans="1:12" x14ac:dyDescent="0.2">
      <c r="A26" s="694"/>
      <c r="B26" s="694"/>
      <c r="C26" s="694"/>
      <c r="D26" s="694"/>
      <c r="E26" s="694"/>
      <c r="F26" s="694"/>
      <c r="G26" s="68"/>
      <c r="H26" s="68"/>
      <c r="I26" s="68"/>
      <c r="J26" s="68"/>
      <c r="K26" s="68"/>
      <c r="L26" s="68"/>
    </row>
    <row r="27" spans="1:12" x14ac:dyDescent="0.2">
      <c r="A27" s="390"/>
    </row>
    <row r="30" spans="1:12" ht="12.75" x14ac:dyDescent="0.2">
      <c r="B30" s="159"/>
      <c r="C30" s="159"/>
      <c r="D30" s="159"/>
      <c r="E30" s="159"/>
      <c r="F30" s="159"/>
      <c r="G30" s="159"/>
    </row>
    <row r="31" spans="1:12" x14ac:dyDescent="0.2">
      <c r="B31" s="160"/>
      <c r="C31" s="160"/>
      <c r="D31" s="160"/>
      <c r="E31" s="160"/>
      <c r="F31" s="692"/>
      <c r="G31" s="693"/>
    </row>
    <row r="57" spans="10:12" ht="12.75" x14ac:dyDescent="0.2">
      <c r="J57" s="68"/>
      <c r="K57" s="159"/>
      <c r="L57" s="159"/>
    </row>
    <row r="58" spans="10:12" ht="12.75" x14ac:dyDescent="0.2">
      <c r="J58" s="68"/>
      <c r="K58" s="159"/>
      <c r="L58" s="159"/>
    </row>
    <row r="59" spans="10:12" ht="12.75" x14ac:dyDescent="0.2">
      <c r="J59" s="68"/>
      <c r="K59" s="159"/>
      <c r="L59" s="159"/>
    </row>
    <row r="60" spans="10:12" ht="12.75" x14ac:dyDescent="0.2">
      <c r="J60" s="68"/>
      <c r="K60" s="159"/>
      <c r="L60" s="159"/>
    </row>
    <row r="61" spans="10:12" ht="12.75" x14ac:dyDescent="0.2">
      <c r="J61" s="68"/>
      <c r="K61" s="159"/>
      <c r="L61" s="159"/>
    </row>
  </sheetData>
  <mergeCells count="5">
    <mergeCell ref="A4:B4"/>
    <mergeCell ref="A6:B6"/>
    <mergeCell ref="A14:B14"/>
    <mergeCell ref="F31:G31"/>
    <mergeCell ref="A26:F26"/>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4"/>
  <sheetViews>
    <sheetView zoomScaleNormal="100" workbookViewId="0">
      <selection activeCell="G2" sqref="G2"/>
    </sheetView>
  </sheetViews>
  <sheetFormatPr baseColWidth="10" defaultColWidth="11" defaultRowHeight="12" x14ac:dyDescent="0.2"/>
  <cols>
    <col min="1" max="1" width="24.5" style="316" customWidth="1"/>
    <col min="2" max="2" width="14.25" style="316" customWidth="1"/>
    <col min="3" max="3" width="12.875" style="316" customWidth="1"/>
    <col min="4" max="4" width="11.5" style="316" customWidth="1"/>
    <col min="5" max="5" width="10.375" style="316" customWidth="1"/>
    <col min="6" max="6" width="10.375" style="17" customWidth="1"/>
    <col min="7" max="16384" width="11" style="17"/>
  </cols>
  <sheetData>
    <row r="1" spans="1:11" x14ac:dyDescent="0.2">
      <c r="A1" s="519" t="s">
        <v>891</v>
      </c>
      <c r="B1" s="85"/>
    </row>
    <row r="2" spans="1:11" x14ac:dyDescent="0.2">
      <c r="A2" s="81" t="s">
        <v>354</v>
      </c>
      <c r="B2" s="85"/>
      <c r="H2" s="279"/>
      <c r="I2" s="279"/>
      <c r="J2" s="279"/>
      <c r="K2" s="279"/>
    </row>
    <row r="3" spans="1:11" x14ac:dyDescent="0.2">
      <c r="A3" s="90"/>
      <c r="B3" s="85"/>
      <c r="H3" s="279"/>
      <c r="I3" s="279"/>
      <c r="J3" s="279"/>
      <c r="K3" s="279"/>
    </row>
    <row r="4" spans="1:11" ht="12.75" thickBot="1" x14ac:dyDescent="0.25">
      <c r="A4" s="371">
        <v>2016</v>
      </c>
      <c r="B4" s="343" t="s">
        <v>355</v>
      </c>
      <c r="C4" s="161" t="s">
        <v>356</v>
      </c>
      <c r="D4" s="161" t="s">
        <v>357</v>
      </c>
      <c r="E4" s="161" t="s">
        <v>358</v>
      </c>
      <c r="F4" s="74"/>
      <c r="H4" s="279"/>
      <c r="I4" s="279"/>
      <c r="J4" s="279"/>
      <c r="K4" s="279"/>
    </row>
    <row r="5" spans="1:11" x14ac:dyDescent="0.2">
      <c r="A5" s="85" t="s">
        <v>359</v>
      </c>
      <c r="B5" s="98">
        <v>109307</v>
      </c>
      <c r="C5" s="98">
        <v>14587</v>
      </c>
      <c r="D5" s="98">
        <v>6820</v>
      </c>
      <c r="E5" s="98">
        <f>SUM(B5:D5)</f>
        <v>130714</v>
      </c>
      <c r="F5" s="162"/>
    </row>
    <row r="6" spans="1:11" x14ac:dyDescent="0.2">
      <c r="A6" s="85" t="s">
        <v>360</v>
      </c>
      <c r="B6" s="98">
        <v>13985</v>
      </c>
      <c r="C6" s="98">
        <v>1866</v>
      </c>
      <c r="D6" s="98">
        <v>873</v>
      </c>
      <c r="E6" s="98">
        <f>SUM(B6:D6)</f>
        <v>16724</v>
      </c>
      <c r="F6" s="162"/>
    </row>
    <row r="7" spans="1:11" x14ac:dyDescent="0.2">
      <c r="A7" s="15" t="s">
        <v>361</v>
      </c>
      <c r="B7" s="98">
        <v>24118</v>
      </c>
      <c r="C7" s="98">
        <v>3219</v>
      </c>
      <c r="D7" s="98">
        <v>1505</v>
      </c>
      <c r="E7" s="98">
        <f>SUM(B7:D7)</f>
        <v>28842</v>
      </c>
      <c r="F7" s="162"/>
    </row>
    <row r="8" spans="1:11" x14ac:dyDescent="0.2">
      <c r="A8" s="15" t="s">
        <v>362</v>
      </c>
      <c r="B8" s="98">
        <v>10228</v>
      </c>
      <c r="C8" s="98">
        <v>1365</v>
      </c>
      <c r="D8" s="98">
        <v>637</v>
      </c>
      <c r="E8" s="98">
        <f>SUM(B8:D8)</f>
        <v>12230</v>
      </c>
      <c r="F8" s="162"/>
    </row>
    <row r="9" spans="1:11" x14ac:dyDescent="0.2">
      <c r="A9" s="99" t="s">
        <v>363</v>
      </c>
      <c r="B9" s="163">
        <f>SUM(B5:B8)</f>
        <v>157638</v>
      </c>
      <c r="C9" s="163">
        <f>SUM(C5:C8)</f>
        <v>21037</v>
      </c>
      <c r="D9" s="163">
        <f>SUM(D5:D8)</f>
        <v>9835</v>
      </c>
      <c r="E9" s="163">
        <f>SUM(E5:E8)</f>
        <v>188510</v>
      </c>
      <c r="F9" s="162"/>
      <c r="I9" s="23"/>
    </row>
    <row r="10" spans="1:11" x14ac:dyDescent="0.2">
      <c r="A10" s="350"/>
      <c r="B10" s="350"/>
      <c r="C10" s="350"/>
      <c r="D10" s="350"/>
      <c r="E10" s="350"/>
      <c r="F10" s="15"/>
      <c r="I10" s="23"/>
    </row>
    <row r="11" spans="1:11" x14ac:dyDescent="0.2">
      <c r="A11" s="350"/>
      <c r="B11" s="350"/>
      <c r="C11" s="350"/>
      <c r="D11" s="350"/>
      <c r="E11" s="350"/>
      <c r="F11" s="74"/>
    </row>
    <row r="12" spans="1:11" ht="12.75" thickBot="1" x14ac:dyDescent="0.25">
      <c r="A12" s="371">
        <v>2015</v>
      </c>
      <c r="B12" s="117" t="s">
        <v>892</v>
      </c>
      <c r="C12" s="520" t="s">
        <v>893</v>
      </c>
      <c r="D12" s="520" t="s">
        <v>894</v>
      </c>
      <c r="E12" s="520" t="s">
        <v>895</v>
      </c>
      <c r="F12" s="98"/>
    </row>
    <row r="13" spans="1:11" x14ac:dyDescent="0.2">
      <c r="A13" s="85" t="s">
        <v>364</v>
      </c>
      <c r="B13" s="98">
        <v>111268</v>
      </c>
      <c r="C13" s="98">
        <v>13963</v>
      </c>
      <c r="D13" s="98">
        <v>8182</v>
      </c>
      <c r="E13" s="98">
        <v>133413</v>
      </c>
      <c r="F13" s="98"/>
      <c r="I13" s="23"/>
    </row>
    <row r="14" spans="1:11" x14ac:dyDescent="0.2">
      <c r="A14" s="85" t="s">
        <v>365</v>
      </c>
      <c r="B14" s="98">
        <v>13719</v>
      </c>
      <c r="C14" s="98">
        <v>1694</v>
      </c>
      <c r="D14" s="98">
        <v>1009</v>
      </c>
      <c r="E14" s="98">
        <v>16422</v>
      </c>
      <c r="F14" s="98"/>
    </row>
    <row r="15" spans="1:11" x14ac:dyDescent="0.2">
      <c r="A15" s="15" t="s">
        <v>366</v>
      </c>
      <c r="B15" s="98">
        <v>24007</v>
      </c>
      <c r="C15" s="98">
        <v>2965</v>
      </c>
      <c r="D15" s="98">
        <v>1765</v>
      </c>
      <c r="E15" s="98">
        <v>28737</v>
      </c>
      <c r="F15" s="98"/>
    </row>
    <row r="16" spans="1:11" x14ac:dyDescent="0.2">
      <c r="A16" s="15" t="s">
        <v>95</v>
      </c>
      <c r="B16" s="98">
        <v>6196</v>
      </c>
      <c r="C16" s="98">
        <v>766</v>
      </c>
      <c r="D16" s="98">
        <v>456</v>
      </c>
      <c r="E16" s="98">
        <v>7418</v>
      </c>
      <c r="F16" s="98"/>
    </row>
    <row r="17" spans="1:14" x14ac:dyDescent="0.2">
      <c r="A17" s="99" t="s">
        <v>367</v>
      </c>
      <c r="B17" s="163">
        <f>SUM(B13:B16)</f>
        <v>155190</v>
      </c>
      <c r="C17" s="163">
        <f>SUM(C13:C16)</f>
        <v>19388</v>
      </c>
      <c r="D17" s="163">
        <f>SUM(D13:D16)</f>
        <v>11412</v>
      </c>
      <c r="E17" s="163">
        <f>SUM(E13:E16)</f>
        <v>185990</v>
      </c>
      <c r="F17" s="15"/>
    </row>
    <row r="19" spans="1:14" x14ac:dyDescent="0.2">
      <c r="J19" s="164"/>
      <c r="K19" s="165"/>
      <c r="L19" s="279"/>
      <c r="M19" s="279"/>
      <c r="N19" s="279"/>
    </row>
    <row r="20" spans="1:14" x14ac:dyDescent="0.2">
      <c r="K20" s="165"/>
      <c r="L20" s="279"/>
      <c r="M20" s="279"/>
      <c r="N20" s="279"/>
    </row>
    <row r="21" spans="1:14" x14ac:dyDescent="0.2">
      <c r="L21" s="279"/>
      <c r="M21" s="279"/>
      <c r="N21" s="279"/>
    </row>
    <row r="22" spans="1:14" x14ac:dyDescent="0.2">
      <c r="L22" s="165"/>
      <c r="M22" s="279"/>
      <c r="N22" s="165"/>
    </row>
    <row r="23" spans="1:14" x14ac:dyDescent="0.2">
      <c r="L23" s="279"/>
      <c r="M23" s="279"/>
      <c r="N23" s="279"/>
    </row>
    <row r="24" spans="1:14" x14ac:dyDescent="0.2">
      <c r="L24" s="279"/>
      <c r="M24" s="279"/>
      <c r="N24" s="279"/>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25</vt:i4>
      </vt:variant>
    </vt:vector>
  </HeadingPairs>
  <TitlesOfParts>
    <vt:vector size="58"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2017-08-16T07:41:46Z</dcterms:modified>
</cp:coreProperties>
</file>