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Risikostyring\Pilar 3\2017\Q4 2017 - Utvidet\0 Endelig dokument\"/>
    </mc:Choice>
  </mc:AlternateContent>
  <bookViews>
    <workbookView xWindow="480" yWindow="630" windowWidth="14880" windowHeight="6600" tabRatio="936"/>
  </bookViews>
  <sheets>
    <sheet name="Innholdsfortegnelse" sheetId="27" r:id="rId1"/>
    <sheet name="1" sheetId="32" r:id="rId2"/>
    <sheet name="2" sheetId="36" r:id="rId3"/>
    <sheet name="3" sheetId="31" r:id="rId4"/>
    <sheet name="4" sheetId="4" r:id="rId5"/>
    <sheet name="5" sheetId="14" r:id="rId6"/>
    <sheet name="6" sheetId="6" r:id="rId7"/>
    <sheet name="7" sheetId="28" r:id="rId8"/>
    <sheet name="8" sheetId="20" r:id="rId9"/>
    <sheet name="9" sheetId="21" r:id="rId10"/>
    <sheet name="10" sheetId="19" r:id="rId11"/>
    <sheet name="11" sheetId="18" r:id="rId12"/>
    <sheet name="12" sheetId="17" r:id="rId13"/>
    <sheet name="13" sheetId="9" r:id="rId14"/>
    <sheet name="14" sheetId="16" r:id="rId15"/>
    <sheet name="15" sheetId="15" r:id="rId16"/>
    <sheet name="16" sheetId="13" r:id="rId17"/>
    <sheet name="17" sheetId="29" r:id="rId18"/>
    <sheet name="18" sheetId="42" r:id="rId19"/>
    <sheet name="19" sheetId="30" r:id="rId20"/>
    <sheet name="20" sheetId="43" r:id="rId21"/>
    <sheet name="21" sheetId="8" r:id="rId22"/>
    <sheet name="22" sheetId="10" r:id="rId23"/>
    <sheet name="23" sheetId="5" r:id="rId24"/>
    <sheet name="24" sheetId="26" r:id="rId25"/>
    <sheet name="25" sheetId="25" r:id="rId26"/>
    <sheet name="26" sheetId="23" r:id="rId27"/>
    <sheet name="27" sheetId="11" r:id="rId28"/>
    <sheet name="28" sheetId="37" r:id="rId29"/>
    <sheet name="29" sheetId="38" r:id="rId30"/>
    <sheet name="30" sheetId="39" r:id="rId31"/>
    <sheet name="31" sheetId="41" r:id="rId32"/>
    <sheet name="32" sheetId="45" r:id="rId33"/>
    <sheet name="33" sheetId="46" r:id="rId34"/>
  </sheets>
  <definedNames>
    <definedName name="_Toc288045747" localSheetId="1">'1'!#REF!</definedName>
    <definedName name="_Toc288045747" localSheetId="2">'2'!#REF!</definedName>
    <definedName name="_Toc288045747" localSheetId="3">'3'!#REF!</definedName>
    <definedName name="_Toc288045748" localSheetId="4">'4'!#REF!</definedName>
    <definedName name="_xlnm.Print_Area" localSheetId="1">'1'!$A$1:$G$52</definedName>
    <definedName name="_xlnm.Print_Area" localSheetId="10">'10'!$A$1:$G$41</definedName>
    <definedName name="_xlnm.Print_Area" localSheetId="11">'11'!$A$1:$F$21</definedName>
    <definedName name="_xlnm.Print_Area" localSheetId="12">'12'!$A$1:$E$43</definedName>
    <definedName name="_xlnm.Print_Area" localSheetId="13">'13'!$A$1:$D$17</definedName>
    <definedName name="_xlnm.Print_Area" localSheetId="14">'14'!$A$1:$D$19</definedName>
    <definedName name="_xlnm.Print_Area" localSheetId="15">'15'!$A$1:$E$17</definedName>
    <definedName name="_xlnm.Print_Area" localSheetId="16">'16'!$A$1:$G$162</definedName>
    <definedName name="_xlnm.Print_Area" localSheetId="17">'17'!$A$1:$D$2</definedName>
    <definedName name="_xlnm.Print_Area" localSheetId="18">'18'!$A$1:$D$3</definedName>
    <definedName name="_xlnm.Print_Area" localSheetId="19">'19'!$A$1:$E$3</definedName>
    <definedName name="_xlnm.Print_Area" localSheetId="2">'2'!$A$1:$G$25</definedName>
    <definedName name="_xlnm.Print_Area" localSheetId="21">'21'!$A$1:$I$21</definedName>
    <definedName name="_xlnm.Print_Area" localSheetId="22">'22'!$A$1:$I$13</definedName>
    <definedName name="_xlnm.Print_Area" localSheetId="23">'23'!$A$1:$E$27</definedName>
    <definedName name="_xlnm.Print_Area" localSheetId="24">'24'!$A$1:$F$20</definedName>
    <definedName name="_xlnm.Print_Area" localSheetId="25">'25'!$A$1:$E$10</definedName>
    <definedName name="_xlnm.Print_Area" localSheetId="26">'26'!$A$1:$E$10</definedName>
    <definedName name="_xlnm.Print_Area" localSheetId="27">'27'!$A$1:$E$43</definedName>
    <definedName name="_xlnm.Print_Area" localSheetId="28">'28'!$A$1:$F$46</definedName>
    <definedName name="_xlnm.Print_Area" localSheetId="3">'3'!$A$1:$H$18</definedName>
    <definedName name="_xlnm.Print_Area" localSheetId="4">'4'!$A$1:$E$57</definedName>
    <definedName name="_xlnm.Print_Area" localSheetId="5">'5'!$A$1:$F$27</definedName>
    <definedName name="_xlnm.Print_Area" localSheetId="6">'6'!#REF!</definedName>
    <definedName name="_xlnm.Print_Area" localSheetId="7">'7'!$A$1:$I$31</definedName>
    <definedName name="_xlnm.Print_Area" localSheetId="8">'8'!$A$1:$G$20</definedName>
    <definedName name="_xlnm.Print_Area" localSheetId="9">'9'!$A$1:$C$32</definedName>
  </definedNames>
  <calcPr calcId="152511"/>
</workbook>
</file>

<file path=xl/calcChain.xml><?xml version="1.0" encoding="utf-8"?>
<calcChain xmlns="http://schemas.openxmlformats.org/spreadsheetml/2006/main">
  <c r="C50" i="4" l="1"/>
  <c r="E12" i="15" l="1"/>
  <c r="E11" i="15"/>
  <c r="E10" i="15"/>
  <c r="E5" i="15"/>
  <c r="E4" i="15"/>
  <c r="B17" i="20" l="1"/>
  <c r="C17" i="20"/>
  <c r="D17" i="20"/>
  <c r="E7" i="15" l="1"/>
  <c r="D8" i="26" l="1"/>
  <c r="D162" i="13" l="1"/>
  <c r="C162" i="13"/>
  <c r="D150" i="13"/>
  <c r="C150" i="13"/>
  <c r="D137" i="13"/>
  <c r="C137" i="13"/>
  <c r="D124" i="13"/>
  <c r="C124" i="13"/>
  <c r="D111" i="13"/>
  <c r="C111" i="13"/>
  <c r="D98" i="13"/>
  <c r="C98" i="13"/>
  <c r="E6" i="20" l="1"/>
  <c r="E7" i="20"/>
  <c r="E8" i="20"/>
  <c r="E5" i="20"/>
  <c r="E14" i="20"/>
  <c r="E15" i="20"/>
  <c r="E16" i="20"/>
  <c r="E13" i="20"/>
  <c r="E17" i="20" l="1"/>
  <c r="E9" i="20"/>
  <c r="E6" i="19"/>
  <c r="E7" i="19"/>
  <c r="E8" i="19"/>
  <c r="E9" i="19"/>
  <c r="E10" i="19"/>
  <c r="E11" i="19"/>
  <c r="E12" i="19"/>
  <c r="E13" i="19"/>
  <c r="E14" i="19"/>
  <c r="E15" i="19"/>
  <c r="E16" i="19"/>
  <c r="E5" i="19"/>
  <c r="D17" i="19"/>
  <c r="C17" i="19"/>
  <c r="E36" i="19"/>
  <c r="D36" i="19"/>
  <c r="D38" i="19" s="1"/>
  <c r="C36" i="19"/>
  <c r="C38" i="19" s="1"/>
  <c r="E37" i="19"/>
  <c r="E38" i="19" l="1"/>
  <c r="E17" i="19"/>
  <c r="C14" i="21" l="1"/>
  <c r="C13" i="21"/>
  <c r="C10" i="21"/>
  <c r="C9" i="21"/>
  <c r="C8" i="21"/>
  <c r="C5" i="21"/>
  <c r="C28" i="21"/>
  <c r="C27" i="21"/>
  <c r="C24" i="21"/>
  <c r="C23" i="21"/>
  <c r="C22" i="21"/>
  <c r="G18" i="28" l="1"/>
  <c r="G12" i="28"/>
  <c r="G22" i="28" l="1"/>
  <c r="G19" i="39"/>
  <c r="G7" i="39"/>
  <c r="H7" i="39"/>
  <c r="G12" i="39" l="1"/>
  <c r="G37" i="39" l="1"/>
  <c r="F24" i="39" l="1"/>
  <c r="F37" i="39"/>
  <c r="F15" i="39"/>
  <c r="F8" i="39"/>
  <c r="E25" i="39"/>
  <c r="E15" i="39" l="1"/>
  <c r="D25" i="39"/>
  <c r="D37" i="39"/>
  <c r="C37" i="39"/>
  <c r="C25" i="39"/>
  <c r="C22" i="39"/>
  <c r="H25" i="39" l="1"/>
  <c r="B37" i="39"/>
  <c r="B24" i="39"/>
  <c r="B15" i="39"/>
  <c r="C33" i="11" l="1"/>
  <c r="C23" i="11"/>
  <c r="C10" i="11"/>
  <c r="E7" i="23"/>
  <c r="C7" i="25" l="1"/>
  <c r="F15" i="26" l="1"/>
  <c r="E15" i="26"/>
  <c r="D15" i="26"/>
  <c r="C15" i="26"/>
  <c r="B15" i="26"/>
  <c r="C18" i="5" l="1"/>
  <c r="C15" i="5"/>
  <c r="C21" i="5"/>
  <c r="D21" i="5"/>
  <c r="D18" i="5"/>
  <c r="D15" i="5"/>
  <c r="C7" i="10"/>
  <c r="C9" i="10"/>
  <c r="D22" i="5" l="1"/>
  <c r="G7" i="10"/>
  <c r="H10" i="10"/>
  <c r="H9" i="10"/>
  <c r="H8" i="10"/>
  <c r="H7" i="10"/>
  <c r="H6" i="10"/>
  <c r="H5" i="10"/>
  <c r="E4" i="10"/>
  <c r="G4" i="10"/>
  <c r="G11" i="10" s="1"/>
  <c r="I11" i="10"/>
  <c r="D13" i="8"/>
  <c r="C13" i="8"/>
  <c r="D11" i="8"/>
  <c r="D12" i="8"/>
  <c r="D9" i="8"/>
  <c r="C8" i="8"/>
  <c r="D8" i="8" s="1"/>
  <c r="D7" i="8"/>
  <c r="E20" i="14"/>
  <c r="C20" i="14"/>
  <c r="C19" i="14"/>
  <c r="E19" i="14"/>
  <c r="F17" i="14"/>
  <c r="F16" i="14"/>
  <c r="C17" i="14"/>
  <c r="E17" i="14"/>
  <c r="E16" i="14"/>
  <c r="E24" i="14" s="1"/>
  <c r="C16" i="14"/>
  <c r="E13" i="14"/>
  <c r="D13" i="14"/>
  <c r="C13" i="14"/>
  <c r="E9" i="14"/>
  <c r="E8" i="14"/>
  <c r="D8" i="14"/>
  <c r="C8" i="14"/>
  <c r="D9" i="14"/>
  <c r="C9" i="14"/>
  <c r="C24" i="14" l="1"/>
  <c r="H4" i="10"/>
  <c r="F14" i="8"/>
  <c r="E11" i="31" l="1"/>
  <c r="E12" i="31"/>
  <c r="K9" i="45" l="1"/>
  <c r="J9" i="45"/>
  <c r="I9" i="45"/>
  <c r="H9" i="45"/>
  <c r="G9" i="45"/>
  <c r="F9" i="45"/>
  <c r="E9" i="45"/>
  <c r="D9" i="45"/>
  <c r="B9" i="45"/>
  <c r="C8" i="45"/>
  <c r="C9" i="45" s="1"/>
  <c r="C33" i="41"/>
  <c r="C32" i="41"/>
  <c r="H36" i="39" l="1"/>
  <c r="H27" i="39" l="1"/>
  <c r="E14" i="39" l="1"/>
  <c r="C15" i="39" l="1"/>
  <c r="B16" i="4" l="1"/>
  <c r="G16" i="39" l="1"/>
  <c r="G31" i="39"/>
  <c r="H38" i="39" l="1"/>
  <c r="F39" i="39" l="1"/>
  <c r="F31" i="39"/>
  <c r="F16" i="39"/>
  <c r="F41" i="39" l="1"/>
  <c r="F20" i="14" l="1"/>
  <c r="F24" i="14" s="1"/>
  <c r="F14" i="14"/>
  <c r="C8" i="6"/>
  <c r="C7" i="6"/>
  <c r="C6" i="6"/>
  <c r="C5" i="6"/>
  <c r="F26" i="14" l="1"/>
  <c r="G9" i="6"/>
  <c r="C16" i="6"/>
  <c r="C39" i="4"/>
  <c r="C43" i="4" s="1"/>
  <c r="C48" i="4" s="1"/>
  <c r="C33" i="4"/>
  <c r="C16" i="4"/>
  <c r="C25" i="4" s="1"/>
  <c r="C28" i="4" s="1"/>
  <c r="C35" i="4" l="1"/>
  <c r="C49" i="4"/>
  <c r="C45" i="4"/>
  <c r="C47" i="4"/>
  <c r="C51" i="4" l="1"/>
  <c r="C27" i="32" l="1"/>
  <c r="D81" i="13" l="1"/>
  <c r="C81" i="13"/>
  <c r="D69" i="13"/>
  <c r="C69" i="13"/>
  <c r="D56" i="13"/>
  <c r="C56" i="13"/>
  <c r="D43" i="13"/>
  <c r="C43" i="13"/>
  <c r="D30" i="13"/>
  <c r="C30" i="13"/>
  <c r="D17" i="13"/>
  <c r="C17" i="13"/>
  <c r="F11" i="18" l="1"/>
  <c r="F10" i="18"/>
  <c r="E8" i="18"/>
  <c r="D8" i="18"/>
  <c r="C8" i="18"/>
  <c r="B8" i="18"/>
  <c r="F7" i="18"/>
  <c r="F6" i="18"/>
  <c r="F5" i="18"/>
  <c r="E17" i="18"/>
  <c r="D17" i="18"/>
  <c r="C17" i="18"/>
  <c r="B17" i="18"/>
  <c r="F20" i="18"/>
  <c r="F19" i="18"/>
  <c r="F16" i="18"/>
  <c r="F15" i="18"/>
  <c r="F14" i="18"/>
  <c r="F8" i="18" l="1"/>
  <c r="F17" i="18"/>
  <c r="E18" i="19" l="1"/>
  <c r="E19" i="19" l="1"/>
  <c r="D19" i="19" l="1"/>
  <c r="C19" i="19"/>
  <c r="C6" i="21" l="1"/>
  <c r="B7" i="21"/>
  <c r="B11" i="21" s="1"/>
  <c r="B15" i="21" s="1"/>
  <c r="D9" i="20"/>
  <c r="C9" i="20"/>
  <c r="B9" i="20"/>
  <c r="C7" i="21" l="1"/>
  <c r="C11" i="21" l="1"/>
  <c r="C15" i="21" s="1"/>
  <c r="F10" i="10"/>
  <c r="F9" i="10"/>
  <c r="F8" i="10"/>
  <c r="F7" i="10"/>
  <c r="F6" i="10"/>
  <c r="F5" i="10"/>
  <c r="F4" i="10"/>
  <c r="H9" i="39" l="1"/>
  <c r="B43" i="4" l="1"/>
  <c r="B49" i="4" s="1"/>
  <c r="H6" i="39" l="1"/>
  <c r="H14" i="39" l="1"/>
  <c r="E39" i="39" l="1"/>
  <c r="D39" i="39"/>
  <c r="C39" i="39"/>
  <c r="B39" i="39"/>
  <c r="H37" i="39"/>
  <c r="G39" i="39"/>
  <c r="G41" i="39" s="1"/>
  <c r="H35" i="39"/>
  <c r="H34" i="39"/>
  <c r="E31" i="39"/>
  <c r="D31" i="39"/>
  <c r="C31" i="39"/>
  <c r="B31" i="39"/>
  <c r="H29" i="39"/>
  <c r="H28" i="39"/>
  <c r="H26" i="39"/>
  <c r="H24" i="39"/>
  <c r="H23" i="39"/>
  <c r="H22" i="39"/>
  <c r="H21" i="39"/>
  <c r="H20" i="39"/>
  <c r="H19" i="39"/>
  <c r="E16" i="39"/>
  <c r="D16" i="39"/>
  <c r="C16" i="39"/>
  <c r="B16" i="39"/>
  <c r="H15" i="39"/>
  <c r="H13" i="39"/>
  <c r="H12" i="39"/>
  <c r="H11" i="39"/>
  <c r="H10" i="39"/>
  <c r="H8" i="39"/>
  <c r="E38" i="17"/>
  <c r="D38" i="17"/>
  <c r="C38" i="17"/>
  <c r="B38" i="17"/>
  <c r="E15" i="17"/>
  <c r="E18" i="17" s="1"/>
  <c r="D15" i="17"/>
  <c r="D18" i="17" s="1"/>
  <c r="C15" i="17"/>
  <c r="C18" i="17" s="1"/>
  <c r="B15" i="17"/>
  <c r="B18" i="17" s="1"/>
  <c r="F17" i="6"/>
  <c r="E17" i="6"/>
  <c r="D17" i="6"/>
  <c r="C17" i="6"/>
  <c r="F9" i="6"/>
  <c r="E9" i="6"/>
  <c r="D9" i="6"/>
  <c r="C9" i="6"/>
  <c r="E14" i="14"/>
  <c r="E26" i="14" s="1"/>
  <c r="D14" i="14"/>
  <c r="C14" i="14"/>
  <c r="B33" i="4"/>
  <c r="B25" i="4"/>
  <c r="B28" i="4" s="1"/>
  <c r="C12" i="31"/>
  <c r="C14" i="32"/>
  <c r="H31" i="39" l="1"/>
  <c r="B41" i="39"/>
  <c r="B48" i="4"/>
  <c r="D41" i="39"/>
  <c r="E41" i="39"/>
  <c r="C41" i="39"/>
  <c r="H16" i="39"/>
  <c r="H39" i="39"/>
  <c r="B47" i="4"/>
  <c r="B35" i="4"/>
  <c r="B45" i="4"/>
  <c r="H41" i="39" l="1"/>
  <c r="B50" i="4"/>
  <c r="B51" i="4" s="1"/>
  <c r="B21" i="21"/>
  <c r="C21" i="21" l="1"/>
  <c r="B25" i="21"/>
  <c r="B29" i="21" s="1"/>
  <c r="F12" i="28" l="1"/>
  <c r="F18" i="28"/>
  <c r="F22" i="28" l="1"/>
  <c r="D10" i="10" l="1"/>
  <c r="D9" i="10"/>
  <c r="C4" i="10"/>
  <c r="D4" i="10" s="1"/>
  <c r="C14" i="8" l="1"/>
  <c r="D6" i="10" l="1"/>
  <c r="D7" i="15" l="1"/>
  <c r="C7" i="15"/>
  <c r="B7" i="15"/>
  <c r="D7" i="23" l="1"/>
  <c r="B10" i="11" l="1"/>
  <c r="C11" i="10" l="1"/>
  <c r="E11" i="10"/>
  <c r="F11" i="10" l="1"/>
  <c r="D11" i="10"/>
  <c r="H11" i="10"/>
  <c r="D11" i="16" l="1"/>
  <c r="C11" i="16"/>
  <c r="B11" i="16"/>
  <c r="B33" i="11" l="1"/>
  <c r="B23" i="11"/>
  <c r="D13" i="15" l="1"/>
  <c r="C13" i="15"/>
  <c r="B13" i="15"/>
  <c r="D19" i="16"/>
  <c r="C19" i="16"/>
  <c r="B19" i="16"/>
  <c r="D16" i="9"/>
  <c r="C16" i="9"/>
  <c r="E13" i="15" l="1"/>
  <c r="D8" i="10" l="1"/>
  <c r="D7" i="10"/>
  <c r="D5" i="10"/>
  <c r="C7" i="23" l="1"/>
  <c r="F8" i="26" l="1"/>
  <c r="C8" i="26"/>
  <c r="B8" i="26"/>
  <c r="E8" i="26"/>
  <c r="B7" i="25" l="1"/>
  <c r="C22" i="5"/>
</calcChain>
</file>

<file path=xl/sharedStrings.xml><?xml version="1.0" encoding="utf-8"?>
<sst xmlns="http://schemas.openxmlformats.org/spreadsheetml/2006/main" count="2057" uniqueCount="917">
  <si>
    <t>Antall aksjer</t>
  </si>
  <si>
    <t>Bokført verdi</t>
  </si>
  <si>
    <t>Stemmerett</t>
  </si>
  <si>
    <t>Selskaper som er fullt konsolidert</t>
  </si>
  <si>
    <t>SpareBank 1 SR-Finans AS</t>
  </si>
  <si>
    <t>Oppkjøpsmetoden</t>
  </si>
  <si>
    <t>SR-Investering AS</t>
  </si>
  <si>
    <t>Sum</t>
  </si>
  <si>
    <t>Konsolideringsmetode er lik for regnskapsformål og kapitaldekningsformål.</t>
  </si>
  <si>
    <t>Øvrige finansinstitusjoner</t>
  </si>
  <si>
    <t>Overkursfond</t>
  </si>
  <si>
    <t>Avsatt utbytte</t>
  </si>
  <si>
    <t>Fond for urealiserte gevinster</t>
  </si>
  <si>
    <t>Annen egenkapital</t>
  </si>
  <si>
    <t>Sum balanseført egenkapital</t>
  </si>
  <si>
    <t>Utsatt skatt, goodwill og andre immaterielle eiendeler</t>
  </si>
  <si>
    <t>Sum kjernekapital</t>
  </si>
  <si>
    <t>Tilleggskapital utover kjernekapital</t>
  </si>
  <si>
    <t>Netto ansvarlig kapital</t>
  </si>
  <si>
    <t>Sum tidsbegrenset</t>
  </si>
  <si>
    <t>Sum fondsobligasjon</t>
  </si>
  <si>
    <t>Sum ansvarlig lånekapital</t>
  </si>
  <si>
    <t>Kapitalkrav knyttet til overgangsordninger</t>
  </si>
  <si>
    <t>Foretak</t>
  </si>
  <si>
    <t>Massemarked</t>
  </si>
  <si>
    <t>Brutto engasjement kunder</t>
  </si>
  <si>
    <t>Individuelle nedskrivninger</t>
  </si>
  <si>
    <t>Nedskrivning på grupper av utlån</t>
  </si>
  <si>
    <t>Netto engasjement kunder</t>
  </si>
  <si>
    <t>Stater (Norges Bank)</t>
  </si>
  <si>
    <t>Institusjoner</t>
  </si>
  <si>
    <t>Sum engasjementsbeløp</t>
  </si>
  <si>
    <t>Rogaland</t>
  </si>
  <si>
    <t>Agder-fylkene</t>
  </si>
  <si>
    <t>Hordaland</t>
  </si>
  <si>
    <t>Øvrige</t>
  </si>
  <si>
    <t>Ubenyttet kreditt</t>
  </si>
  <si>
    <t>Garantier</t>
  </si>
  <si>
    <t>Sum brutto engasjement kunder</t>
  </si>
  <si>
    <t>Jordbruk/skogbruk</t>
  </si>
  <si>
    <t>Fiske/fiskeoppdrett</t>
  </si>
  <si>
    <t>Bergverksdrift/utvinning</t>
  </si>
  <si>
    <t>Industri</t>
  </si>
  <si>
    <t>Kraft og vannforsyning/bygg og anlegg</t>
  </si>
  <si>
    <t>Varehandel, hotell og restaurantvirksomhet</t>
  </si>
  <si>
    <t>Utenriks sjøfart, rørtransport, øvrig transport</t>
  </si>
  <si>
    <t>Eiendomsdrift</t>
  </si>
  <si>
    <t>Tjenesteytende virksomhet</t>
  </si>
  <si>
    <t>Offentlig forvaltning og finansielle tjenester</t>
  </si>
  <si>
    <t>Sum foretak</t>
  </si>
  <si>
    <t>På forespørsel</t>
  </si>
  <si>
    <t>&lt;1 år</t>
  </si>
  <si>
    <t>1-5 år</t>
  </si>
  <si>
    <t>over 5 år</t>
  </si>
  <si>
    <t>Samlet engasjementsbeløp</t>
  </si>
  <si>
    <t>Resultatførte verdiendringer i løpet av perioden</t>
  </si>
  <si>
    <t>Beløp ført mot nedskrivninger</t>
  </si>
  <si>
    <t>Beløp som avsettes til eller tilbakeføres fra anslått tap</t>
  </si>
  <si>
    <t>Nedskrivninger på grupper av utlån</t>
  </si>
  <si>
    <t>Spesifierte tapsavsetninger garantier</t>
  </si>
  <si>
    <t>Engasjement</t>
  </si>
  <si>
    <t>EAD</t>
  </si>
  <si>
    <t>Konsolidert</t>
  </si>
  <si>
    <t>Massemarked SMB</t>
  </si>
  <si>
    <t>Unotert</t>
  </si>
  <si>
    <t>Omsatt på børs</t>
  </si>
  <si>
    <t>Øvrige eiendeler</t>
  </si>
  <si>
    <t>Samlet EAD</t>
  </si>
  <si>
    <t>Samlet ubenyttet ramme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</si>
  <si>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</si>
  <si>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</si>
  <si>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</si>
  <si>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</si>
  <si>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</si>
  <si>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</si>
  <si>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</si>
  <si>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</si>
  <si>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</si>
  <si>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</si>
  <si>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</si>
  <si>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Massemarkedsengasjementer</t>
  </si>
  <si>
    <t xml:space="preserve">  -herav massemarked SMB</t>
  </si>
  <si>
    <t>Banktjenester for massemarkedskunder</t>
  </si>
  <si>
    <t>Banktjenester for bedriftskunder</t>
  </si>
  <si>
    <t>Betaling og oppgjørstjenester</t>
  </si>
  <si>
    <t>Totalt</t>
  </si>
  <si>
    <t>Investeringer</t>
  </si>
  <si>
    <t>Finansielle investeringer til virkelig verdi over resultat</t>
  </si>
  <si>
    <t>Øvrige finansielle investeringer</t>
  </si>
  <si>
    <t>Strategiske investeringer til virkelig verdi over resultat</t>
  </si>
  <si>
    <t>Øvrige strategiske investeringer</t>
  </si>
  <si>
    <t>Beløp medregnet i kjernekapital eller tilleggskapital</t>
  </si>
  <si>
    <t>Nominell verdi</t>
  </si>
  <si>
    <t xml:space="preserve">Sum </t>
  </si>
  <si>
    <t>Engasjementer med pant i fast eiendom</t>
  </si>
  <si>
    <t>Øvrige massemarkedsengasjementer</t>
  </si>
  <si>
    <t>kategoriseres ikke som engasjement med fast eiendom, men som øvrig massemarked.</t>
  </si>
  <si>
    <t>2)</t>
  </si>
  <si>
    <t>Kapitaldekning</t>
  </si>
  <si>
    <t>Hovedstol</t>
  </si>
  <si>
    <t>Forfall</t>
  </si>
  <si>
    <t>Sum finansielle investeringer til virkelig verdi over resultatet</t>
  </si>
  <si>
    <t>Strategiske investeringer tilgjengelig for salg</t>
  </si>
  <si>
    <t>NOK 500</t>
  </si>
  <si>
    <t>Betingelser</t>
  </si>
  <si>
    <t>Øvrige foretak</t>
  </si>
  <si>
    <t>Spesialiserte foretak</t>
  </si>
  <si>
    <t>Fradrag for avsatt utbytte</t>
  </si>
  <si>
    <t>Overført fra nedskrivning på grupper av utlån</t>
  </si>
  <si>
    <t>EiendomsMegler 1 SR-Eiendom AS</t>
  </si>
  <si>
    <t>NOK</t>
  </si>
  <si>
    <t>EUR</t>
  </si>
  <si>
    <t>USD</t>
  </si>
  <si>
    <t>A (0,00-0,10 %)</t>
  </si>
  <si>
    <t>B (0,10-0,25 %)</t>
  </si>
  <si>
    <t>C (0,25-0,50 %)</t>
  </si>
  <si>
    <t>D (0,50-0,75 %)</t>
  </si>
  <si>
    <t>E (0,75-1,25 %)</t>
  </si>
  <si>
    <t>F (1,25-2,50 %)</t>
  </si>
  <si>
    <t>G (2,50-5,00 %)</t>
  </si>
  <si>
    <t>H (5,00-10,00 %)</t>
  </si>
  <si>
    <t>I (10,00 -   )</t>
  </si>
  <si>
    <t xml:space="preserve">  -  </t>
  </si>
  <si>
    <t>NOK 684</t>
  </si>
  <si>
    <t>NOK 116</t>
  </si>
  <si>
    <t>Hitec Vision Private Equity IV LP</t>
  </si>
  <si>
    <t>SpareBank 1 Næringskreditt AS</t>
  </si>
  <si>
    <t>Sandnes Sparebank</t>
  </si>
  <si>
    <t>Kjernekapital</t>
  </si>
  <si>
    <t>Fondsobligasjon</t>
  </si>
  <si>
    <t>Tidsbegrenset ansvarlig kapital</t>
  </si>
  <si>
    <t>Sum tilleggskapital</t>
  </si>
  <si>
    <t>tidspunkt</t>
  </si>
  <si>
    <t>Tidsbegrenset</t>
  </si>
  <si>
    <t>Sum strategiske investeringer til virkelig verdi over resultat</t>
  </si>
  <si>
    <t>Øvrig massemarked</t>
  </si>
  <si>
    <t>Beløp i mill kroner</t>
  </si>
  <si>
    <t>Beløp i tusen kroner</t>
  </si>
  <si>
    <t>Første forfalls-</t>
  </si>
  <si>
    <t>Misligholds-
klasse</t>
  </si>
  <si>
    <t>Bokført 
verdi</t>
  </si>
  <si>
    <t>Virkelig
 verdi</t>
  </si>
  <si>
    <t>Nedskrivning garantier</t>
  </si>
  <si>
    <t>Tapsutsatte</t>
  </si>
  <si>
    <t>Misligholdte</t>
  </si>
  <si>
    <t>SR-Forvaltning AS</t>
  </si>
  <si>
    <t xml:space="preserve">Investeringene blir behandlet likt for kapitaldekningsformål bortsett fra konsernets investeringer i </t>
  </si>
  <si>
    <t>Datterselskap som rapporterer etter standardmetode</t>
  </si>
  <si>
    <t>Kapitaldekning %</t>
  </si>
  <si>
    <t>Investeringer i tilknyttede selskaper</t>
  </si>
  <si>
    <t>Investeringer i felleskontrollert virksomhet</t>
  </si>
  <si>
    <t>Sum finansielle derivater</t>
  </si>
  <si>
    <t>Konsoliderings metode</t>
  </si>
  <si>
    <t>Ubenyttet kreditt og garantier</t>
  </si>
  <si>
    <t>(beløp i mill kroner)</t>
  </si>
  <si>
    <t>Datterselskap</t>
  </si>
  <si>
    <t>(beløp i tusen kroner)</t>
  </si>
  <si>
    <t>Gjennom-snittlig risikovekt</t>
  </si>
  <si>
    <t>Gjennom-    snittlig
 tap gitt mislighold</t>
  </si>
  <si>
    <t>Gjennom-               snittlig
 konverterings-
faktor</t>
  </si>
  <si>
    <t xml:space="preserve">                  Engasjementsbeløp</t>
  </si>
  <si>
    <t>Engasjementskategori</t>
  </si>
  <si>
    <t>Aksjekapital</t>
  </si>
  <si>
    <t>Rygir Industrier AS konsern</t>
  </si>
  <si>
    <t xml:space="preserve">  -herav engasjementer med pant i fast eiendom</t>
  </si>
  <si>
    <t xml:space="preserve">  -herav øvrige massemarkedsengasjementer</t>
  </si>
  <si>
    <t xml:space="preserve">Øvrige foretak </t>
  </si>
  <si>
    <t>Påløpte renter</t>
  </si>
  <si>
    <t>Ansvarlig lånekapital og fondsobligasjon i utenlandsk valuta inngår i konsernets totale valutaposisjon slik at det ikke er valutarisiko knyttet til lånene.</t>
  </si>
  <si>
    <t>Aktiverte kostnader ved låneopptak blir reflektert i beregning av amortisert kost.</t>
  </si>
  <si>
    <t>NOK 825</t>
  </si>
  <si>
    <t>Ren kjernekapitaldekning</t>
  </si>
  <si>
    <t>Sum massemarked eiendom</t>
  </si>
  <si>
    <t>Sum øvrig massemarked</t>
  </si>
  <si>
    <t xml:space="preserve">Brutto utlån </t>
  </si>
  <si>
    <t xml:space="preserve">Utgående balanse </t>
  </si>
  <si>
    <t>Inngående balanse</t>
  </si>
  <si>
    <t xml:space="preserve">
Engasjementsbeløp</t>
  </si>
  <si>
    <t xml:space="preserve">Gjennomsnittlig 
engasjementsbeløp </t>
  </si>
  <si>
    <t>Pilar 3 - Vedlegg</t>
  </si>
  <si>
    <t>Arkfane</t>
  </si>
  <si>
    <t>Innhold</t>
  </si>
  <si>
    <t xml:space="preserve">Side i Pilar 3 </t>
  </si>
  <si>
    <t>Oppdateres</t>
  </si>
  <si>
    <t>Årlig</t>
  </si>
  <si>
    <t>Kvartalsvis</t>
  </si>
  <si>
    <t xml:space="preserve"> Konsolideringsgrunnlag</t>
  </si>
  <si>
    <t xml:space="preserve"> Ansvarlig kapital i andre finansinstitusjoner</t>
  </si>
  <si>
    <t xml:space="preserve">Operasjonell risiko </t>
  </si>
  <si>
    <r>
      <rPr>
        <b/>
        <sz val="9"/>
        <rFont val="Calibri"/>
        <family val="2"/>
        <scheme val="minor"/>
      </rPr>
      <t>Konsern</t>
    </r>
    <r>
      <rPr>
        <sz val="9"/>
        <rFont val="Calibri"/>
        <family val="2"/>
        <scheme val="minor"/>
      </rPr>
      <t xml:space="preserve"> (beløp i mill kroner)</t>
    </r>
  </si>
  <si>
    <r>
      <t>Fondsobligasjon</t>
    </r>
    <r>
      <rPr>
        <vertAlign val="superscript"/>
        <sz val="9"/>
        <rFont val="Calibri"/>
        <family val="2"/>
        <scheme val="minor"/>
      </rPr>
      <t xml:space="preserve"> 1)</t>
    </r>
  </si>
  <si>
    <t xml:space="preserve"> Samlet engasjementsbeløp, definert som brutto utlån til kunder + garantier + ubenyttet kreditt i konsernet, etter eventuell nedskrivning og uten hensyn til eventuell sikkerhetsstillelse og engasjementenes gjennomsnittlige størrelse i løpet av perioden, oppdelt i engasjementstyper</t>
  </si>
  <si>
    <t xml:space="preserve"> Engasjementsbeløp for hver engasjementstype fordelt på geografiske områder før fradrag for nedskrivninger.</t>
  </si>
  <si>
    <t xml:space="preserve"> Engasjementsbeløp for hver engasjementstype fordelt på  bransjer før fradrag for nedskrivninger</t>
  </si>
  <si>
    <t xml:space="preserve"> Engasjementsbeløp for hver engasjementstype fordelt etter gjenstående løpetid</t>
  </si>
  <si>
    <t xml:space="preserve"> De faktiske verdiendringene for den enkelte engasjementskategori og utvikling fra tidligere perioder (IRB)</t>
  </si>
  <si>
    <t xml:space="preserve"> Investeringer (egenkapitalposisjoner utenfor handelsportefølje) fordelt etter formål.</t>
  </si>
  <si>
    <t>Oversikt over bokført verdi og virkelig verdi, gevinster og tap</t>
  </si>
  <si>
    <t>Oversikt over type og verdi av børsnoterte aksjer, unoterte aksjer i diversifiserte porteføljer og andre engasjementer</t>
  </si>
  <si>
    <t xml:space="preserve"> Avstemming av endringer i henholdsvis verdiendringer og nedskrivinger for engasjementer med verdifall</t>
  </si>
  <si>
    <r>
      <t xml:space="preserve">Herav sikret med pant i fast eiendom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</si>
  <si>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Herav sikret med pant i fast eiendom </t>
    </r>
    <r>
      <rPr>
        <vertAlign val="superscript"/>
        <sz val="9"/>
        <rFont val="Calibri"/>
        <family val="2"/>
        <scheme val="minor"/>
      </rPr>
      <t>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</si>
  <si>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Andel er totalt engasjement med slik sikkerhetsstillelse i forhold til totalt engasjement for gjeldende engasjementskategori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</si>
  <si>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Et engasjement på en massemarkedskunde der realisasjonsverdi av boligen vurderes lavere enn 30 % av kundens engasjement</t>
    </r>
  </si>
  <si>
    <t>Konsolidering - datterselskap</t>
  </si>
  <si>
    <t>Ansvarlig kapital i andre finansinstitusjoner</t>
  </si>
  <si>
    <t>Ansvarlig kapital</t>
  </si>
  <si>
    <t>Investering i tilknyttede selskaper og felleskontrollert virksomhet</t>
  </si>
  <si>
    <t>Engasjementsbeløp for hver engasjementstype fordelt på geografiske områder før fradrag for nedskrivninger.</t>
  </si>
  <si>
    <t>Engasjementsbeløp for hver engasjementstype fordelt på  bransjer før fradrag for nedskrivninger</t>
  </si>
  <si>
    <t>Engasjementsbeløp for hver engasjementstype fordelt etter gjenstående løpetid</t>
  </si>
  <si>
    <t>Misligholdte og tapsutsatte engasjement fordelt på kundegrupper</t>
  </si>
  <si>
    <t>Avstemming av endringer i henholdsvis verdiendringer og nedskrivinger for engasjementer med verdifall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</si>
  <si>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</si>
  <si>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</si>
  <si>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Investeringer (egenkapitalposisjoner utenfor handelsportefølje) fordelt etter formål</t>
  </si>
  <si>
    <t>Oversikt over motpartsrisiko for derivater mv. utenfor handelsporteføljen</t>
  </si>
  <si>
    <t>Sensitivitet på netto rentekost før skatt (renteendring på ett prosentpoeng)</t>
  </si>
  <si>
    <t xml:space="preserve">forretningsområde de 3 siste årene.  Banktjenester for massemarkedet 12 %, banktjenester for bedriftsmarkedet 15 % </t>
  </si>
  <si>
    <t xml:space="preserve">og for øvrige tjenester 18 %. </t>
  </si>
  <si>
    <t>Samlet engasjementsbeløp etter eventuell nedskrivning og uten hensyn til eventuell sikkerhetsstillelse og engasjementenes gjennomsnittlige størrelse i løpet av perioden, oppdelt i engasjementstyper</t>
  </si>
  <si>
    <t>Separat angivelse av de samlede engasjementsbeløp med verdifall og misligholdte engasjementer fordelt på geografiske områder, herunder samlede verdiendringer og nedskrivninger</t>
  </si>
  <si>
    <r>
      <rPr>
        <vertAlign val="superscript"/>
        <sz val="9"/>
        <rFont val="Calibri"/>
        <family val="2"/>
        <scheme val="minor"/>
      </rPr>
      <t xml:space="preserve">1) </t>
    </r>
    <r>
      <rPr>
        <sz val="9"/>
        <rFont val="Calibri"/>
        <family val="2"/>
        <scheme val="minor"/>
      </rPr>
      <t>Betingelser fremgår av tabellen "Ansvarlig lånekapital og Fondsobligasjon"</t>
    </r>
  </si>
  <si>
    <t>Finansparken Bjergsted AS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</si>
  <si>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</si>
  <si>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</si>
  <si>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</si>
  <si>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</si>
  <si>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</si>
  <si>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</si>
  <si>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</si>
  <si>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</si>
  <si>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</si>
  <si>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 9 mnd</t>
  </si>
  <si>
    <t>9 - 12 mnd</t>
  </si>
  <si>
    <t>12 - 18 mnd</t>
  </si>
  <si>
    <t>18 - 24 mnd</t>
  </si>
  <si>
    <t>2 - 10 år</t>
  </si>
  <si>
    <t>10 år +</t>
  </si>
  <si>
    <t xml:space="preserve">CHF </t>
  </si>
  <si>
    <t>Renterisiko oppstår ved at konsernet kan ha ulik rentebindingstid på sine eiendeler og forpliktelser. Handelsaktivitetene knyttet til</t>
  </si>
  <si>
    <t>omsetning av renteinstrumenter skal til enhver tid skje innenfor vedtatte rammer og fullmakter. Konsernets rammer definerer kvantitative</t>
  </si>
  <si>
    <t>Separat angivelse av de samlede engasjementsbeløp med verdifall og misligholdte engasjementer fordelt på geografiske områder, herunder samlede verdiendringer og nedskrivninger.</t>
  </si>
  <si>
    <t xml:space="preserve"> Nedskrivninger pr. misligholdsklasse i perioden </t>
  </si>
  <si>
    <t>Boligkreditt</t>
  </si>
  <si>
    <t>Næringskreditt</t>
  </si>
  <si>
    <t>BN Bank</t>
  </si>
  <si>
    <t>Andel operasjonell risiko konsoliderte selskap</t>
  </si>
  <si>
    <t xml:space="preserve">SpareBank 1 Boligkreditt AS og BN Bank AS bruker IRB metoden i sin kapitaldekningsrapportering. </t>
  </si>
  <si>
    <t>SpareBank 1 Gruppen</t>
  </si>
  <si>
    <r>
      <t xml:space="preserve">1)  </t>
    </r>
    <r>
      <rPr>
        <sz val="9"/>
        <rFont val="Calibri"/>
        <family val="2"/>
        <scheme val="minor"/>
      </rPr>
      <t>Inkludert indirekte eierandeler</t>
    </r>
  </si>
  <si>
    <r>
      <t xml:space="preserve">SpareBank 1  Boligkreditt AS </t>
    </r>
    <r>
      <rPr>
        <vertAlign val="superscript"/>
        <sz val="9"/>
        <rFont val="Calibri"/>
        <family val="2"/>
        <scheme val="minor"/>
      </rPr>
      <t>1)</t>
    </r>
  </si>
  <si>
    <t>Fradrag i forventet tap IRB fratrukket tapsavsetninger</t>
  </si>
  <si>
    <t>Fradrag ren kjernekapital for vesentlige investeringer i finansinstitusjoner</t>
  </si>
  <si>
    <t>Verdi av derivatforpliktelser til virkelig verdi</t>
  </si>
  <si>
    <t>Fradrag for vesentlige investeringer i finansinstitusjoner</t>
  </si>
  <si>
    <t>og fradragene tas i samme kapitalklasse som det instrumentet man eier tilhører. Investeringer i rene</t>
  </si>
  <si>
    <t>Investeringer som overstiger 10 % av egen ren kjernekapital etter fradrag kommer til fradrag i ansvarlig kapital</t>
  </si>
  <si>
    <t>Det skilles mellom vesentlige eierandeler &gt; 10 % og ikke vesentlige eierandeler i finansinstitusjoner.</t>
  </si>
  <si>
    <t>Risikovektet balanse</t>
  </si>
  <si>
    <t>Investeringene blir behandlet likt for kapitaldekningsformål.</t>
  </si>
  <si>
    <t>Sum ren kjernekapital</t>
  </si>
  <si>
    <t>Risikovektet balanse for kredittrisiko fordelt på engasjementskategorier og underkategorier</t>
  </si>
  <si>
    <t xml:space="preserve">Risikovektet balanse for operasjonell risiko </t>
  </si>
  <si>
    <t>Risikovektet balanse kredittrisiko IRB</t>
  </si>
  <si>
    <t>Risikovektet balanse standardmetoden</t>
  </si>
  <si>
    <t>Samlet risikovektet balanse knyttet til kredittrisiko</t>
  </si>
  <si>
    <t xml:space="preserve"> Risikovektet balanse for kredittrisiko fordelt på engasjementskategorier og underkategorier </t>
  </si>
  <si>
    <t>SR-PE-Feeder III KS</t>
  </si>
  <si>
    <t>Verdi 
31.12.2014</t>
  </si>
  <si>
    <t>SR-Forvaltning</t>
  </si>
  <si>
    <t>Svekket kredittverdighet motpart (CVA)</t>
  </si>
  <si>
    <t xml:space="preserve">Risikovektet balanse for operasjonell risiko er beregnet i prosent av snitt inntekt for hvert </t>
  </si>
  <si>
    <t xml:space="preserve">Samlede realiserte gevinster
 eller tap </t>
  </si>
  <si>
    <t xml:space="preserve">Urealiserte gevinster
 eller tap </t>
  </si>
  <si>
    <t xml:space="preserve"> Oversikt over motpartsrisiko for derivater mv. </t>
  </si>
  <si>
    <r>
      <t xml:space="preserve">Rente og valutainstrumenter </t>
    </r>
    <r>
      <rPr>
        <vertAlign val="superscript"/>
        <sz val="9"/>
        <rFont val="Calibri"/>
        <family val="2"/>
        <scheme val="minor"/>
      </rPr>
      <t xml:space="preserve"> </t>
    </r>
  </si>
  <si>
    <t>Minimumskrav ren kjernekapital 4,5 %</t>
  </si>
  <si>
    <t>Bufferkrav</t>
  </si>
  <si>
    <t>Bevaringsbuffer 2,5 %</t>
  </si>
  <si>
    <t>Sum bufferkrav til ren kjernekapital</t>
  </si>
  <si>
    <t>Tilgjengelig ren kjernekapital etter bufferkrav</t>
  </si>
  <si>
    <r>
      <t xml:space="preserve">2)  </t>
    </r>
    <r>
      <rPr>
        <sz val="9"/>
        <rFont val="Calibri"/>
        <family val="2"/>
        <scheme val="minor"/>
      </rPr>
      <t>SpareBank 1 SR-Bank sin andel</t>
    </r>
  </si>
  <si>
    <t>Eierandel i %</t>
  </si>
  <si>
    <t xml:space="preserve"> Ansvarlig kapital </t>
  </si>
  <si>
    <t>Ansvarlig kapital, herunder kjernekapital og tilleggskapital samt aktuelle tillegg, fradrag og begrensninger.</t>
  </si>
  <si>
    <r>
      <t xml:space="preserve"> Risikovektet balanse for operasjonell risiko etter sjablongmetoden </t>
    </r>
    <r>
      <rPr>
        <i/>
        <vertAlign val="superscript"/>
        <sz val="9"/>
        <rFont val="Calibri"/>
        <family val="2"/>
        <scheme val="minor"/>
      </rPr>
      <t>1)</t>
    </r>
  </si>
  <si>
    <r>
      <t xml:space="preserve">1) </t>
    </r>
    <r>
      <rPr>
        <sz val="9"/>
        <rFont val="Calibri"/>
        <family val="2"/>
        <scheme val="minor"/>
      </rPr>
      <t>SpareBank 1 SR-Bank konsern benytter sjablongmetoden.  Øvrige selskaper benytter basismetoden.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</si>
  <si>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Risikovektet balanse beregnes etter standardmetoden.</t>
    </r>
  </si>
  <si>
    <t>Foretak SMB</t>
  </si>
  <si>
    <t>Sum foretak SMB</t>
  </si>
  <si>
    <t>Sum øvrige foretak</t>
  </si>
  <si>
    <t>Massemarked eiendom SMB</t>
  </si>
  <si>
    <t>Sum foretak spesialiserte</t>
  </si>
  <si>
    <t>Sum massemarked eiendom SMB</t>
  </si>
  <si>
    <t>Engasjement med pant i fast eiendom</t>
  </si>
  <si>
    <t xml:space="preserve"> </t>
  </si>
  <si>
    <t>Utsteder</t>
  </si>
  <si>
    <t>Entydig identifikasjonskode (f.eks. CUSIP, ISIN eller Bloombergs identifikasjonskode for rettede emisjoner)</t>
  </si>
  <si>
    <t>Gjeldende lovgivning for instrumentet</t>
  </si>
  <si>
    <t>Norge</t>
  </si>
  <si>
    <t>Behandling etter kapitalregelverket</t>
  </si>
  <si>
    <t>Regler som gjelder i overgansperioden</t>
  </si>
  <si>
    <t xml:space="preserve"> Tier 1</t>
  </si>
  <si>
    <t>Tier 2</t>
  </si>
  <si>
    <t>Regler som gjelder etter overgansperioden</t>
  </si>
  <si>
    <t>Ikke kvalifiserte</t>
  </si>
  <si>
    <t>Medregning på selskaps- eller (del)konsolidert nivå, selskaps- og (del)konsolidert nivå</t>
  </si>
  <si>
    <t>Selskap og konsern</t>
  </si>
  <si>
    <t>Instrumenttype (typer skal spesifiseres for hver jurisdiksjon)</t>
  </si>
  <si>
    <t>Beløp som inngår i ansvarlig kapital (i millioner NOK fra seneste rapporteringsdato)</t>
  </si>
  <si>
    <t>NOK 116 mill</t>
  </si>
  <si>
    <t>NOK 499 mill</t>
  </si>
  <si>
    <t>Instrumentets nominelle verdi</t>
  </si>
  <si>
    <t>NOK 684 mill</t>
  </si>
  <si>
    <t>NOK 500 mill</t>
  </si>
  <si>
    <t>Emisjonskurs</t>
  </si>
  <si>
    <t>100 prosent</t>
  </si>
  <si>
    <t>Innløsningskurs</t>
  </si>
  <si>
    <t>100 prosent av Nominelt beløp</t>
  </si>
  <si>
    <t>Regnskapsmessig klassifisering</t>
  </si>
  <si>
    <t>Ansvar - amortisert kost</t>
  </si>
  <si>
    <t>Opprinnelig utstedelsesdato</t>
  </si>
  <si>
    <t>Evigvarende eller 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</si>
  <si>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</si>
  <si>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</si>
  <si>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</si>
  <si>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</si>
  <si>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</si>
  <si>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</si>
  <si>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</si>
  <si>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Årlig hver 9. desember</t>
  </si>
  <si>
    <t>Kvartalsvis på termindato</t>
  </si>
  <si>
    <t>Renter/utbytte</t>
  </si>
  <si>
    <t>Fast eller flytende rente/utbytte</t>
  </si>
  <si>
    <t>Fast til flytende</t>
  </si>
  <si>
    <t>Flytende</t>
  </si>
  <si>
    <t>Rentesats og eventuell tilknyttet referanserente</t>
  </si>
  <si>
    <t>9,35% til 09.12.19, deretter 3 mnd NIBOR + 5,75%</t>
  </si>
  <si>
    <t>3 mnd NIBOR + 1,80%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</si>
  <si>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</si>
  <si>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</si>
  <si>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</si>
  <si>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</si>
  <si>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delvis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</si>
  <si>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</si>
  <si>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</si>
  <si>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</si>
  <si>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</si>
  <si>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</si>
  <si>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Ikke-kumulativ</t>
  </si>
  <si>
    <t>kumulativ</t>
  </si>
  <si>
    <t>Konvertering/nedskrivning</t>
  </si>
  <si>
    <t>Konvertibel eller ikke konvertibel</t>
  </si>
  <si>
    <t>Ikke konvertibel</t>
  </si>
  <si>
    <t>Hvis konvertibel, nivå(er) som utløser konvertering</t>
  </si>
  <si>
    <t>N/A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</si>
  <si>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</si>
  <si>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</si>
  <si>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</si>
  <si>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</si>
  <si>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</si>
  <si>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</si>
  <si>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</si>
  <si>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Om kapitaldekning faller under 8,0 % eller kjernekapital under 5,0 %</t>
  </si>
  <si>
    <t>Hvis nedskrivning, hel eller delvis</t>
  </si>
  <si>
    <t>Hel eller delvis</t>
  </si>
  <si>
    <t>Hvis nedskrivning, med endelig virkning eller midlertidig</t>
  </si>
  <si>
    <t>Midlertidig</t>
  </si>
  <si>
    <t>Hvis midlertidig nedskrivning, beskrivelse av oppskrivningsmekanismen</t>
  </si>
  <si>
    <t>Ved utbetaling av utbytte, hel eller delvis innfrielse av kjernekapital, oppskrivning av kjernekapital</t>
  </si>
  <si>
    <t>Prioritetsrekkefølge ved avvikling (oppgi instrumenttypen som har nærmeste bedre prioritet</t>
  </si>
  <si>
    <t>Senior usikret</t>
  </si>
  <si>
    <t>Vilkår som gjør at instrumentet ikke kan medregnes etter overgangsperioden</t>
  </si>
  <si>
    <t>Hvis ja, spesifiser hvilke vilkår som ikke oppfyller nye krav</t>
  </si>
  <si>
    <t>Utstedt iht tidligere regelverk. Inneholder incitament til innfrielse.</t>
  </si>
  <si>
    <t>Ren kjernekapital: Instrumenter og opptjent kapital</t>
  </si>
  <si>
    <t>Kapitalinstrumenter og tilhørende overkursfond</t>
  </si>
  <si>
    <t>26 (1), 27,     28 og 29</t>
  </si>
  <si>
    <t xml:space="preserve">  herav: instrumenttype 1</t>
  </si>
  <si>
    <t xml:space="preserve">  herav: instrumenttype 2</t>
  </si>
  <si>
    <t xml:space="preserve">  herav: instrumenttype 3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</si>
  <si>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</si>
  <si>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</si>
  <si>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</si>
  <si>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</si>
  <si>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</si>
  <si>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</si>
  <si>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</si>
  <si>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</si>
  <si>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</si>
  <si>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</si>
  <si>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</si>
  <si>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</si>
  <si>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</si>
  <si>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</si>
  <si>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 5a</t>
  </si>
  <si>
    <t>Ren kjernekapital: Regulatoriske justeringer</t>
  </si>
  <si>
    <t>Vedijusteringer som følge av kravene om forsvarlig verdsettelse (negativt beløp)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</si>
  <si>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</si>
  <si>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</si>
  <si>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</si>
  <si>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</si>
  <si>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</si>
  <si>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</si>
  <si>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</si>
  <si>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</si>
  <si>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</si>
  <si>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</si>
  <si>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</si>
  <si>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</si>
  <si>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</si>
  <si>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 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</si>
  <si>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</si>
  <si>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</si>
  <si>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</si>
  <si>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</si>
  <si>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</si>
  <si>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</si>
  <si>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</si>
  <si>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</si>
  <si>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</si>
  <si>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36 (1) (i), 43, 45, 47,  48 (1) (b), 49 (1) til (3) og 79</t>
  </si>
  <si>
    <t>Poster som alternativt kan få 1250 % risikovekt (negativt beløp)</t>
  </si>
  <si>
    <t>36 (1) (k)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</si>
  <si>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</si>
  <si>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</si>
  <si>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</si>
  <si>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</si>
  <si>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</si>
  <si>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</si>
  <si>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</si>
  <si>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</si>
  <si>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</si>
  <si>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</si>
  <si>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</si>
  <si>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</si>
  <si>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</si>
  <si>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</si>
  <si>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</si>
  <si>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</si>
  <si>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</si>
  <si>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</si>
  <si>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</si>
  <si>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</si>
  <si>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</si>
  <si>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</si>
  <si>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</si>
  <si>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</si>
  <si>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</si>
  <si>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</si>
  <si>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</si>
  <si>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</si>
  <si>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</si>
  <si>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</si>
  <si>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</si>
  <si>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</si>
  <si>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</si>
  <si>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</si>
  <si>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</si>
  <si>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</si>
  <si>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Ren kjernekapital</t>
  </si>
  <si>
    <t>Rad 6 pluss rad 28 hvis beløpet i rad 28 er negativt, ellers minus</t>
  </si>
  <si>
    <t>Annen godkjent kjernekapital: Instrumenter</t>
  </si>
  <si>
    <t>51 og 52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</si>
  <si>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</si>
  <si>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</si>
  <si>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</si>
  <si>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</si>
  <si>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overgangsbestemmeler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</si>
  <si>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</si>
  <si>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</si>
  <si>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</si>
  <si>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</si>
  <si>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</si>
  <si>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</si>
  <si>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</si>
  <si>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</si>
  <si>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</si>
  <si>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</si>
  <si>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</si>
  <si>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</si>
  <si>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</si>
  <si>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</si>
  <si>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</si>
  <si>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</si>
  <si>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</si>
  <si>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</si>
  <si>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</si>
  <si>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</si>
  <si>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</si>
  <si>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</si>
  <si>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</si>
  <si>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</si>
  <si>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</si>
  <si>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</si>
  <si>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</si>
  <si>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</si>
  <si>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</si>
  <si>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Annen godkjent kjernekapital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</si>
  <si>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</si>
  <si>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</si>
  <si>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</si>
  <si>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</si>
  <si>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</si>
  <si>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</si>
  <si>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</si>
  <si>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</si>
  <si>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</si>
  <si>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</si>
  <si>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</si>
  <si>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</si>
  <si>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</si>
  <si>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</si>
  <si>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</si>
  <si>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</si>
  <si>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</si>
  <si>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</si>
  <si>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</si>
  <si>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</si>
  <si>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</si>
  <si>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</si>
  <si>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</si>
  <si>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</si>
  <si>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</si>
  <si>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</si>
  <si>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</si>
  <si>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</si>
  <si>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</si>
  <si>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</si>
  <si>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</si>
  <si>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</si>
  <si>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</si>
  <si>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</si>
  <si>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</si>
  <si>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</si>
  <si>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Sum rad 52 t.o.m. 54, rad 55 og 56</t>
  </si>
  <si>
    <t>Tilleggskapital</t>
  </si>
  <si>
    <t>Rad 51 pluss rad 57 hvis beløpet i rad 57 er negativt, ellers minus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</si>
  <si>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</si>
  <si>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</si>
  <si>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</si>
  <si>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</si>
  <si>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</si>
  <si>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</si>
  <si>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</si>
  <si>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</si>
  <si>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Beregningsgrunnlag</t>
  </si>
  <si>
    <t>Kapitaldekning og buffere</t>
  </si>
  <si>
    <t>92 (2) (a)</t>
  </si>
  <si>
    <t>Kjernekapitaldekning</t>
  </si>
  <si>
    <t>92 (2) (b)</t>
  </si>
  <si>
    <t>92 (2) (c)</t>
  </si>
  <si>
    <t>Kombindert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</si>
  <si>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</si>
  <si>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</si>
  <si>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</si>
  <si>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</si>
  <si>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</si>
  <si>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</si>
  <si>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</si>
  <si>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</si>
  <si>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</si>
  <si>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</si>
  <si>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</si>
  <si>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36 (1) (h), 45, 46, 472 (10), 56 (c), 59, 60, 66 (c), 69 og 70</t>
  </si>
  <si>
    <t>Beholdninger av ren kapital i andre selskaper i finansiell sektor der institusjonen har en vesentlig investering, som samlet er under grensen på 10 %. Beløp regnet etter fradrag som er tillatt for korte posisjoner</t>
  </si>
  <si>
    <t>36 (1) (i), 45 og 48</t>
  </si>
  <si>
    <t>Utsatt skattefordel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</si>
  <si>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</si>
  <si>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</si>
  <si>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</si>
  <si>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</si>
  <si>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</si>
  <si>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</si>
  <si>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</si>
  <si>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</si>
  <si>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</si>
  <si>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</si>
  <si>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</si>
  <si>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</si>
  <si>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</si>
  <si>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</si>
  <si>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</si>
  <si>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>Referanse</t>
  </si>
  <si>
    <t>Eiendeler</t>
  </si>
  <si>
    <t>Kontanter og fordringer på sentralbanker</t>
  </si>
  <si>
    <t>Utlån til og fordringer på kredittinstitusjoner</t>
  </si>
  <si>
    <t>Sertifikater og obligasjoner</t>
  </si>
  <si>
    <t>Finansielle derivater</t>
  </si>
  <si>
    <t>Aksjer, andeler og andre egenkapitalinteresser</t>
  </si>
  <si>
    <t>Investering i eierinteresser</t>
  </si>
  <si>
    <t>Virksomhet som skal selges</t>
  </si>
  <si>
    <t>Immaterielle eiendeler</t>
  </si>
  <si>
    <t>Andre eiendeler</t>
  </si>
  <si>
    <t>Sum eiendeler</t>
  </si>
  <si>
    <t xml:space="preserve">Forpliktelser </t>
  </si>
  <si>
    <t>Gjeld til kredittinstitusjoner</t>
  </si>
  <si>
    <t>Innskudd fra kunder</t>
  </si>
  <si>
    <t>Utsatt skatt</t>
  </si>
  <si>
    <t>Annen gjeld og balanseført forpliktelse</t>
  </si>
  <si>
    <t>Ansvarlig lånekapital</t>
  </si>
  <si>
    <t>Herav ansvarlig lånekapital som kvalifiserer som godkjent tilleggskapital</t>
  </si>
  <si>
    <t>Herav ansvarlig lån under overgangsregler</t>
  </si>
  <si>
    <t>Herav fondsobligasjoner under overgangsregler</t>
  </si>
  <si>
    <t>Sum gjeld</t>
  </si>
  <si>
    <t>Egenkapital</t>
  </si>
  <si>
    <t>Innskutt egenkapital</t>
  </si>
  <si>
    <t>Sum egenkapital</t>
  </si>
  <si>
    <t>Sum gjeld og egenkapital</t>
  </si>
  <si>
    <t>(B) Referanser til artikler i forordningen (CRR)</t>
  </si>
  <si>
    <t>(C) Beløp omfattet av overgangs-regler</t>
  </si>
  <si>
    <t>(A) Beløp på datoen for offentliggjøring</t>
  </si>
  <si>
    <t>Uvektet kjernekapitalandel (Leverage ratio)</t>
  </si>
  <si>
    <t xml:space="preserve">Derivater: Fremtidig eksponering ved bruk av markedsverdimetoden </t>
  </si>
  <si>
    <t xml:space="preserve">Øvrige eiendeler </t>
  </si>
  <si>
    <t xml:space="preserve">Kjernekapital </t>
  </si>
  <si>
    <t xml:space="preserve">Uvektet kjernekapitalandel </t>
  </si>
  <si>
    <t xml:space="preserve"> Oversikt over bokført verdi og virkelig verdi, gevinster og tap</t>
  </si>
  <si>
    <t xml:space="preserve"> Tabellen angir resultateffekten ved et positivt parallellskift i rentekurven på ett prosentpoeng ved utgangen av de to siste årene </t>
  </si>
  <si>
    <t xml:space="preserve"> dersom samtlige finansielle instrumenter ble vurdert til virkelig verdi.</t>
  </si>
  <si>
    <t>De viktigste avtalevilkårene for kapitalinstrumenter</t>
  </si>
  <si>
    <t xml:space="preserve"> Beregning av uvektet kjernekapitalandel (Leverage ratio)</t>
  </si>
  <si>
    <t>9a</t>
  </si>
  <si>
    <t>9b</t>
  </si>
  <si>
    <t xml:space="preserve"> De viktigste avtalevilkårene for kapitalinstrumenter</t>
  </si>
  <si>
    <t>SpareBank1 SR-Bank ASA</t>
  </si>
  <si>
    <t>BN Bank ASA</t>
  </si>
  <si>
    <t xml:space="preserve">SpareBank 1 SR-Bank ASA sin andel i SpareBank 1 Boligkreditt </t>
  </si>
  <si>
    <t xml:space="preserve">SpareBank 1 SR-Bank ASA sin andel i SpareBank 1 Næringskreditt </t>
  </si>
  <si>
    <t>SpareBank 1 SR-Bank ASA sin andel i BN Bank</t>
  </si>
  <si>
    <t xml:space="preserve">Elimineringer </t>
  </si>
  <si>
    <t>1)</t>
  </si>
  <si>
    <t>Forholdet mellom ansvarlig kapital i regnskapet og den ansvarlige kapitalen som beregnes for kapitaldekningsformål</t>
  </si>
  <si>
    <t>NO0010703879</t>
  </si>
  <si>
    <t>Gjeld-amortisert kost</t>
  </si>
  <si>
    <t>25.02.2019
Regulatorisk call
Callkurs 100</t>
  </si>
  <si>
    <t>Kvartalsvis påfølgende</t>
  </si>
  <si>
    <t>Full fleksibilitet</t>
  </si>
  <si>
    <t>Kan skrive opp obligasjonene og betale obligasjonsrente iht de til enhver tid gjeldende regler for slik oppskrivning og rentebetaling</t>
  </si>
  <si>
    <t>Stå tilbake for all annen gjeld og skal, med mindre annet er avtalt eller fremkommer av offentlige reguleringer, ha prioritet likt med annen hybridkapital
- Instrumenter i kolonne I og J har bedre prioritet</t>
  </si>
  <si>
    <t>SpareBank 1 Boligkreditt</t>
  </si>
  <si>
    <t>NO0010713746</t>
  </si>
  <si>
    <t>Ansvarlig lån</t>
  </si>
  <si>
    <t>Flyt</t>
  </si>
  <si>
    <t>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</si>
  <si>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</si>
  <si>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Senior Usikret</t>
  </si>
  <si>
    <t>SpareBank 1 Næringskreditt</t>
  </si>
  <si>
    <t>NO0010694078</t>
  </si>
  <si>
    <t>NO0010694086</t>
  </si>
  <si>
    <t>Etter nedskrivning av obligasjonene kan utstederen skrive opp obligasjonene og betale obligasjonsrente i henhold til de til enhver tid gjeldende regler for slik oppskrivning og rentebetaling.</t>
  </si>
  <si>
    <t>Delkonsolidert nivå</t>
  </si>
  <si>
    <t>ikke-kumulativ</t>
  </si>
  <si>
    <t>Tier 1</t>
  </si>
  <si>
    <t>Portefølje</t>
  </si>
  <si>
    <t>Estimert mislighold</t>
  </si>
  <si>
    <t>Faktisk mislighold</t>
  </si>
  <si>
    <t>Massemarked med pant i fast eiendom</t>
  </si>
  <si>
    <t>Estimert tapsgrad</t>
  </si>
  <si>
    <t>Faktisk tapsgrad</t>
  </si>
  <si>
    <t>Uvektet IRB Misligholdsnivå - PD per misligholdsklasse</t>
  </si>
  <si>
    <t>IRB Misligholdsnivå - PD per misligholdsklasse</t>
  </si>
  <si>
    <t>Uvektet IRB Misligholdsnivå - PD-modeller</t>
  </si>
  <si>
    <t>IRB Misligholdsnivå - PD-modeller</t>
  </si>
  <si>
    <t>IRB Tapsgrad for misligholdte lån - LGD</t>
  </si>
  <si>
    <t xml:space="preserve"> IRB Tapsgrad for misligholdte lån - LGD (uvektet) </t>
  </si>
  <si>
    <t>Regnskapshuset SR AS</t>
  </si>
  <si>
    <t>SR-Boligkreditt AS</t>
  </si>
  <si>
    <t>kjernekapitalinstumenter som ikke kommer til fradrag i ansvarlig kapital vektes 250 % i beregningsgrunnlaget.</t>
  </si>
  <si>
    <t xml:space="preserve"> Forholdet mellom ansvarlig kapital i konsernregnskapet og den ansvarlige kapitalen som beregnes for kapitaldekningsformål.</t>
  </si>
  <si>
    <t>NO0010731904</t>
  </si>
  <si>
    <t>11.03.2020 Regulatorisk call Callkurs 100</t>
  </si>
  <si>
    <t xml:space="preserve">Skal stå tilbake for utstederens alminnelige ikke-subordinerte gjeld, dog slik at obligasjonene med renter skal ha prioritet likt med annen Tilleggskapital og skal dekkes foran utstederens kjernekapital </t>
  </si>
  <si>
    <t>1) Bokført verdi av aksjene i de respektive selskapene inkludert indirekte eierandeler erstattes av SpareBank 1 SR-Bank sin andel av selskapene sine poster i balansen.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</si>
  <si>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Ser at det er noen kunder fra Tradex, som ikke finnes i kunderegisteret. Disse har jeg foreløpi satt til sted 9999.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</si>
  <si>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Regner ut inngående beholdning, utgående beholdning ,snitt beholdning samt andel av total beholdning for det enkelte sted.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</si>
  <si>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Andel av total beholdning benyttes for å regne ut provisjon for det enkelte sted.</t>
    </r>
  </si>
  <si>
    <t>NO0010704109</t>
  </si>
  <si>
    <t>NO0010745920</t>
  </si>
  <si>
    <t>NO0010746191</t>
  </si>
  <si>
    <t>1) Eierandelen i BN Bank inkluderer indirekte eierandeler.</t>
  </si>
  <si>
    <t>1) Eierandelen i SpareBank 1 Boligkreditt inkluderer indirekte eierandeler.</t>
  </si>
  <si>
    <r>
      <t xml:space="preserve">SpareBank 1 SR-Bank ASA eier 24,2 % av BN Bank </t>
    </r>
    <r>
      <rPr>
        <b/>
        <vertAlign val="superscript"/>
        <sz val="9"/>
        <rFont val="Calibri"/>
        <family val="2"/>
        <scheme val="minor"/>
      </rPr>
      <t>1)</t>
    </r>
  </si>
  <si>
    <t>Datterselskap som rapporterer etter IRB metode</t>
  </si>
  <si>
    <t xml:space="preserve">Kredittrisiko- og motpartsrisiko  </t>
  </si>
  <si>
    <t xml:space="preserve"> herav kjernekapitaldekning</t>
  </si>
  <si>
    <t xml:space="preserve"> herav tilleggskapitaldekning</t>
  </si>
  <si>
    <t>EUR 50</t>
  </si>
  <si>
    <t>Verdi 
31.12.2015</t>
  </si>
  <si>
    <t>Verdiendring 
i 2015 (i %)</t>
  </si>
  <si>
    <t>Energy Ventures IV LP</t>
  </si>
  <si>
    <t>Visa Norge IFS</t>
  </si>
  <si>
    <t>3 mnd Nibor + 1,80 % p.a.</t>
  </si>
  <si>
    <t>3 mnd Nibor + 2,75 % p.a.</t>
  </si>
  <si>
    <t>9,35 % p.a. til 9.12.2019, deretter 3 mnd Nibor + 5,75 % p.a.</t>
  </si>
  <si>
    <t>3 mnd Nibor + 4,75 % p.a. til 9.12.2019, deretter Nibor + 5,75 % p.a.</t>
  </si>
  <si>
    <t>3 mnd NIBOR + 4,75% til 09.12.19, deretter Nibor+ 5,75%</t>
  </si>
  <si>
    <t>Obligasjoner med fortrinnsrett</t>
  </si>
  <si>
    <t>|</t>
  </si>
  <si>
    <t xml:space="preserve">SpareBank 1 SR-Bank har ingen sikkerhetsstillelser som medfører redusert engasjementsbeløp. </t>
  </si>
  <si>
    <t>Utlån til kunder</t>
  </si>
  <si>
    <t xml:space="preserve"> Ansvarlig lånekapital og fondsobligasjoner</t>
  </si>
  <si>
    <t>Ufordelt (merverdi fastrente utlån)</t>
  </si>
  <si>
    <t xml:space="preserve">Misligholdsklasse (PD-intervall) </t>
  </si>
  <si>
    <t xml:space="preserve">Eksponering fordelt på misligholdsklasser for porteføljer der IRB-metoden benyttes </t>
  </si>
  <si>
    <t xml:space="preserve"> Samlet engasjementsbeløp og andelen som er sikret med pant i fast eiendom fordelt på engasjementskategorier (IRB)</t>
  </si>
  <si>
    <t>Ansvarlig lånekapital og fondsobligasjoner</t>
  </si>
  <si>
    <t xml:space="preserve">Nedskrivninger pr. misligholdsklasse i perioden </t>
  </si>
  <si>
    <t>Sum massemarked med pant i fast eiendom</t>
  </si>
  <si>
    <t xml:space="preserve">Foretak   </t>
  </si>
  <si>
    <t>Finansielle investeringer til virkelig verdi over resultatet</t>
  </si>
  <si>
    <t>Sum strategiske investeringer tilgjengelig for salg</t>
  </si>
  <si>
    <t xml:space="preserve">Sammensetningen av ansvarlig kapital </t>
  </si>
  <si>
    <t>Delårsresultat</t>
  </si>
  <si>
    <t>Uvektet kjernekapitaldekning</t>
  </si>
  <si>
    <t>Egenkapital posisjoner</t>
  </si>
  <si>
    <t>XS1334772255</t>
  </si>
  <si>
    <t xml:space="preserve"> Tier 2</t>
  </si>
  <si>
    <t>EUR 50 mill</t>
  </si>
  <si>
    <t>Nei</t>
  </si>
  <si>
    <t>4,00 % til 21.12.17, deretter 6 mnd EURIBOR + 1,725 %</t>
  </si>
  <si>
    <t>3mnd Nibor+420</t>
  </si>
  <si>
    <t>3mnd Nibor+210</t>
  </si>
  <si>
    <t>3mnd Nibor+310</t>
  </si>
  <si>
    <t>3mnd Nibor+225</t>
  </si>
  <si>
    <t>3mnd Nibor+360</t>
  </si>
  <si>
    <t>NO0010767643</t>
  </si>
  <si>
    <t>3mnd Nibor+450</t>
  </si>
  <si>
    <t xml:space="preserve">(-) Mottatt godkjent løpende margin i form av kontanter som motregnes mot endring i markedsverdi 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</si>
  <si>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</si>
  <si>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</si>
  <si>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</si>
  <si>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</si>
  <si>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</si>
  <si>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</si>
  <si>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CCP-element  av kundeclearede engasjementer i form av eksponeringer i derivater (markedsverdi) 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</si>
  <si>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</si>
  <si>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</si>
  <si>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</si>
  <si>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</si>
  <si>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</si>
  <si>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</si>
  <si>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</si>
  <si>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</si>
  <si>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</si>
  <si>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</si>
  <si>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</si>
  <si>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</si>
  <si>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</si>
  <si>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</si>
  <si>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</si>
  <si>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</si>
  <si>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</si>
  <si>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</si>
  <si>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</si>
  <si>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</si>
  <si>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Kjernekapital etter overgangsregler </t>
  </si>
  <si>
    <t xml:space="preserve">Uvektet kjernekapitalandel etter overgangsregler </t>
  </si>
  <si>
    <t xml:space="preserve">Kapital </t>
  </si>
  <si>
    <t>Pr 31.12.2016</t>
  </si>
  <si>
    <t>Kapitaldekning i prosent 31.12.2016</t>
  </si>
  <si>
    <t xml:space="preserve"> 31.12.2016</t>
  </si>
  <si>
    <t>HitecVision Asset Solutions LP</t>
  </si>
  <si>
    <t xml:space="preserve">Strategiske investeringer til virkelig verdi over resultat </t>
  </si>
  <si>
    <t>Verdi
 2016</t>
  </si>
  <si>
    <t>Verdi 
31.12.2016</t>
  </si>
  <si>
    <t>Verdiendring 
i 2016 (i %)</t>
  </si>
  <si>
    <t>Netto konsernkonti valuta</t>
  </si>
  <si>
    <t>År</t>
  </si>
  <si>
    <t>Gjennomsnitt</t>
  </si>
  <si>
    <t xml:space="preserve">Estimert mislighold </t>
  </si>
  <si>
    <t xml:space="preserve">Faktisk mislighold </t>
  </si>
  <si>
    <t xml:space="preserve">Validering av tapsgrad for 2016 var under utarbeidelse ved publisering av rapporten. </t>
  </si>
  <si>
    <t xml:space="preserve"> IRB Tapsgrad for misligholdte lån - LGD (EAD-vektet) </t>
  </si>
  <si>
    <t>EAD-vektet IRB Misligholdsnivå - PD-modeller</t>
  </si>
  <si>
    <t xml:space="preserve">Aksjer og andeler klassifiseres som enten til virkelig verdi over resultatet eller tilgjengelig for salg. </t>
  </si>
  <si>
    <t xml:space="preserve">Endring i virkelig verdi fra inngående balanse resultatføres som inntekt fra finansielle investeringer.  </t>
  </si>
  <si>
    <t xml:space="preserve">* Bank 1 Oslo ble solgt til Sparebanken Hedmark i 2. kvartal 2016, ble rapportert som virksomhet som skal selges 31.12.2015. </t>
  </si>
  <si>
    <t>2016                                                                       Engasjementskategori</t>
  </si>
  <si>
    <t xml:space="preserve">Massemarked </t>
  </si>
  <si>
    <t>Forventet tap</t>
  </si>
  <si>
    <t>Faktisk tap</t>
  </si>
  <si>
    <t xml:space="preserve">IRB Forventet tap (EL) og faktisk netto regnskapsført tap </t>
  </si>
  <si>
    <t xml:space="preserve">Spesialiserte foretak* </t>
  </si>
  <si>
    <t xml:space="preserve">* SpareBank 1 SR-Bank har erfart at nåværende kategorisering av foretak innebærer at banken har en andel av spesialiserte foretak som er vesentlig høyere enn andre sammenlignbare banker. </t>
  </si>
  <si>
    <t xml:space="preserve">Om et foretak kategoriseres som spesialisert eller ikke har under dagens regelverk ingen betydning for kapitalkravet. </t>
  </si>
  <si>
    <t xml:space="preserve">Dersom ett eller flere av vilkårene ikke er oppfylt, skal ikke engasjementet kategoriseres som spesialisert foretak. </t>
  </si>
  <si>
    <t xml:space="preserve">Banken har derfor igangsatt et arbeid for å bringe kategoriseringen i retning av gjeldende markedspraksis og forskriftens bestemmelser.   </t>
  </si>
  <si>
    <t xml:space="preserve">Bankens gjeldende kategorisering av foretak som spesialisert foretak er utelukkende gjort på bakgrunn av foretakets næringskode, uten at det gjøres en eksplisitt vurdering av om vilkårene i Kapitalkravsforskriftens § 9-1 tredje ledd er oppfylt. </t>
  </si>
  <si>
    <t>Tabell 1: Geografisk fordeling av relevante kredittengasjementer</t>
  </si>
  <si>
    <t>Generelle kredittengasjementer</t>
  </si>
  <si>
    <t>Engasjementer i handelsporteføljen</t>
  </si>
  <si>
    <t>Verdipapiriseringsengasjementer</t>
  </si>
  <si>
    <t>Kapitalkrav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</si>
  <si>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</si>
  <si>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</si>
  <si>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</si>
  <si>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</si>
  <si>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</si>
  <si>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</si>
  <si>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Verdipapiriserings-engasjementer</t>
  </si>
  <si>
    <t>Vekter for kapitalkrav</t>
  </si>
  <si>
    <t>Motsyklisk kapitalbuffersats</t>
  </si>
  <si>
    <t>Konsernets generelle kreditteksponering mot utlandet utgjør under 2 % av den totale eksponeringen. I henhold til kommisjonsforordning 115/2014 tilordnes disse utenlandske engasjementene til Norge.</t>
  </si>
  <si>
    <t>Tabell 2: Størrelsen på foretaksspesifikk motsyklisk kapitalbuffer</t>
  </si>
  <si>
    <t>Samlet beregningsgrunnlag</t>
  </si>
  <si>
    <t>Foretaksspesifikk motsyklisk kapitalbuffersats</t>
  </si>
  <si>
    <t>Krav til foretaksspesifikk motsyklisk kapitalbuffer</t>
  </si>
  <si>
    <t>Engasjements-beløp for SA</t>
  </si>
  <si>
    <t>Engasjements-beløp for IRB</t>
  </si>
  <si>
    <t>Overholdelse av krav om motsyklisk kapitalbuffer</t>
  </si>
  <si>
    <t>I konsernet foretas en forholdsmessig konsolidering.</t>
  </si>
  <si>
    <r>
      <t xml:space="preserve">Eierandel i prosent 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 31.12.2016 </t>
    </r>
  </si>
  <si>
    <r>
      <t xml:space="preserve">Risikovektet balanse </t>
    </r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31.12.2016</t>
    </r>
  </si>
  <si>
    <r>
      <t xml:space="preserve">BN Bank ASA </t>
    </r>
    <r>
      <rPr>
        <vertAlign val="superscript"/>
        <sz val="9"/>
        <rFont val="Calibri"/>
        <family val="2"/>
        <scheme val="minor"/>
      </rPr>
      <t>1)</t>
    </r>
  </si>
  <si>
    <t>SpareBank 1 Kredittkort AS</t>
  </si>
  <si>
    <t>SpareBank 1 Næringskreditt AS og SpareBank 1 Kredittkort AS bruker standardmetoden i sin kapitaldekningsrapportering.</t>
  </si>
  <si>
    <r>
      <t xml:space="preserve">SpareBank 1 Kredittkort </t>
    </r>
    <r>
      <rPr>
        <vertAlign val="superscript"/>
        <sz val="9"/>
        <rFont val="Calibri"/>
        <family val="2"/>
        <scheme val="minor"/>
      </rPr>
      <t xml:space="preserve"> 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</si>
  <si>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SpareBank 1 Kredittkort konsolideres fra og med 1. kvartal 2017. </t>
    </r>
  </si>
  <si>
    <t xml:space="preserve">SpareBank 1 SR-Bank ASA sin andel i SpareBank 1 Kredittkort </t>
  </si>
  <si>
    <t xml:space="preserve">2) I enkelte av de tilknyttede selskapene foretas det en omallokering basert på solgte utlån ved årsslutt som medfører at eierandelen endres pr 31.12. Den bokførte verdien av disse selskapene   </t>
  </si>
  <si>
    <t>Norsk rett</t>
  </si>
  <si>
    <r>
      <t>SpareBank 1 Kredittkort</t>
    </r>
    <r>
      <rPr>
        <b/>
        <vertAlign val="superscript"/>
        <sz val="9"/>
        <rFont val="Calibri"/>
        <family val="2"/>
        <scheme val="minor"/>
      </rPr>
      <t xml:space="preserve"> 2)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</si>
  <si>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SpareBank 1 Kredittkort konsolideres fra og med 1. kvartal 2017. </t>
    </r>
  </si>
  <si>
    <t>NOK 681 mill</t>
  </si>
  <si>
    <t>NOK 625 mill</t>
  </si>
  <si>
    <t>NO0010792476</t>
  </si>
  <si>
    <t>NO0010799323</t>
  </si>
  <si>
    <t>NOK 150 mill</t>
  </si>
  <si>
    <t>3 mnd NIBOR + 1,52%</t>
  </si>
  <si>
    <t>3 mnd NIBOR + 3,20%</t>
  </si>
  <si>
    <t>Innenfor maksimalt disponeringsbeløp iht CRDIV/CRR-forskriften § 6</t>
  </si>
  <si>
    <r>
      <t>Sparebanken Hedmark</t>
    </r>
    <r>
      <rPr>
        <vertAlign val="superscript"/>
        <sz val="9"/>
        <rFont val="Calibri"/>
        <family val="2"/>
        <scheme val="minor"/>
      </rPr>
      <t xml:space="preserve"> 2)</t>
    </r>
  </si>
  <si>
    <t>Hybridkapital</t>
  </si>
  <si>
    <t>Hybridkapital som ikke kan medregnes i ren kjernekapital</t>
  </si>
  <si>
    <t xml:space="preserve">Herav fondsobligasjoner som kvalifiserer som annen godkjent kjernekapital  </t>
  </si>
  <si>
    <t xml:space="preserve">Hybridkapital som kvalifiserer som annen godkjent kjernekapital </t>
  </si>
  <si>
    <t xml:space="preserve">    SR-Finans</t>
  </si>
  <si>
    <t xml:space="preserve">    SR-Boligkreditt</t>
  </si>
  <si>
    <t>Investeringer i tilknyttede selskaper blir bokført etter egenkapitalmetoden i konsernet og etter kostmetoden i morbanken.</t>
  </si>
  <si>
    <t>Investeringer i felleskontrollert virksomhet blir bokført etter egenkapitalmetoden i konsernet og etter kostmetoden i morbanken.</t>
  </si>
  <si>
    <t>prosent. Kravet består av 4,5 prosent i minstekrav, i tillegg til øvrige bufferkrav hvorav kravet til bevaringsbuffer er 2,5 prosent, systemrisikobuffer</t>
  </si>
  <si>
    <t>NO0010802382</t>
  </si>
  <si>
    <t>NOK 300 mill</t>
  </si>
  <si>
    <t>3 mnd NIBOR + 1,45%</t>
  </si>
  <si>
    <t>Standardtabell for offentliggjøring av opplysninger om foretaks overholdelse av krav om motsyklisk kapitalbuffer per 31.12.2017</t>
  </si>
  <si>
    <t>Pr 31.12.2017</t>
  </si>
  <si>
    <t>FinStart Nordic AS *</t>
  </si>
  <si>
    <t>* SR-Investering AS har endret navn til FinStart Nordic AS i 2017</t>
  </si>
  <si>
    <t xml:space="preserve">SpareBank 1 Boligkreditt AS, SpareBank 1 Næringskreditt AS, BN Bank AS og SpareBank 1 Kredittkort AS. </t>
  </si>
  <si>
    <r>
      <t xml:space="preserve">Eierandel i prosent </t>
    </r>
    <r>
      <rPr>
        <b/>
        <vertAlign val="superscript"/>
        <sz val="9"/>
        <rFont val="Calibri"/>
        <family val="2"/>
        <scheme val="minor"/>
      </rPr>
      <t>1)</t>
    </r>
    <r>
      <rPr>
        <b/>
        <sz val="9"/>
        <rFont val="Calibri"/>
        <family val="2"/>
        <scheme val="minor"/>
      </rPr>
      <t xml:space="preserve">  31.12.2017 </t>
    </r>
  </si>
  <si>
    <r>
      <t xml:space="preserve">Risikovektet balanse </t>
    </r>
    <r>
      <rPr>
        <b/>
        <vertAlign val="superscript"/>
        <sz val="9"/>
        <rFont val="Calibri"/>
        <family val="2"/>
        <scheme val="minor"/>
      </rPr>
      <t>2)</t>
    </r>
    <r>
      <rPr>
        <b/>
        <sz val="9"/>
        <rFont val="Calibri"/>
        <family val="2"/>
        <scheme val="minor"/>
      </rPr>
      <t xml:space="preserve"> 31.12.2017</t>
    </r>
  </si>
  <si>
    <t>Kapitaldekning i prosent 31.12.2017</t>
  </si>
  <si>
    <t xml:space="preserve"> 31.12.2017</t>
  </si>
  <si>
    <t>SpareBank 1 Betaling</t>
  </si>
  <si>
    <t>Visa</t>
  </si>
  <si>
    <t>Samlet minstekrav for SpareBank 1 SR Bank til ren kjernekapitaldekning inkludert motsyklisk kapitalbuffer og Pilar 2 påslag var pr 31.12.2017 14,0</t>
  </si>
  <si>
    <t>3,0 prosent og motsyklisk buffer 2,0 prosent. Videre har Finanstilsynet fastsatt et individuelt Pilar 2-krav på 2,0 prosent.</t>
  </si>
  <si>
    <r>
      <t xml:space="preserve">Hybridkapital </t>
    </r>
    <r>
      <rPr>
        <vertAlign val="superscript"/>
        <sz val="9"/>
        <rFont val="Calibri"/>
        <family val="2"/>
        <scheme val="minor"/>
      </rPr>
      <t>1)</t>
    </r>
  </si>
  <si>
    <t xml:space="preserve">Motsykliskbuffer 2,0 % </t>
  </si>
  <si>
    <t>Systemrisikobuffer 3,0 %</t>
  </si>
  <si>
    <t>Stater og sentralbanker</t>
  </si>
  <si>
    <t>Lokale og regionale myndigheter, offentlige foretak</t>
  </si>
  <si>
    <t>Verdiendring 
i 2017 (i %)</t>
  </si>
  <si>
    <t>Verdi 
31.12.2017</t>
  </si>
  <si>
    <t xml:space="preserve">Foretak SMB </t>
  </si>
  <si>
    <t>Monner AS</t>
  </si>
  <si>
    <t>SR PE Feeder IV AS</t>
  </si>
  <si>
    <t>Optimarin AS</t>
  </si>
  <si>
    <t>Offshore Merchant Partners Asset Yield Fund LP</t>
  </si>
  <si>
    <t>SpareBank 1 Markets</t>
  </si>
  <si>
    <t xml:space="preserve">* Aksjene i SpareBank 1 Østlandet (tidligere Sparebanken Hedmark) ble solgt i juni 2017. </t>
  </si>
  <si>
    <t>Verdi
 2017</t>
  </si>
  <si>
    <r>
      <t xml:space="preserve">Risikovektet balanse  2016 </t>
    </r>
    <r>
      <rPr>
        <vertAlign val="superscript"/>
        <sz val="9"/>
        <rFont val="Calibri"/>
        <family val="2"/>
        <scheme val="minor"/>
      </rPr>
      <t>1)</t>
    </r>
  </si>
  <si>
    <r>
      <t>Risikovektet balanse  2017</t>
    </r>
    <r>
      <rPr>
        <b/>
        <vertAlign val="superscript"/>
        <sz val="9"/>
        <rFont val="Calibri"/>
        <family val="2"/>
        <scheme val="minor"/>
      </rPr>
      <t>1)</t>
    </r>
  </si>
  <si>
    <t xml:space="preserve">mål for maksimalt potensielt tap ved et parallellskift i rentekurven på ett prosentpoeng. </t>
  </si>
  <si>
    <t>Rammen er totalt 85 mill kroner fordelt på 50 mill kroner og 35 mill kroner på totalbalansen for henholdsvis Treasury og SR-Bank Markets.</t>
  </si>
  <si>
    <t xml:space="preserve">Den kommersielle risikoen kvantifiseres og overvåkes kontinuerlig. </t>
  </si>
  <si>
    <t>SpareBank 1 SR-Bank ASA eier 19,2 % av SpareBank 1 Næringskreditt</t>
  </si>
  <si>
    <t>2,91 (3 mnd NIBOR + 2.10 %)</t>
  </si>
  <si>
    <t>4.55 (3 mnd NIBOR + 3.75 %)</t>
  </si>
  <si>
    <t xml:space="preserve">
Kapitaldekning under de til enhver tid gjeldende minstekrav Finanstilsynet eller annen kompetent offentlig myndighet kan instruere nedskrivning med endelig virkning.
Nedskrivningen skal skje i samsvar med de til enhver tid gjeldende regler og regulering samt forvaltningspraksis for nedskrivning (pt gitt i Beregningsforskriften og Finanstilsynets rundskriv 14/2011).</t>
  </si>
  <si>
    <t>Ja</t>
  </si>
  <si>
    <t>Ref. pkt 24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</si>
  <si>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 For tiden: 5% kjernekapitaldekning og 8% kapitaldekning fastsatt i Beregningsforskriften</t>
  </si>
  <si>
    <t>NO0010811318</t>
  </si>
  <si>
    <t>3mN +310</t>
  </si>
  <si>
    <r>
      <t xml:space="preserve"> SpareBank 1 SR-Bank ASA eier 9,5 % av SpareBank 1 Boligkreditt </t>
    </r>
    <r>
      <rPr>
        <b/>
        <vertAlign val="superscript"/>
        <sz val="9"/>
        <rFont val="Calibri"/>
        <family val="2"/>
        <scheme val="minor"/>
      </rPr>
      <t>1)</t>
    </r>
  </si>
  <si>
    <t>-</t>
  </si>
  <si>
    <t xml:space="preserve"> SpareBank 1 SR-Bank ASA Balanse etter regnskap 31.12.2017</t>
  </si>
  <si>
    <t>SpareBank 1 SR-Bank ASA Balanse etter kapitaldekning 31.12.2017</t>
  </si>
  <si>
    <t>baserer seg på resultatandelen i 2017 og det er denne resultatandelen som benyttes ved utbytteutbetaling.</t>
  </si>
  <si>
    <t>NOK 300</t>
  </si>
  <si>
    <t>NOK 625</t>
  </si>
  <si>
    <t>3 mnd Nibor + 1,45 % p.a.</t>
  </si>
  <si>
    <t>3 mnd Nibor + 1,52 % p.a.</t>
  </si>
  <si>
    <t>Av totalt 2 764 mill kroner i ansvarlig lånekapital teller 797 mill kroner som kjernekapital og 1 897 mill kroner som tidsbegrenset ansvarlig kapital.</t>
  </si>
  <si>
    <t>6 mnd Euribor + 1,725 % p.a.</t>
  </si>
  <si>
    <t>NOK 472 mill</t>
  </si>
  <si>
    <t>2017                                                                       Engasjementskategori</t>
  </si>
  <si>
    <t>Egenkapital-amortisert kost</t>
  </si>
  <si>
    <t>2007-2017</t>
  </si>
  <si>
    <t>2007-2016</t>
  </si>
  <si>
    <t xml:space="preserve">Internt estimert uvektet tapsgrad for misligholdte lån mot massemarked med pant i fast eiendom (uten regulatoriske minimumskrav) er 12,1 % i 2016 og 13,4 % i årene 2007-2016. </t>
  </si>
  <si>
    <t xml:space="preserve">Internt estimert EAD-vektet tapsgrad for misligholdte lån mot massemarked med pant i fast eiendom (uten regulatoriske minimumskrav) er 12,8 % i 2016 og 14,4 % i årene 2007-2016. </t>
  </si>
  <si>
    <t>SpareBank 1 Østlandet*</t>
  </si>
  <si>
    <t xml:space="preserve">Ny kategorisering vil implementeres i forbindelse med tilpasninger til ny Baselstandard.   </t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</si>
  <si>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Sparebanken Hedmark er solgt i 2. kvartal 2017. </t>
    </r>
  </si>
  <si>
    <t xml:space="preserve">Offentliggjøring av godtgjørelse </t>
  </si>
  <si>
    <t>Antall</t>
  </si>
  <si>
    <t>Godtgjørelse</t>
  </si>
  <si>
    <t>Herav variabel godtgjørelse</t>
  </si>
  <si>
    <t>1. Ledende ansatte</t>
  </si>
  <si>
    <t>2. Ansatte og tillitvalgte med arbeidsoppgaver av vesentlig betydning for foretakets risikoeksponering</t>
  </si>
  <si>
    <t>3. Ansatte som er ansvarlig for uavhengig kontrollfunksjon</t>
  </si>
  <si>
    <t>4. Tillitsvalgte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</si>
</sst>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#,##0;\(#,##0\);&quot;-&quot;"/>
    <numFmt numFmtId="168" formatCode="#,##0;[Red]\(#,##0\);0"/>
    <numFmt numFmtId="169" formatCode="_(* #,##0_);_(* \(#,##0\);_(* &quot; - &quot;_);_(@_)"/>
    <numFmt numFmtId="170" formatCode="0.0\ %"/>
    <numFmt numFmtId="171" formatCode="_(* #,##0_);_(* \(#,##0\);_(* &quot;-&quot;??_);_(@_)"/>
    <numFmt numFmtId="172" formatCode="#,##0.0"/>
    <numFmt numFmtId="173" formatCode="dd/mm/yyyy;@"/>
    <numFmt numFmtId="174" formatCode="_ * #,##0_ ;_ * \-#,##0_ ;_ * &quot;-&quot;??_ ;_ @_ "/>
  </numFmts>
  <fonts count="52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 val="singleAccounting"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u val="doubleAccounting"/>
      <sz val="9"/>
      <name val="Calibri"/>
      <family val="2"/>
      <scheme val="minor"/>
    </font>
    <font>
      <u val="doubleAccounting"/>
      <sz val="9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i/>
      <vertAlign val="superscript"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222222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10"/>
      <color rgb="FFFF0000"/>
      <name val="Verdana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  <font>
      <sz val="10"/>
      <name val="Arial Narrow"/>
      <family val="2"/>
    </font>
    <font>
      <sz val="7"/>
      <color indexed="8"/>
      <name val="Arial Narrow"/>
      <family val="2"/>
    </font>
    <font>
      <b/>
      <i/>
      <sz val="9"/>
      <name val="Calibri"/>
      <family val="2"/>
    </font>
    <font>
      <u/>
      <sz val="10"/>
      <color theme="10"/>
      <name val="Verdana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8">
    <xf numFmtId="0" fontId="0" fillId="0" borderId="0"/>
    <xf numFmtId="169" fontId="6" fillId="0" borderId="0" applyFill="0" applyBorder="0">
      <alignment horizontal="right" vertical="top"/>
    </xf>
    <xf numFmtId="0" fontId="7" fillId="0" borderId="0">
      <alignment horizontal="center" wrapText="1"/>
    </xf>
    <xf numFmtId="165" fontId="6" fillId="0" borderId="0" applyFill="0" applyBorder="0" applyAlignment="0" applyProtection="0">
      <alignment horizontal="right" vertical="top"/>
    </xf>
    <xf numFmtId="167" fontId="5" fillId="0" borderId="0"/>
    <xf numFmtId="0" fontId="6" fillId="0" borderId="0" applyFill="0" applyBorder="0">
      <alignment horizontal="left" vertical="top"/>
    </xf>
    <xf numFmtId="168" fontId="4" fillId="0" borderId="0"/>
    <xf numFmtId="0" fontId="8" fillId="0" borderId="0"/>
    <xf numFmtId="0" fontId="6" fillId="0" borderId="0"/>
    <xf numFmtId="0" fontId="8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4" fillId="6" borderId="13" applyNumberFormat="0" applyFont="0" applyBorder="0">
      <alignment horizontal="center" vertical="center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726">
    <xf numFmtId="0" fontId="0" fillId="0" borderId="0" xfId="0"/>
    <xf numFmtId="0" fontId="10" fillId="2" borderId="6" xfId="0" applyFont="1" applyFill="1" applyBorder="1"/>
    <xf numFmtId="14" fontId="11" fillId="2" borderId="6" xfId="0" applyNumberFormat="1" applyFont="1" applyFill="1" applyBorder="1"/>
    <xf numFmtId="14" fontId="10" fillId="2" borderId="6" xfId="0" applyNumberFormat="1" applyFont="1" applyFill="1" applyBorder="1"/>
    <xf numFmtId="0" fontId="10" fillId="0" borderId="0" xfId="5" applyFont="1" applyFill="1">
      <alignment horizontal="left" vertical="top"/>
    </xf>
    <xf numFmtId="164" fontId="11" fillId="0" borderId="0" xfId="1" applyNumberFormat="1" applyFont="1" applyFill="1" applyAlignment="1">
      <alignment vertical="top"/>
    </xf>
    <xf numFmtId="164" fontId="10" fillId="0" borderId="0" xfId="1" applyNumberFormat="1" applyFont="1" applyFill="1" applyAlignment="1">
      <alignment vertical="top"/>
    </xf>
    <xf numFmtId="0" fontId="10" fillId="0" borderId="0" xfId="5" applyFont="1" applyFill="1" applyAlignment="1">
      <alignment horizontal="left" vertical="top"/>
    </xf>
    <xf numFmtId="0" fontId="11" fillId="0" borderId="7" xfId="5" applyFont="1" applyFill="1" applyBorder="1" applyAlignment="1">
      <alignment horizontal="left" vertical="top"/>
    </xf>
    <xf numFmtId="164" fontId="11" fillId="0" borderId="7" xfId="1" applyNumberFormat="1" applyFont="1" applyFill="1" applyBorder="1" applyAlignment="1">
      <alignment vertical="top"/>
    </xf>
    <xf numFmtId="164" fontId="10" fillId="0" borderId="7" xfId="1" applyNumberFormat="1" applyFont="1" applyFill="1" applyBorder="1" applyAlignment="1">
      <alignment vertical="top"/>
    </xf>
    <xf numFmtId="0" fontId="11" fillId="0" borderId="0" xfId="5" applyFont="1" applyFill="1">
      <alignment horizontal="left" vertical="top"/>
    </xf>
    <xf numFmtId="0" fontId="10" fillId="0" borderId="0" xfId="5" applyFont="1" applyFill="1" applyBorder="1" applyAlignment="1">
      <alignment horizontal="left" vertical="top"/>
    </xf>
    <xf numFmtId="164" fontId="11" fillId="0" borderId="0" xfId="1" applyNumberFormat="1" applyFont="1" applyFill="1" applyBorder="1" applyAlignment="1">
      <alignment vertical="top"/>
    </xf>
    <xf numFmtId="164" fontId="10" fillId="0" borderId="0" xfId="1" applyNumberFormat="1" applyFont="1" applyFill="1" applyBorder="1" applyAlignment="1">
      <alignment vertical="top"/>
    </xf>
    <xf numFmtId="0" fontId="11" fillId="0" borderId="0" xfId="5" applyFont="1" applyFill="1" applyBorder="1" applyAlignment="1">
      <alignment horizontal="left" vertical="top"/>
    </xf>
    <xf numFmtId="0" fontId="11" fillId="2" borderId="0" xfId="0" applyFont="1" applyFill="1" applyBorder="1"/>
    <xf numFmtId="0" fontId="10" fillId="2" borderId="0" xfId="0" applyFont="1" applyFill="1" applyBorder="1"/>
    <xf numFmtId="0" fontId="11" fillId="0" borderId="6" xfId="5" applyFont="1" applyFill="1" applyBorder="1">
      <alignment horizontal="left" vertical="top"/>
    </xf>
    <xf numFmtId="14" fontId="11" fillId="3" borderId="6" xfId="0" applyNumberFormat="1" applyFont="1" applyFill="1" applyBorder="1"/>
    <xf numFmtId="14" fontId="10" fillId="3" borderId="6" xfId="0" applyNumberFormat="1" applyFont="1" applyFill="1" applyBorder="1"/>
    <xf numFmtId="0" fontId="10" fillId="2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0" fontId="10" fillId="2" borderId="5" xfId="0" applyFont="1" applyFill="1" applyBorder="1"/>
    <xf numFmtId="3" fontId="11" fillId="3" borderId="5" xfId="0" applyNumberFormat="1" applyFont="1" applyFill="1" applyBorder="1"/>
    <xf numFmtId="3" fontId="10" fillId="2" borderId="5" xfId="0" applyNumberFormat="1" applyFont="1" applyFill="1" applyBorder="1"/>
    <xf numFmtId="0" fontId="11" fillId="2" borderId="0" xfId="0" applyFont="1" applyFill="1"/>
    <xf numFmtId="3" fontId="11" fillId="3" borderId="0" xfId="0" applyNumberFormat="1" applyFont="1" applyFill="1" applyAlignment="1">
      <alignment horizontal="right"/>
    </xf>
    <xf numFmtId="0" fontId="10" fillId="0" borderId="0" xfId="5" applyFont="1" applyFill="1" applyAlignment="1">
      <alignment horizontal="center" vertical="top"/>
    </xf>
    <xf numFmtId="169" fontId="11" fillId="0" borderId="0" xfId="1" applyFont="1" applyFill="1" applyAlignment="1">
      <alignment vertical="top"/>
    </xf>
    <xf numFmtId="169" fontId="10" fillId="0" borderId="0" xfId="1" applyFont="1" applyFill="1" applyAlignment="1">
      <alignment vertical="top"/>
    </xf>
    <xf numFmtId="10" fontId="11" fillId="0" borderId="0" xfId="1" applyNumberFormat="1" applyFont="1" applyFill="1" applyAlignment="1">
      <alignment vertical="top"/>
    </xf>
    <xf numFmtId="10" fontId="10" fillId="0" borderId="0" xfId="1" applyNumberFormat="1" applyFont="1" applyFill="1" applyAlignment="1">
      <alignment vertical="top"/>
    </xf>
    <xf numFmtId="167" fontId="13" fillId="3" borderId="0" xfId="4" applyFont="1" applyFill="1" applyBorder="1"/>
    <xf numFmtId="0" fontId="10" fillId="0" borderId="0" xfId="0" applyFont="1"/>
    <xf numFmtId="168" fontId="10" fillId="2" borderId="0" xfId="6" applyFont="1" applyFill="1"/>
    <xf numFmtId="167" fontId="10" fillId="2" borderId="0" xfId="4" applyFont="1" applyFill="1" applyBorder="1"/>
    <xf numFmtId="168" fontId="10" fillId="2" borderId="0" xfId="6" applyFont="1" applyFill="1" applyBorder="1"/>
    <xf numFmtId="168" fontId="11" fillId="2" borderId="0" xfId="6" applyFont="1" applyFill="1" applyBorder="1"/>
    <xf numFmtId="168" fontId="11" fillId="0" borderId="0" xfId="6" applyFont="1" applyFill="1" applyBorder="1" applyAlignment="1">
      <alignment horizontal="right"/>
    </xf>
    <xf numFmtId="168" fontId="10" fillId="0" borderId="0" xfId="6" applyFont="1" applyFill="1" applyBorder="1"/>
    <xf numFmtId="168" fontId="10" fillId="0" borderId="0" xfId="6" applyFont="1" applyFill="1" applyBorder="1" applyAlignment="1">
      <alignment horizontal="right"/>
    </xf>
    <xf numFmtId="167" fontId="11" fillId="0" borderId="0" xfId="4" applyFont="1" applyFill="1" applyBorder="1" applyAlignment="1">
      <alignment horizontal="left"/>
    </xf>
    <xf numFmtId="167" fontId="11" fillId="0" borderId="0" xfId="8" applyNumberFormat="1" applyFont="1" applyFill="1" applyBorder="1" applyAlignment="1"/>
    <xf numFmtId="0" fontId="11" fillId="0" borderId="0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1" fillId="0" borderId="0" xfId="5" applyNumberFormat="1" applyFont="1" applyFill="1" applyBorder="1" applyAlignment="1">
      <alignment horizontal="left" vertical="top"/>
    </xf>
    <xf numFmtId="0" fontId="10" fillId="0" borderId="0" xfId="5" applyFont="1" applyFill="1" applyBorder="1">
      <alignment horizontal="left" vertical="top"/>
    </xf>
    <xf numFmtId="0" fontId="10" fillId="0" borderId="0" xfId="5" applyFont="1" applyFill="1" applyBorder="1" applyAlignment="1">
      <alignment horizontal="right" vertical="top" wrapText="1"/>
    </xf>
    <xf numFmtId="0" fontId="10" fillId="2" borderId="0" xfId="5" applyNumberFormat="1" applyFont="1" applyFill="1" applyBorder="1">
      <alignment horizontal="left" vertical="top"/>
    </xf>
    <xf numFmtId="0" fontId="10" fillId="0" borderId="0" xfId="1" applyNumberFormat="1" applyFont="1" applyFill="1" applyBorder="1" applyAlignment="1">
      <alignment vertical="top"/>
    </xf>
    <xf numFmtId="0" fontId="11" fillId="0" borderId="0" xfId="5" applyNumberFormat="1" applyFont="1" applyFill="1" applyBorder="1">
      <alignment horizontal="left" vertical="top"/>
    </xf>
    <xf numFmtId="0" fontId="11" fillId="0" borderId="0" xfId="5" applyFont="1" applyFill="1" applyBorder="1">
      <alignment horizontal="left" vertical="top"/>
    </xf>
    <xf numFmtId="0" fontId="10" fillId="0" borderId="0" xfId="5" applyFont="1" applyFill="1" applyBorder="1" applyAlignment="1">
      <alignment horizontal="left" vertical="top" wrapText="1"/>
    </xf>
    <xf numFmtId="0" fontId="10" fillId="0" borderId="0" xfId="5" applyNumberFormat="1" applyFont="1" applyFill="1" applyBorder="1">
      <alignment horizontal="left" vertical="top"/>
    </xf>
    <xf numFmtId="0" fontId="11" fillId="0" borderId="0" xfId="5" quotePrefix="1" applyNumberFormat="1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left" vertical="top" wrapText="1"/>
    </xf>
    <xf numFmtId="0" fontId="10" fillId="0" borderId="0" xfId="5" applyNumberFormat="1" applyFont="1" applyFill="1" applyBorder="1" applyAlignment="1">
      <alignment horizontal="left" vertical="top"/>
    </xf>
    <xf numFmtId="168" fontId="10" fillId="0" borderId="0" xfId="6" applyFont="1" applyFill="1" applyBorder="1" applyAlignment="1">
      <alignment vertical="top"/>
    </xf>
    <xf numFmtId="167" fontId="10" fillId="0" borderId="0" xfId="5" applyNumberFormat="1" applyFont="1" applyFill="1" applyBorder="1">
      <alignment horizontal="left" vertical="top"/>
    </xf>
    <xf numFmtId="167" fontId="11" fillId="0" borderId="0" xfId="5" applyNumberFormat="1" applyFont="1" applyFill="1" applyBorder="1">
      <alignment horizontal="left" vertical="top"/>
    </xf>
    <xf numFmtId="0" fontId="10" fillId="0" borderId="0" xfId="0" applyFont="1" applyFill="1" applyBorder="1"/>
    <xf numFmtId="168" fontId="10" fillId="0" borderId="0" xfId="6" applyFont="1" applyFill="1"/>
    <xf numFmtId="0" fontId="13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right" wrapText="1"/>
    </xf>
    <xf numFmtId="0" fontId="10" fillId="2" borderId="0" xfId="0" applyFont="1" applyFill="1" applyAlignment="1"/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left" wrapText="1"/>
    </xf>
    <xf numFmtId="14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3" fontId="10" fillId="2" borderId="0" xfId="0" applyNumberFormat="1" applyFont="1" applyFill="1" applyBorder="1" applyAlignment="1">
      <alignment wrapText="1"/>
    </xf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wrapText="1"/>
    </xf>
    <xf numFmtId="3" fontId="11" fillId="2" borderId="0" xfId="0" applyNumberFormat="1" applyFont="1" applyFill="1" applyBorder="1" applyAlignment="1">
      <alignment wrapText="1"/>
    </xf>
    <xf numFmtId="3" fontId="10" fillId="2" borderId="0" xfId="0" applyNumberFormat="1" applyFont="1" applyFill="1" applyAlignment="1"/>
    <xf numFmtId="3" fontId="10" fillId="2" borderId="0" xfId="0" applyNumberFormat="1" applyFont="1" applyFill="1"/>
    <xf numFmtId="0" fontId="10" fillId="2" borderId="0" xfId="0" applyFont="1" applyFill="1" applyBorder="1" applyAlignment="1"/>
    <xf numFmtId="3" fontId="10" fillId="2" borderId="0" xfId="0" applyNumberFormat="1" applyFont="1" applyFill="1" applyBorder="1" applyAlignment="1"/>
    <xf numFmtId="0" fontId="11" fillId="2" borderId="7" xfId="0" applyFont="1" applyFill="1" applyBorder="1" applyAlignment="1"/>
    <xf numFmtId="3" fontId="11" fillId="2" borderId="0" xfId="0" applyNumberFormat="1" applyFont="1" applyFill="1" applyBorder="1" applyAlignment="1"/>
    <xf numFmtId="0" fontId="13" fillId="2" borderId="0" xfId="0" applyFont="1" applyFill="1"/>
    <xf numFmtId="0" fontId="11" fillId="2" borderId="0" xfId="0" applyFont="1" applyFill="1" applyBorder="1" applyAlignment="1">
      <alignment wrapText="1"/>
    </xf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wrapText="1"/>
    </xf>
    <xf numFmtId="0" fontId="11" fillId="2" borderId="0" xfId="0" applyFont="1" applyFill="1" applyBorder="1" applyAlignment="1"/>
    <xf numFmtId="9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vertical="top" wrapText="1"/>
    </xf>
    <xf numFmtId="3" fontId="10" fillId="2" borderId="0" xfId="0" applyNumberFormat="1" applyFont="1" applyFill="1" applyBorder="1" applyAlignment="1">
      <alignment horizontal="right"/>
    </xf>
    <xf numFmtId="0" fontId="11" fillId="2" borderId="7" xfId="0" applyFont="1" applyFill="1" applyBorder="1"/>
    <xf numFmtId="3" fontId="11" fillId="2" borderId="7" xfId="0" applyNumberFormat="1" applyFont="1" applyFill="1" applyBorder="1" applyAlignment="1"/>
    <xf numFmtId="9" fontId="10" fillId="2" borderId="7" xfId="0" applyNumberFormat="1" applyFont="1" applyFill="1" applyBorder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0" fontId="10" fillId="3" borderId="0" xfId="0" applyFont="1" applyFill="1" applyBorder="1"/>
    <xf numFmtId="0" fontId="10" fillId="3" borderId="0" xfId="0" applyFont="1" applyFill="1" applyBorder="1" applyAlignment="1">
      <alignment horizontal="left"/>
    </xf>
    <xf numFmtId="0" fontId="10" fillId="3" borderId="0" xfId="0" applyFont="1" applyFill="1" applyBorder="1" applyAlignment="1"/>
    <xf numFmtId="9" fontId="10" fillId="3" borderId="0" xfId="0" applyNumberFormat="1" applyFont="1" applyFill="1" applyBorder="1" applyAlignment="1">
      <alignment horizontal="right"/>
    </xf>
    <xf numFmtId="14" fontId="11" fillId="2" borderId="6" xfId="0" applyNumberFormat="1" applyFont="1" applyFill="1" applyBorder="1" applyAlignment="1">
      <alignment horizontal="right" wrapText="1"/>
    </xf>
    <xf numFmtId="14" fontId="10" fillId="2" borderId="6" xfId="0" applyNumberFormat="1" applyFont="1" applyFill="1" applyBorder="1" applyAlignment="1">
      <alignment horizontal="right" wrapText="1"/>
    </xf>
    <xf numFmtId="2" fontId="10" fillId="2" borderId="5" xfId="0" applyNumberFormat="1" applyFont="1" applyFill="1" applyBorder="1"/>
    <xf numFmtId="0" fontId="12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right" vertical="top"/>
    </xf>
    <xf numFmtId="0" fontId="10" fillId="2" borderId="0" xfId="0" applyFont="1" applyFill="1" applyBorder="1" applyAlignment="1">
      <alignment horizontal="right" vertical="top"/>
    </xf>
    <xf numFmtId="14" fontId="11" fillId="2" borderId="6" xfId="0" applyNumberFormat="1" applyFont="1" applyFill="1" applyBorder="1" applyAlignment="1">
      <alignment horizontal="right" vertical="top"/>
    </xf>
    <xf numFmtId="14" fontId="10" fillId="2" borderId="6" xfId="0" applyNumberFormat="1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0" fillId="2" borderId="0" xfId="0" applyFont="1" applyFill="1" applyAlignment="1">
      <alignment vertical="top" wrapText="1"/>
    </xf>
    <xf numFmtId="0" fontId="11" fillId="2" borderId="6" xfId="0" applyFont="1" applyFill="1" applyBorder="1" applyAlignment="1">
      <alignment horizontal="right" wrapText="1"/>
    </xf>
    <xf numFmtId="0" fontId="11" fillId="2" borderId="6" xfId="0" applyFont="1" applyFill="1" applyBorder="1" applyAlignment="1">
      <alignment horizontal="left"/>
    </xf>
    <xf numFmtId="0" fontId="10" fillId="2" borderId="0" xfId="0" applyFont="1" applyFill="1" applyAlignment="1">
      <alignment horizontal="right"/>
    </xf>
    <xf numFmtId="3" fontId="11" fillId="2" borderId="0" xfId="11" applyNumberFormat="1" applyFont="1" applyFill="1" applyBorder="1" applyAlignment="1">
      <alignment horizontal="right" vertical="top" wrapText="1"/>
    </xf>
    <xf numFmtId="167" fontId="13" fillId="2" borderId="0" xfId="4" applyFont="1" applyFill="1" applyBorder="1"/>
    <xf numFmtId="168" fontId="11" fillId="2" borderId="0" xfId="6" applyFont="1" applyFill="1"/>
    <xf numFmtId="168" fontId="10" fillId="0" borderId="0" xfId="6" applyFont="1" applyFill="1" applyAlignment="1">
      <alignment horizontal="right"/>
    </xf>
    <xf numFmtId="167" fontId="11" fillId="0" borderId="1" xfId="8" applyNumberFormat="1" applyFont="1" applyFill="1" applyBorder="1" applyAlignment="1"/>
    <xf numFmtId="168" fontId="11" fillId="0" borderId="1" xfId="6" applyFont="1" applyFill="1" applyBorder="1" applyAlignment="1">
      <alignment horizontal="right"/>
    </xf>
    <xf numFmtId="0" fontId="11" fillId="0" borderId="1" xfId="2" applyFont="1" applyFill="1" applyBorder="1" applyAlignment="1">
      <alignment horizontal="right"/>
    </xf>
    <xf numFmtId="0" fontId="10" fillId="0" borderId="1" xfId="2" applyFont="1" applyFill="1" applyBorder="1" applyAlignment="1">
      <alignment horizontal="right"/>
    </xf>
    <xf numFmtId="164" fontId="11" fillId="0" borderId="0" xfId="4" applyNumberFormat="1" applyFont="1" applyFill="1" applyBorder="1"/>
    <xf numFmtId="0" fontId="10" fillId="0" borderId="0" xfId="5" applyFont="1" applyFill="1" applyAlignment="1">
      <alignment horizontal="right" vertical="top" wrapText="1"/>
    </xf>
    <xf numFmtId="169" fontId="11" fillId="0" borderId="0" xfId="1" applyFont="1" applyFill="1">
      <alignment horizontal="right" vertical="top"/>
    </xf>
    <xf numFmtId="169" fontId="10" fillId="0" borderId="0" xfId="1" applyFont="1" applyFill="1">
      <alignment horizontal="right" vertical="top"/>
    </xf>
    <xf numFmtId="164" fontId="10" fillId="0" borderId="0" xfId="5" applyNumberFormat="1" applyFont="1" applyFill="1">
      <alignment horizontal="left" vertical="top"/>
    </xf>
    <xf numFmtId="169" fontId="10" fillId="0" borderId="0" xfId="1" applyFont="1" applyFill="1" applyAlignment="1">
      <alignment horizontal="left" vertical="top"/>
    </xf>
    <xf numFmtId="3" fontId="15" fillId="0" borderId="0" xfId="0" applyNumberFormat="1" applyFont="1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164" fontId="11" fillId="0" borderId="4" xfId="5" applyNumberFormat="1" applyFont="1" applyFill="1" applyBorder="1">
      <alignment horizontal="left" vertical="top"/>
    </xf>
    <xf numFmtId="169" fontId="10" fillId="0" borderId="4" xfId="1" applyFont="1" applyFill="1" applyBorder="1" applyAlignment="1">
      <alignment horizontal="left" vertical="top"/>
    </xf>
    <xf numFmtId="0" fontId="11" fillId="0" borderId="4" xfId="5" applyFont="1" applyFill="1" applyBorder="1">
      <alignment horizontal="left" vertical="top"/>
    </xf>
    <xf numFmtId="0" fontId="10" fillId="0" borderId="4" xfId="5" applyFont="1" applyFill="1" applyBorder="1" applyAlignment="1">
      <alignment horizontal="left" vertical="top" wrapText="1"/>
    </xf>
    <xf numFmtId="3" fontId="15" fillId="0" borderId="4" xfId="0" applyNumberFormat="1" applyFont="1" applyFill="1" applyBorder="1" applyAlignment="1">
      <alignment horizontal="right"/>
    </xf>
    <xf numFmtId="3" fontId="14" fillId="0" borderId="4" xfId="0" applyNumberFormat="1" applyFont="1" applyFill="1" applyBorder="1" applyAlignment="1">
      <alignment horizontal="right"/>
    </xf>
    <xf numFmtId="0" fontId="10" fillId="0" borderId="0" xfId="5" applyFont="1" applyFill="1" applyAlignment="1">
      <alignment horizontal="left" vertical="top" wrapText="1"/>
    </xf>
    <xf numFmtId="164" fontId="10" fillId="0" borderId="0" xfId="5" applyNumberFormat="1" applyFont="1" applyFill="1" applyAlignment="1">
      <alignment horizontal="left" vertical="top"/>
    </xf>
    <xf numFmtId="169" fontId="17" fillId="0" borderId="0" xfId="1" applyFont="1" applyFill="1" applyAlignment="1">
      <alignment horizontal="left" vertical="top"/>
    </xf>
    <xf numFmtId="169" fontId="16" fillId="0" borderId="0" xfId="1" applyFont="1" applyFill="1" applyAlignment="1">
      <alignment horizontal="right" vertical="top"/>
    </xf>
    <xf numFmtId="169" fontId="17" fillId="0" borderId="0" xfId="1" applyFont="1" applyFill="1" applyAlignment="1">
      <alignment horizontal="right" vertical="top"/>
    </xf>
    <xf numFmtId="168" fontId="10" fillId="0" borderId="0" xfId="6" applyFont="1" applyFill="1" applyAlignment="1">
      <alignment vertical="top"/>
    </xf>
    <xf numFmtId="169" fontId="18" fillId="0" borderId="0" xfId="1" applyFont="1" applyFill="1" applyAlignment="1">
      <alignment horizontal="right" vertical="top"/>
    </xf>
    <xf numFmtId="169" fontId="19" fillId="0" borderId="0" xfId="1" applyFont="1" applyFill="1" applyAlignment="1">
      <alignment horizontal="right" vertical="top"/>
    </xf>
    <xf numFmtId="164" fontId="10" fillId="0" borderId="0" xfId="5" applyNumberFormat="1" applyFont="1" applyFill="1" applyBorder="1">
      <alignment horizontal="left" vertical="top"/>
    </xf>
    <xf numFmtId="164" fontId="10" fillId="0" borderId="1" xfId="5" applyNumberFormat="1" applyFont="1" applyFill="1" applyBorder="1">
      <alignment horizontal="left" vertical="top"/>
    </xf>
    <xf numFmtId="169" fontId="10" fillId="0" borderId="1" xfId="1" applyFont="1" applyFill="1" applyBorder="1" applyAlignment="1">
      <alignment horizontal="left" vertical="top"/>
    </xf>
    <xf numFmtId="0" fontId="10" fillId="0" borderId="1" xfId="5" applyFont="1" applyFill="1" applyBorder="1">
      <alignment horizontal="left" vertical="top"/>
    </xf>
    <xf numFmtId="167" fontId="10" fillId="0" borderId="1" xfId="5" applyNumberFormat="1" applyFont="1" applyFill="1" applyBorder="1">
      <alignment horizontal="left" vertical="top"/>
    </xf>
    <xf numFmtId="164" fontId="11" fillId="0" borderId="1" xfId="5" applyNumberFormat="1" applyFont="1" applyFill="1" applyBorder="1">
      <alignment horizontal="left" vertical="top"/>
    </xf>
    <xf numFmtId="167" fontId="11" fillId="0" borderId="1" xfId="5" applyNumberFormat="1" applyFont="1" applyFill="1" applyBorder="1">
      <alignment horizontal="left" vertical="top"/>
    </xf>
    <xf numFmtId="0" fontId="11" fillId="0" borderId="0" xfId="5" applyFont="1" applyFill="1" applyAlignment="1">
      <alignment horizontal="left" vertical="top"/>
    </xf>
    <xf numFmtId="169" fontId="11" fillId="0" borderId="4" xfId="1" applyFont="1" applyFill="1" applyBorder="1" applyAlignment="1">
      <alignment horizontal="left" vertical="top"/>
    </xf>
    <xf numFmtId="0" fontId="11" fillId="0" borderId="4" xfId="5" applyFont="1" applyFill="1" applyBorder="1" applyAlignment="1">
      <alignment horizontal="left" vertical="top" wrapText="1"/>
    </xf>
    <xf numFmtId="0" fontId="10" fillId="0" borderId="0" xfId="0" applyFont="1" applyFill="1"/>
    <xf numFmtId="168" fontId="25" fillId="0" borderId="0" xfId="6" applyFont="1" applyFill="1"/>
    <xf numFmtId="168" fontId="11" fillId="0" borderId="0" xfId="6" applyFont="1" applyFill="1" applyAlignment="1">
      <alignment horizontal="center"/>
    </xf>
    <xf numFmtId="168" fontId="11" fillId="0" borderId="0" xfId="6" applyFont="1" applyFill="1"/>
    <xf numFmtId="0" fontId="13" fillId="2" borderId="0" xfId="0" applyFont="1" applyFill="1" applyBorder="1" applyAlignment="1"/>
    <xf numFmtId="0" fontId="11" fillId="2" borderId="6" xfId="0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/>
    </xf>
    <xf numFmtId="3" fontId="11" fillId="2" borderId="7" xfId="0" applyNumberFormat="1" applyFont="1" applyFill="1" applyBorder="1" applyAlignment="1">
      <alignment horizontal="right"/>
    </xf>
    <xf numFmtId="170" fontId="10" fillId="2" borderId="0" xfId="10" applyNumberFormat="1" applyFont="1" applyFill="1"/>
    <xf numFmtId="4" fontId="10" fillId="2" borderId="0" xfId="0" applyNumberFormat="1" applyFont="1" applyFill="1"/>
    <xf numFmtId="0" fontId="10" fillId="2" borderId="0" xfId="0" applyFont="1" applyFill="1" applyAlignment="1">
      <alignment horizontal="left" vertical="top" wrapText="1"/>
    </xf>
    <xf numFmtId="0" fontId="11" fillId="0" borderId="6" xfId="0" applyFont="1" applyFill="1" applyBorder="1" applyAlignment="1">
      <alignment horizontal="right" wrapText="1"/>
    </xf>
    <xf numFmtId="3" fontId="11" fillId="2" borderId="0" xfId="11" applyNumberFormat="1" applyFont="1" applyFill="1" applyBorder="1" applyAlignment="1"/>
    <xf numFmtId="0" fontId="11" fillId="2" borderId="6" xfId="0" applyFont="1" applyFill="1" applyBorder="1" applyAlignment="1">
      <alignment horizontal="right" vertical="top" wrapText="1"/>
    </xf>
    <xf numFmtId="3" fontId="10" fillId="2" borderId="0" xfId="11" applyNumberFormat="1" applyFont="1" applyFill="1" applyBorder="1" applyAlignment="1"/>
    <xf numFmtId="0" fontId="10" fillId="2" borderId="0" xfId="0" quotePrefix="1" applyFont="1" applyFill="1"/>
    <xf numFmtId="0" fontId="13" fillId="2" borderId="0" xfId="0" applyFont="1" applyFill="1" applyBorder="1" applyAlignment="1">
      <alignment horizontal="left"/>
    </xf>
    <xf numFmtId="0" fontId="10" fillId="2" borderId="0" xfId="5" applyFont="1" applyFill="1" applyAlignment="1">
      <alignment horizontal="left" vertical="top"/>
    </xf>
    <xf numFmtId="0" fontId="11" fillId="2" borderId="0" xfId="5" applyFont="1" applyFill="1" applyBorder="1" applyAlignment="1">
      <alignment horizontal="left" vertical="top"/>
    </xf>
    <xf numFmtId="3" fontId="11" fillId="2" borderId="0" xfId="1" applyNumberFormat="1" applyFont="1" applyFill="1" applyBorder="1" applyAlignment="1">
      <alignment horizontal="right" vertical="top" wrapText="1"/>
    </xf>
    <xf numFmtId="0" fontId="10" fillId="2" borderId="8" xfId="0" applyFont="1" applyFill="1" applyBorder="1" applyAlignment="1">
      <alignment vertical="top"/>
    </xf>
    <xf numFmtId="0" fontId="10" fillId="2" borderId="8" xfId="5" applyFont="1" applyFill="1" applyBorder="1" applyAlignment="1">
      <alignment horizontal="left" vertical="top"/>
    </xf>
    <xf numFmtId="0" fontId="11" fillId="2" borderId="7" xfId="0" applyFont="1" applyFill="1" applyBorder="1" applyAlignment="1">
      <alignment horizontal="right"/>
    </xf>
    <xf numFmtId="0" fontId="11" fillId="2" borderId="1" xfId="0" applyFont="1" applyFill="1" applyBorder="1"/>
    <xf numFmtId="0" fontId="10" fillId="2" borderId="0" xfId="0" applyFont="1" applyFill="1" applyAlignment="1">
      <alignment horizontal="left"/>
    </xf>
    <xf numFmtId="0" fontId="10" fillId="2" borderId="1" xfId="0" applyFont="1" applyFill="1" applyBorder="1"/>
    <xf numFmtId="3" fontId="10" fillId="3" borderId="0" xfId="0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>
      <alignment horizontal="right"/>
    </xf>
    <xf numFmtId="0" fontId="11" fillId="2" borderId="6" xfId="0" applyFont="1" applyFill="1" applyBorder="1" applyAlignment="1">
      <alignment horizontal="left" vertical="top" wrapText="1"/>
    </xf>
    <xf numFmtId="3" fontId="10" fillId="2" borderId="0" xfId="0" applyNumberFormat="1" applyFont="1" applyFill="1" applyBorder="1" applyAlignment="1">
      <alignment horizontal="left"/>
    </xf>
    <xf numFmtId="3" fontId="10" fillId="2" borderId="0" xfId="0" applyNumberFormat="1" applyFont="1" applyFill="1" applyAlignment="1">
      <alignment horizontal="left"/>
    </xf>
    <xf numFmtId="3" fontId="10" fillId="2" borderId="0" xfId="1" applyNumberFormat="1" applyFont="1" applyFill="1">
      <alignment horizontal="right" vertical="top"/>
    </xf>
    <xf numFmtId="0" fontId="11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right" vertical="top" wrapText="1"/>
    </xf>
    <xf numFmtId="3" fontId="10" fillId="2" borderId="0" xfId="5" applyNumberFormat="1" applyFont="1" applyFill="1" applyAlignment="1">
      <alignment horizontal="right" vertical="top"/>
    </xf>
    <xf numFmtId="3" fontId="10" fillId="2" borderId="0" xfId="0" quotePrefix="1" applyNumberFormat="1" applyFont="1" applyFill="1" applyBorder="1" applyAlignment="1">
      <alignment horizontal="right" vertical="top" wrapText="1"/>
    </xf>
    <xf numFmtId="3" fontId="10" fillId="2" borderId="0" xfId="0" applyNumberFormat="1" applyFont="1" applyFill="1" applyBorder="1" applyAlignment="1">
      <alignment horizontal="right" vertical="top" wrapText="1"/>
    </xf>
    <xf numFmtId="3" fontId="11" fillId="2" borderId="1" xfId="0" applyNumberFormat="1" applyFont="1" applyFill="1" applyBorder="1" applyAlignment="1">
      <alignment horizontal="right" vertical="top" wrapText="1"/>
    </xf>
    <xf numFmtId="3" fontId="10" fillId="3" borderId="0" xfId="5" applyNumberFormat="1" applyFont="1" applyFill="1" applyAlignment="1">
      <alignment horizontal="right" vertical="top"/>
    </xf>
    <xf numFmtId="3" fontId="10" fillId="3" borderId="0" xfId="0" quotePrefix="1" applyNumberFormat="1" applyFont="1" applyFill="1" applyBorder="1" applyAlignment="1">
      <alignment horizontal="right" vertical="top" wrapText="1"/>
    </xf>
    <xf numFmtId="3" fontId="10" fillId="3" borderId="0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vertical="top" wrapText="1"/>
    </xf>
    <xf numFmtId="3" fontId="10" fillId="3" borderId="1" xfId="11" applyNumberFormat="1" applyFont="1" applyFill="1" applyBorder="1" applyAlignment="1">
      <alignment horizontal="right" vertical="top" wrapText="1"/>
    </xf>
    <xf numFmtId="0" fontId="11" fillId="2" borderId="6" xfId="0" applyFont="1" applyFill="1" applyBorder="1" applyAlignment="1"/>
    <xf numFmtId="3" fontId="11" fillId="2" borderId="0" xfId="0" applyNumberFormat="1" applyFont="1" applyFill="1" applyBorder="1"/>
    <xf numFmtId="3" fontId="10" fillId="2" borderId="0" xfId="0" applyNumberFormat="1" applyFont="1" applyFill="1" applyBorder="1"/>
    <xf numFmtId="1" fontId="11" fillId="2" borderId="7" xfId="11" applyNumberFormat="1" applyFont="1" applyFill="1" applyBorder="1"/>
    <xf numFmtId="1" fontId="10" fillId="2" borderId="7" xfId="11" applyNumberFormat="1" applyFont="1" applyFill="1" applyBorder="1"/>
    <xf numFmtId="3" fontId="10" fillId="2" borderId="0" xfId="11" applyNumberFormat="1" applyFont="1" applyFill="1" applyBorder="1" applyAlignment="1">
      <alignment horizontal="right"/>
    </xf>
    <xf numFmtId="3" fontId="11" fillId="2" borderId="7" xfId="11" applyNumberFormat="1" applyFont="1" applyFill="1" applyBorder="1" applyAlignment="1">
      <alignment horizontal="right"/>
    </xf>
    <xf numFmtId="0" fontId="11" fillId="2" borderId="6" xfId="0" applyFont="1" applyFill="1" applyBorder="1" applyAlignment="1">
      <alignment horizontal="center" vertical="top" wrapText="1"/>
    </xf>
    <xf numFmtId="3" fontId="10" fillId="2" borderId="0" xfId="0" applyNumberFormat="1" applyFont="1" applyFill="1" applyBorder="1" applyAlignment="1">
      <alignment horizontal="right" wrapText="1"/>
    </xf>
    <xf numFmtId="0" fontId="13" fillId="2" borderId="0" xfId="0" applyFont="1" applyFill="1" applyBorder="1"/>
    <xf numFmtId="0" fontId="10" fillId="2" borderId="2" xfId="0" applyFont="1" applyFill="1" applyBorder="1"/>
    <xf numFmtId="49" fontId="11" fillId="2" borderId="0" xfId="0" applyNumberFormat="1" applyFont="1" applyFill="1" applyBorder="1"/>
    <xf numFmtId="0" fontId="11" fillId="2" borderId="6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/>
    </xf>
    <xf numFmtId="170" fontId="10" fillId="2" borderId="0" xfId="0" applyNumberFormat="1" applyFont="1" applyFill="1" applyBorder="1" applyAlignment="1">
      <alignment horizontal="right"/>
    </xf>
    <xf numFmtId="0" fontId="11" fillId="2" borderId="7" xfId="0" applyFont="1" applyFill="1" applyBorder="1" applyAlignment="1">
      <alignment vertical="top" wrapText="1"/>
    </xf>
    <xf numFmtId="0" fontId="11" fillId="2" borderId="7" xfId="0" applyFont="1" applyFill="1" applyBorder="1" applyAlignment="1">
      <alignment horizontal="center"/>
    </xf>
    <xf numFmtId="3" fontId="11" fillId="2" borderId="7" xfId="0" applyNumberFormat="1" applyFont="1" applyFill="1" applyBorder="1"/>
    <xf numFmtId="170" fontId="11" fillId="2" borderId="7" xfId="0" applyNumberFormat="1" applyFont="1" applyFill="1" applyBorder="1"/>
    <xf numFmtId="3" fontId="15" fillId="2" borderId="7" xfId="0" applyNumberFormat="1" applyFont="1" applyFill="1" applyBorder="1" applyAlignment="1"/>
    <xf numFmtId="170" fontId="11" fillId="2" borderId="7" xfId="0" applyNumberFormat="1" applyFont="1" applyFill="1" applyBorder="1" applyAlignment="1"/>
    <xf numFmtId="170" fontId="11" fillId="2" borderId="7" xfId="10" applyNumberFormat="1" applyFont="1" applyFill="1" applyBorder="1" applyAlignment="1"/>
    <xf numFmtId="3" fontId="15" fillId="2" borderId="0" xfId="0" applyNumberFormat="1" applyFont="1" applyFill="1" applyBorder="1" applyAlignment="1"/>
    <xf numFmtId="9" fontId="11" fillId="2" borderId="0" xfId="0" applyNumberFormat="1" applyFont="1" applyFill="1" applyBorder="1" applyAlignment="1"/>
    <xf numFmtId="9" fontId="11" fillId="2" borderId="0" xfId="10" applyFont="1" applyFill="1" applyBorder="1" applyAlignment="1"/>
    <xf numFmtId="0" fontId="13" fillId="2" borderId="0" xfId="12" applyFont="1" applyFill="1"/>
    <xf numFmtId="0" fontId="10" fillId="2" borderId="0" xfId="12" applyFont="1" applyFill="1"/>
    <xf numFmtId="0" fontId="10" fillId="2" borderId="0" xfId="12" applyFont="1" applyFill="1" applyBorder="1"/>
    <xf numFmtId="0" fontId="10" fillId="2" borderId="0" xfId="12" applyFont="1" applyFill="1" applyBorder="1" applyAlignment="1">
      <alignment horizontal="left" vertical="top"/>
    </xf>
    <xf numFmtId="0" fontId="11" fillId="2" borderId="0" xfId="12" applyFont="1" applyFill="1" applyBorder="1" applyAlignment="1">
      <alignment horizontal="left" vertical="top"/>
    </xf>
    <xf numFmtId="3" fontId="11" fillId="2" borderId="0" xfId="12" applyNumberFormat="1" applyFont="1" applyFill="1" applyBorder="1" applyAlignment="1">
      <alignment horizontal="right" vertical="top" wrapText="1"/>
    </xf>
    <xf numFmtId="9" fontId="12" fillId="2" borderId="0" xfId="10" applyFont="1" applyFill="1" applyBorder="1" applyAlignment="1">
      <alignment horizontal="right" vertical="top" wrapText="1"/>
    </xf>
    <xf numFmtId="9" fontId="11" fillId="2" borderId="0" xfId="10" applyFont="1" applyFill="1" applyBorder="1" applyAlignment="1">
      <alignment horizontal="right" vertical="top" wrapText="1"/>
    </xf>
    <xf numFmtId="14" fontId="11" fillId="2" borderId="0" xfId="0" applyNumberFormat="1" applyFont="1" applyFill="1"/>
    <xf numFmtId="0" fontId="11" fillId="2" borderId="0" xfId="0" applyFont="1" applyFill="1" applyAlignment="1">
      <alignment horizontal="left"/>
    </xf>
    <xf numFmtId="0" fontId="25" fillId="0" borderId="0" xfId="0" applyFont="1" applyAlignment="1">
      <alignment horizontal="center"/>
    </xf>
    <xf numFmtId="0" fontId="10" fillId="2" borderId="6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vertical="top" wrapText="1"/>
    </xf>
    <xf numFmtId="0" fontId="21" fillId="2" borderId="0" xfId="0" applyFont="1" applyFill="1"/>
    <xf numFmtId="9" fontId="10" fillId="2" borderId="0" xfId="10" applyFont="1" applyFill="1" applyBorder="1" applyAlignment="1">
      <alignment horizontal="right" wrapText="1"/>
    </xf>
    <xf numFmtId="3" fontId="10" fillId="2" borderId="0" xfId="10" applyNumberFormat="1" applyFont="1" applyFill="1"/>
    <xf numFmtId="0" fontId="10" fillId="2" borderId="7" xfId="0" applyFont="1" applyFill="1" applyBorder="1" applyAlignment="1">
      <alignment horizontal="left"/>
    </xf>
    <xf numFmtId="3" fontId="11" fillId="2" borderId="7" xfId="0" applyNumberFormat="1" applyFont="1" applyFill="1" applyBorder="1" applyAlignment="1">
      <alignment horizontal="right" wrapText="1"/>
    </xf>
    <xf numFmtId="3" fontId="10" fillId="2" borderId="7" xfId="0" applyNumberFormat="1" applyFont="1" applyFill="1" applyBorder="1" applyAlignment="1">
      <alignment horizontal="right" wrapText="1"/>
    </xf>
    <xf numFmtId="0" fontId="10" fillId="2" borderId="7" xfId="0" applyFont="1" applyFill="1" applyBorder="1"/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right" vertical="top" wrapText="1"/>
    </xf>
    <xf numFmtId="3" fontId="11" fillId="2" borderId="0" xfId="0" applyNumberFormat="1" applyFont="1" applyFill="1" applyBorder="1" applyAlignment="1">
      <alignment horizontal="right" vertical="top" wrapText="1"/>
    </xf>
    <xf numFmtId="3" fontId="11" fillId="2" borderId="6" xfId="0" applyNumberFormat="1" applyFont="1" applyFill="1" applyBorder="1" applyAlignment="1">
      <alignment horizontal="right" vertical="top" wrapText="1"/>
    </xf>
    <xf numFmtId="170" fontId="11" fillId="2" borderId="0" xfId="11" applyNumberFormat="1" applyFont="1" applyFill="1" applyBorder="1" applyAlignment="1"/>
    <xf numFmtId="3" fontId="11" fillId="2" borderId="0" xfId="0" applyNumberFormat="1" applyFont="1" applyFill="1" applyBorder="1" applyAlignment="1">
      <alignment horizontal="right" vertical="center" wrapText="1"/>
    </xf>
    <xf numFmtId="170" fontId="11" fillId="2" borderId="7" xfId="10" applyNumberFormat="1" applyFont="1" applyFill="1" applyBorder="1"/>
    <xf numFmtId="171" fontId="10" fillId="2" borderId="0" xfId="11" applyNumberFormat="1" applyFont="1" applyFill="1" applyBorder="1" applyAlignment="1"/>
    <xf numFmtId="10" fontId="10" fillId="2" borderId="0" xfId="11" applyNumberFormat="1" applyFont="1" applyFill="1" applyBorder="1" applyAlignment="1"/>
    <xf numFmtId="0" fontId="13" fillId="2" borderId="3" xfId="0" applyFont="1" applyFill="1" applyBorder="1"/>
    <xf numFmtId="0" fontId="13" fillId="2" borderId="2" xfId="0" applyFont="1" applyFill="1" applyBorder="1"/>
    <xf numFmtId="0" fontId="11" fillId="2" borderId="0" xfId="0" applyFont="1" applyFill="1" applyBorder="1" applyAlignment="1">
      <alignment vertical="top"/>
    </xf>
    <xf numFmtId="0" fontId="10" fillId="2" borderId="0" xfId="9" applyFont="1" applyFill="1"/>
    <xf numFmtId="0" fontId="10" fillId="0" borderId="0" xfId="7" applyFont="1" applyFill="1"/>
    <xf numFmtId="0" fontId="11" fillId="2" borderId="5" xfId="0" applyFont="1" applyFill="1" applyBorder="1" applyAlignment="1">
      <alignment vertical="top"/>
    </xf>
    <xf numFmtId="0" fontId="10" fillId="2" borderId="5" xfId="7" applyFont="1" applyFill="1" applyBorder="1"/>
    <xf numFmtId="3" fontId="10" fillId="2" borderId="5" xfId="7" applyNumberFormat="1" applyFont="1" applyFill="1" applyBorder="1"/>
    <xf numFmtId="0" fontId="11" fillId="2" borderId="7" xfId="0" applyFont="1" applyFill="1" applyBorder="1" applyAlignment="1">
      <alignment vertical="top"/>
    </xf>
    <xf numFmtId="0" fontId="11" fillId="2" borderId="7" xfId="7" applyFont="1" applyFill="1" applyBorder="1" applyAlignment="1">
      <alignment horizontal="justify"/>
    </xf>
    <xf numFmtId="3" fontId="11" fillId="2" borderId="7" xfId="7" applyNumberFormat="1" applyFont="1" applyFill="1" applyBorder="1"/>
    <xf numFmtId="0" fontId="11" fillId="2" borderId="7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14" fontId="11" fillId="2" borderId="0" xfId="0" applyNumberFormat="1" applyFont="1" applyFill="1" applyBorder="1" applyAlignment="1">
      <alignment horizontal="right" vertical="top"/>
    </xf>
    <xf numFmtId="0" fontId="10" fillId="3" borderId="0" xfId="11" applyNumberFormat="1" applyFont="1" applyFill="1" applyBorder="1" applyAlignment="1">
      <alignment horizontal="right" wrapText="1"/>
    </xf>
    <xf numFmtId="3" fontId="10" fillId="3" borderId="0" xfId="11" applyNumberFormat="1" applyFont="1" applyFill="1" applyBorder="1" applyAlignment="1">
      <alignment horizontal="right" wrapText="1"/>
    </xf>
    <xf numFmtId="0" fontId="11" fillId="3" borderId="6" xfId="0" applyFont="1" applyFill="1" applyBorder="1" applyAlignment="1">
      <alignment horizontal="right" wrapText="1"/>
    </xf>
    <xf numFmtId="3" fontId="11" fillId="3" borderId="7" xfId="0" applyNumberFormat="1" applyFont="1" applyFill="1" applyBorder="1"/>
    <xf numFmtId="3" fontId="10" fillId="3" borderId="7" xfId="0" applyNumberFormat="1" applyFont="1" applyFill="1" applyBorder="1"/>
    <xf numFmtId="3" fontId="11" fillId="2" borderId="6" xfId="0" applyNumberFormat="1" applyFont="1" applyFill="1" applyBorder="1" applyAlignment="1">
      <alignment horizontal="right" wrapText="1"/>
    </xf>
    <xf numFmtId="3" fontId="10" fillId="2" borderId="6" xfId="0" applyNumberFormat="1" applyFont="1" applyFill="1" applyBorder="1" applyAlignment="1">
      <alignment horizontal="right" wrapText="1"/>
    </xf>
    <xf numFmtId="171" fontId="11" fillId="2" borderId="7" xfId="11" applyNumberFormat="1" applyFont="1" applyFill="1" applyBorder="1" applyAlignment="1">
      <alignment horizontal="right" vertical="top" wrapText="1"/>
    </xf>
    <xf numFmtId="171" fontId="10" fillId="2" borderId="7" xfId="11" applyNumberFormat="1" applyFont="1" applyFill="1" applyBorder="1" applyAlignment="1">
      <alignment horizontal="right" vertical="top" wrapText="1"/>
    </xf>
    <xf numFmtId="14" fontId="11" fillId="0" borderId="6" xfId="0" applyNumberFormat="1" applyFont="1" applyBorder="1" applyAlignment="1">
      <alignment horizontal="right"/>
    </xf>
    <xf numFmtId="14" fontId="10" fillId="0" borderId="6" xfId="0" applyNumberFormat="1" applyFont="1" applyBorder="1" applyAlignment="1">
      <alignment horizontal="right"/>
    </xf>
    <xf numFmtId="0" fontId="10" fillId="0" borderId="0" xfId="0" applyFont="1" applyBorder="1"/>
    <xf numFmtId="0" fontId="10" fillId="0" borderId="1" xfId="0" applyFont="1" applyBorder="1"/>
    <xf numFmtId="0" fontId="10" fillId="2" borderId="0" xfId="0" applyFont="1" applyFill="1"/>
    <xf numFmtId="0" fontId="22" fillId="4" borderId="9" xfId="0" applyFont="1" applyFill="1" applyBorder="1" applyAlignment="1">
      <alignment horizontal="left"/>
    </xf>
    <xf numFmtId="0" fontId="23" fillId="4" borderId="9" xfId="0" applyFont="1" applyFill="1" applyBorder="1" applyAlignment="1">
      <alignment horizontal="center"/>
    </xf>
    <xf numFmtId="0" fontId="24" fillId="4" borderId="9" xfId="0" applyFont="1" applyFill="1" applyBorder="1" applyAlignment="1">
      <alignment horizontal="right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0" fontId="23" fillId="4" borderId="0" xfId="0" applyFont="1" applyFill="1" applyAlignment="1">
      <alignment horizontal="right"/>
    </xf>
    <xf numFmtId="0" fontId="10" fillId="2" borderId="0" xfId="0" applyFont="1" applyFill="1"/>
    <xf numFmtId="0" fontId="10" fillId="2" borderId="6" xfId="0" applyFont="1" applyFill="1" applyBorder="1" applyAlignment="1">
      <alignment horizontal="left"/>
    </xf>
    <xf numFmtId="0" fontId="27" fillId="3" borderId="0" xfId="0" applyFont="1" applyFill="1"/>
    <xf numFmtId="0" fontId="25" fillId="3" borderId="0" xfId="0" applyFont="1" applyFill="1" applyAlignment="1">
      <alignment horizontal="right"/>
    </xf>
    <xf numFmtId="0" fontId="25" fillId="3" borderId="0" xfId="0" applyFont="1" applyFill="1"/>
    <xf numFmtId="0" fontId="26" fillId="3" borderId="0" xfId="0" applyFont="1" applyFill="1" applyAlignment="1">
      <alignment horizontal="center"/>
    </xf>
    <xf numFmtId="0" fontId="27" fillId="3" borderId="0" xfId="0" applyFont="1" applyFill="1" applyAlignment="1">
      <alignment horizontal="right"/>
    </xf>
    <xf numFmtId="0" fontId="25" fillId="5" borderId="0" xfId="0" applyFont="1" applyFill="1" applyAlignment="1">
      <alignment horizontal="right"/>
    </xf>
    <xf numFmtId="0" fontId="27" fillId="5" borderId="0" xfId="0" applyFont="1" applyFill="1"/>
    <xf numFmtId="0" fontId="27" fillId="3" borderId="0" xfId="0" applyNumberFormat="1" applyFont="1" applyFill="1"/>
    <xf numFmtId="0" fontId="27" fillId="5" borderId="0" xfId="0" applyFont="1" applyFill="1" applyAlignment="1">
      <alignment horizontal="right"/>
    </xf>
    <xf numFmtId="0" fontId="29" fillId="2" borderId="0" xfId="0" applyFont="1" applyFill="1"/>
    <xf numFmtId="0" fontId="25" fillId="2" borderId="0" xfId="0" applyFont="1" applyFill="1"/>
    <xf numFmtId="0" fontId="10" fillId="2" borderId="0" xfId="0" applyFont="1" applyFill="1"/>
    <xf numFmtId="3" fontId="10" fillId="3" borderId="5" xfId="0" applyNumberFormat="1" applyFont="1" applyFill="1" applyBorder="1"/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Border="1" applyAlignment="1">
      <alignment wrapText="1"/>
    </xf>
    <xf numFmtId="0" fontId="10" fillId="2" borderId="0" xfId="0" applyFont="1" applyFill="1"/>
    <xf numFmtId="0" fontId="20" fillId="3" borderId="0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right" vertical="top" wrapText="1"/>
    </xf>
    <xf numFmtId="0" fontId="11" fillId="3" borderId="0" xfId="0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right" wrapText="1"/>
    </xf>
    <xf numFmtId="0" fontId="10" fillId="3" borderId="6" xfId="0" applyFont="1" applyFill="1" applyBorder="1" applyAlignment="1">
      <alignment horizontal="left" wrapText="1"/>
    </xf>
    <xf numFmtId="0" fontId="11" fillId="3" borderId="6" xfId="0" applyFont="1" applyFill="1" applyBorder="1" applyAlignment="1">
      <alignment horizontal="left" wrapText="1"/>
    </xf>
    <xf numFmtId="14" fontId="11" fillId="3" borderId="6" xfId="0" applyNumberFormat="1" applyFont="1" applyFill="1" applyBorder="1" applyAlignment="1">
      <alignment horizontal="right"/>
    </xf>
    <xf numFmtId="14" fontId="10" fillId="3" borderId="6" xfId="0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wrapText="1"/>
    </xf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 wrapText="1"/>
    </xf>
    <xf numFmtId="3" fontId="10" fillId="3" borderId="5" xfId="0" applyNumberFormat="1" applyFont="1" applyFill="1" applyBorder="1" applyAlignment="1">
      <alignment wrapText="1"/>
    </xf>
    <xf numFmtId="0" fontId="10" fillId="3" borderId="5" xfId="0" applyFont="1" applyFill="1" applyBorder="1" applyAlignment="1">
      <alignment wrapText="1"/>
    </xf>
    <xf numFmtId="3" fontId="11" fillId="3" borderId="0" xfId="0" applyNumberFormat="1" applyFont="1" applyFill="1" applyBorder="1" applyAlignment="1">
      <alignment wrapText="1"/>
    </xf>
    <xf numFmtId="3" fontId="10" fillId="3" borderId="0" xfId="0" applyNumberFormat="1" applyFont="1" applyFill="1" applyAlignment="1"/>
    <xf numFmtId="3" fontId="10" fillId="3" borderId="0" xfId="0" applyNumberFormat="1" applyFont="1" applyFill="1" applyBorder="1" applyAlignment="1"/>
    <xf numFmtId="0" fontId="11" fillId="3" borderId="7" xfId="0" applyFont="1" applyFill="1" applyBorder="1" applyAlignment="1"/>
    <xf numFmtId="0" fontId="10" fillId="3" borderId="7" xfId="0" applyFont="1" applyFill="1" applyBorder="1" applyAlignment="1"/>
    <xf numFmtId="3" fontId="11" fillId="3" borderId="7" xfId="0" applyNumberFormat="1" applyFont="1" applyFill="1" applyBorder="1" applyAlignment="1"/>
    <xf numFmtId="0" fontId="10" fillId="2" borderId="0" xfId="0" applyFont="1" applyFill="1"/>
    <xf numFmtId="0" fontId="10" fillId="2" borderId="0" xfId="0" applyFont="1" applyFill="1"/>
    <xf numFmtId="0" fontId="13" fillId="2" borderId="0" xfId="0" applyFont="1" applyFill="1" applyAlignment="1">
      <alignment horizontal="left" vertical="top" wrapText="1"/>
    </xf>
    <xf numFmtId="0" fontId="11" fillId="2" borderId="6" xfId="0" applyFont="1" applyFill="1" applyBorder="1" applyAlignment="1">
      <alignment horizontal="righ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/>
    </xf>
    <xf numFmtId="170" fontId="10" fillId="2" borderId="0" xfId="11" applyNumberFormat="1" applyFont="1" applyFill="1" applyBorder="1" applyAlignment="1"/>
    <xf numFmtId="3" fontId="10" fillId="2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167" fontId="10" fillId="0" borderId="0" xfId="8" applyNumberFormat="1" applyFont="1" applyFill="1" applyBorder="1" applyAlignment="1">
      <alignment horizontal="left" vertical="top"/>
    </xf>
    <xf numFmtId="0" fontId="11" fillId="2" borderId="10" xfId="0" applyFont="1" applyFill="1" applyBorder="1" applyAlignment="1">
      <alignment horizontal="left"/>
    </xf>
    <xf numFmtId="171" fontId="11" fillId="2" borderId="0" xfId="11" applyNumberFormat="1" applyFont="1" applyFill="1" applyBorder="1"/>
    <xf numFmtId="171" fontId="11" fillId="2" borderId="7" xfId="11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vertical="top" wrapText="1"/>
    </xf>
    <xf numFmtId="0" fontId="10" fillId="0" borderId="0" xfId="0" applyFont="1" applyFill="1"/>
    <xf numFmtId="0" fontId="11" fillId="2" borderId="6" xfId="0" applyFont="1" applyFill="1" applyBorder="1" applyAlignment="1">
      <alignment horizontal="right" vertical="top" wrapText="1"/>
    </xf>
    <xf numFmtId="0" fontId="4" fillId="0" borderId="0" xfId="0" applyFont="1" applyFill="1"/>
    <xf numFmtId="167" fontId="4" fillId="0" borderId="0" xfId="8" applyNumberFormat="1" applyFont="1" applyFill="1" applyAlignment="1">
      <alignment vertical="top"/>
    </xf>
    <xf numFmtId="0" fontId="4" fillId="0" borderId="0" xfId="5" applyFont="1" applyFill="1">
      <alignment horizontal="left" vertical="top"/>
    </xf>
    <xf numFmtId="0" fontId="4" fillId="0" borderId="0" xfId="5" applyFont="1" applyFill="1" applyAlignment="1">
      <alignment horizontal="left" vertical="top" wrapText="1"/>
    </xf>
    <xf numFmtId="169" fontId="4" fillId="0" borderId="0" xfId="1" applyFont="1" applyFill="1">
      <alignment horizontal="right" vertical="top"/>
    </xf>
    <xf numFmtId="3" fontId="10" fillId="0" borderId="0" xfId="0" applyNumberFormat="1" applyFont="1" applyBorder="1"/>
    <xf numFmtId="3" fontId="10" fillId="0" borderId="1" xfId="0" applyNumberFormat="1" applyFont="1" applyBorder="1"/>
    <xf numFmtId="3" fontId="11" fillId="0" borderId="1" xfId="0" applyNumberFormat="1" applyFont="1" applyBorder="1"/>
    <xf numFmtId="0" fontId="11" fillId="0" borderId="11" xfId="0" applyFont="1" applyBorder="1"/>
    <xf numFmtId="3" fontId="11" fillId="0" borderId="11" xfId="0" applyNumberFormat="1" applyFont="1" applyBorder="1"/>
    <xf numFmtId="3" fontId="11" fillId="0" borderId="0" xfId="0" applyNumberFormat="1" applyFont="1" applyBorder="1"/>
    <xf numFmtId="0" fontId="11" fillId="2" borderId="6" xfId="0" applyFont="1" applyFill="1" applyBorder="1" applyAlignment="1">
      <alignment horizontal="right" wrapText="1"/>
    </xf>
    <xf numFmtId="0" fontId="13" fillId="0" borderId="0" xfId="0" applyFont="1" applyFill="1" applyAlignment="1">
      <alignment horizontal="right" vertical="top" wrapText="1"/>
    </xf>
    <xf numFmtId="3" fontId="11" fillId="3" borderId="0" xfId="0" applyNumberFormat="1" applyFont="1" applyFill="1"/>
    <xf numFmtId="0" fontId="13" fillId="3" borderId="0" xfId="0" applyFont="1" applyFill="1" applyBorder="1"/>
    <xf numFmtId="3" fontId="11" fillId="3" borderId="7" xfId="0" applyNumberFormat="1" applyFont="1" applyFill="1" applyBorder="1" applyAlignment="1">
      <alignment horizontal="right"/>
    </xf>
    <xf numFmtId="0" fontId="13" fillId="3" borderId="0" xfId="0" applyFont="1" applyFill="1" applyAlignment="1">
      <alignment horizontal="right" vertical="top" wrapText="1"/>
    </xf>
    <xf numFmtId="0" fontId="10" fillId="2" borderId="0" xfId="0" applyFont="1" applyFill="1"/>
    <xf numFmtId="0" fontId="10" fillId="2" borderId="0" xfId="0" applyFont="1" applyFill="1"/>
    <xf numFmtId="0" fontId="13" fillId="3" borderId="0" xfId="0" applyFont="1" applyFill="1"/>
    <xf numFmtId="0" fontId="11" fillId="3" borderId="6" xfId="0" applyFont="1" applyFill="1" applyBorder="1" applyAlignment="1">
      <alignment horizontal="left"/>
    </xf>
    <xf numFmtId="0" fontId="10" fillId="3" borderId="6" xfId="0" applyFont="1" applyFill="1" applyBorder="1" applyAlignment="1"/>
    <xf numFmtId="3" fontId="11" fillId="3" borderId="7" xfId="11" applyNumberFormat="1" applyFont="1" applyFill="1" applyBorder="1" applyAlignment="1">
      <alignment horizontal="right" wrapText="1"/>
    </xf>
    <xf numFmtId="0" fontId="10" fillId="3" borderId="0" xfId="0" applyFont="1" applyFill="1" applyBorder="1" applyAlignment="1">
      <alignment horizontal="right"/>
    </xf>
    <xf numFmtId="14" fontId="11" fillId="0" borderId="0" xfId="0" applyNumberFormat="1" applyFont="1" applyFill="1" applyAlignment="1">
      <alignment horizontal="left"/>
    </xf>
    <xf numFmtId="3" fontId="10" fillId="2" borderId="7" xfId="0" applyNumberFormat="1" applyFont="1" applyFill="1" applyBorder="1" applyAlignment="1"/>
    <xf numFmtId="0" fontId="12" fillId="3" borderId="0" xfId="0" applyFont="1" applyFill="1" applyBorder="1" applyAlignment="1">
      <alignment horizontal="left"/>
    </xf>
    <xf numFmtId="2" fontId="10" fillId="3" borderId="0" xfId="0" applyNumberFormat="1" applyFont="1" applyFill="1"/>
    <xf numFmtId="172" fontId="10" fillId="3" borderId="0" xfId="0" applyNumberFormat="1" applyFont="1" applyFill="1"/>
    <xf numFmtId="3" fontId="10" fillId="3" borderId="7" xfId="0" applyNumberFormat="1" applyFont="1" applyFill="1" applyBorder="1" applyAlignment="1"/>
    <xf numFmtId="172" fontId="10" fillId="3" borderId="5" xfId="0" applyNumberFormat="1" applyFont="1" applyFill="1" applyBorder="1"/>
    <xf numFmtId="3" fontId="11" fillId="2" borderId="0" xfId="0" applyNumberFormat="1" applyFont="1" applyFill="1"/>
    <xf numFmtId="0" fontId="10" fillId="3" borderId="5" xfId="0" applyFont="1" applyFill="1" applyBorder="1"/>
    <xf numFmtId="0" fontId="11" fillId="3" borderId="5" xfId="0" applyFont="1" applyFill="1" applyBorder="1"/>
    <xf numFmtId="3" fontId="10" fillId="3" borderId="0" xfId="0" applyNumberFormat="1" applyFont="1" applyFill="1" applyBorder="1"/>
    <xf numFmtId="3" fontId="10" fillId="3" borderId="0" xfId="7" applyNumberFormat="1" applyFont="1" applyFill="1"/>
    <xf numFmtId="0" fontId="11" fillId="3" borderId="0" xfId="0" applyFont="1" applyFill="1" applyBorder="1"/>
    <xf numFmtId="3" fontId="10" fillId="0" borderId="11" xfId="0" applyNumberFormat="1" applyFont="1" applyBorder="1"/>
    <xf numFmtId="0" fontId="10" fillId="2" borderId="0" xfId="0" applyFont="1" applyFill="1" applyBorder="1" applyAlignment="1">
      <alignment horizontal="left" vertical="top"/>
    </xf>
    <xf numFmtId="0" fontId="10" fillId="3" borderId="0" xfId="0" applyFont="1" applyFill="1"/>
    <xf numFmtId="3" fontId="11" fillId="3" borderId="0" xfId="0" applyNumberFormat="1" applyFont="1" applyFill="1" applyBorder="1" applyAlignment="1">
      <alignment horizontal="right" wrapText="1"/>
    </xf>
    <xf numFmtId="3" fontId="10" fillId="3" borderId="0" xfId="0" applyNumberFormat="1" applyFont="1" applyFill="1" applyBorder="1" applyAlignment="1">
      <alignment horizontal="right" wrapText="1"/>
    </xf>
    <xf numFmtId="0" fontId="11" fillId="2" borderId="6" xfId="0" applyFont="1" applyFill="1" applyBorder="1" applyAlignment="1">
      <alignment horizontal="left" wrapText="1"/>
    </xf>
    <xf numFmtId="3" fontId="11" fillId="2" borderId="0" xfId="13" applyNumberFormat="1" applyFont="1" applyFill="1" applyBorder="1" applyAlignment="1"/>
    <xf numFmtId="3" fontId="11" fillId="2" borderId="7" xfId="13" applyNumberFormat="1" applyFont="1" applyFill="1" applyBorder="1" applyAlignment="1"/>
    <xf numFmtId="0" fontId="11" fillId="2" borderId="6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/>
    </xf>
    <xf numFmtId="3" fontId="11" fillId="2" borderId="12" xfId="0" applyNumberFormat="1" applyFont="1" applyFill="1" applyBorder="1" applyAlignment="1">
      <alignment horizontal="right"/>
    </xf>
    <xf numFmtId="170" fontId="10" fillId="3" borderId="0" xfId="10" applyNumberFormat="1" applyFont="1" applyFill="1" applyBorder="1" applyAlignment="1"/>
    <xf numFmtId="170" fontId="10" fillId="2" borderId="0" xfId="10" applyNumberFormat="1" applyFont="1" applyFill="1" applyBorder="1" applyAlignment="1"/>
    <xf numFmtId="1" fontId="10" fillId="2" borderId="0" xfId="5" applyNumberFormat="1" applyFont="1" applyFill="1" applyBorder="1" applyAlignment="1"/>
    <xf numFmtId="0" fontId="12" fillId="3" borderId="0" xfId="0" applyFont="1" applyFill="1"/>
    <xf numFmtId="0" fontId="10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/>
    </xf>
    <xf numFmtId="170" fontId="11" fillId="2" borderId="0" xfId="0" applyNumberFormat="1" applyFont="1" applyFill="1" applyBorder="1"/>
    <xf numFmtId="3" fontId="10" fillId="0" borderId="0" xfId="0" applyNumberFormat="1" applyFont="1" applyFill="1" applyBorder="1" applyAlignment="1">
      <alignment horizontal="right" vertical="top" wrapText="1"/>
    </xf>
    <xf numFmtId="3" fontId="11" fillId="0" borderId="7" xfId="11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right" vertical="top" wrapText="1"/>
    </xf>
    <xf numFmtId="0" fontId="0" fillId="3" borderId="0" xfId="0" applyFill="1"/>
    <xf numFmtId="0" fontId="0" fillId="3" borderId="0" xfId="0" applyFont="1" applyFill="1"/>
    <xf numFmtId="0" fontId="0" fillId="3" borderId="0" xfId="0" applyFont="1" applyFill="1" applyBorder="1"/>
    <xf numFmtId="0" fontId="33" fillId="3" borderId="0" xfId="0" applyFont="1" applyFill="1" applyBorder="1" applyAlignment="1"/>
    <xf numFmtId="0" fontId="0" fillId="3" borderId="0" xfId="0" applyFont="1" applyFill="1" applyBorder="1" applyAlignment="1"/>
    <xf numFmtId="0" fontId="4" fillId="0" borderId="14" xfId="5" applyFont="1" applyFill="1" applyBorder="1">
      <alignment horizontal="left" vertical="top"/>
    </xf>
    <xf numFmtId="0" fontId="35" fillId="3" borderId="0" xfId="0" applyFont="1" applyFill="1" applyBorder="1" applyAlignment="1">
      <alignment vertical="center"/>
    </xf>
    <xf numFmtId="0" fontId="10" fillId="3" borderId="0" xfId="0" quotePrefix="1" applyFont="1" applyFill="1" applyBorder="1" applyAlignment="1">
      <alignment horizontal="right" wrapText="1"/>
    </xf>
    <xf numFmtId="0" fontId="13" fillId="3" borderId="14" xfId="0" applyFont="1" applyFill="1" applyBorder="1" applyAlignment="1">
      <alignment horizontal="right"/>
    </xf>
    <xf numFmtId="0" fontId="36" fillId="3" borderId="14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vertical="top" wrapText="1"/>
    </xf>
    <xf numFmtId="0" fontId="38" fillId="3" borderId="0" xfId="0" applyFont="1" applyFill="1" applyBorder="1" applyAlignment="1">
      <alignment vertical="top" wrapText="1"/>
    </xf>
    <xf numFmtId="0" fontId="38" fillId="3" borderId="0" xfId="0" applyFont="1" applyFill="1" applyBorder="1" applyAlignment="1">
      <alignment vertical="top"/>
    </xf>
    <xf numFmtId="0" fontId="38" fillId="3" borderId="0" xfId="0" applyFont="1" applyFill="1" applyBorder="1" applyAlignment="1">
      <alignment wrapText="1"/>
    </xf>
    <xf numFmtId="10" fontId="10" fillId="3" borderId="0" xfId="0" applyNumberFormat="1" applyFont="1" applyFill="1" applyBorder="1"/>
    <xf numFmtId="0" fontId="36" fillId="3" borderId="14" xfId="0" applyFont="1" applyFill="1" applyBorder="1" applyAlignment="1">
      <alignment horizontal="right" vertical="center"/>
    </xf>
    <xf numFmtId="0" fontId="38" fillId="3" borderId="14" xfId="0" applyFont="1" applyFill="1" applyBorder="1"/>
    <xf numFmtId="0" fontId="10" fillId="3" borderId="0" xfId="0" applyFont="1" applyFill="1" applyBorder="1" applyAlignment="1">
      <alignment horizontal="right" vertical="top" wrapText="1"/>
    </xf>
    <xf numFmtId="0" fontId="10" fillId="3" borderId="0" xfId="0" applyFont="1" applyFill="1" applyBorder="1" applyAlignment="1">
      <alignment horizontal="right" vertical="top"/>
    </xf>
    <xf numFmtId="0" fontId="38" fillId="3" borderId="0" xfId="0" applyFont="1" applyFill="1" applyBorder="1" applyAlignment="1">
      <alignment horizontal="right" wrapText="1"/>
    </xf>
    <xf numFmtId="0" fontId="11" fillId="3" borderId="14" xfId="0" applyFont="1" applyFill="1" applyBorder="1" applyAlignment="1">
      <alignment horizontal="left"/>
    </xf>
    <xf numFmtId="0" fontId="38" fillId="3" borderId="0" xfId="0" applyFont="1" applyFill="1" applyBorder="1" applyAlignment="1"/>
    <xf numFmtId="0" fontId="38" fillId="3" borderId="0" xfId="0" applyFont="1" applyFill="1" applyBorder="1" applyAlignment="1">
      <alignment horizontal="right"/>
    </xf>
    <xf numFmtId="0" fontId="39" fillId="3" borderId="0" xfId="0" applyFont="1" applyFill="1" applyBorder="1" applyAlignment="1">
      <alignment horizontal="right" vertical="top" wrapText="1"/>
    </xf>
    <xf numFmtId="0" fontId="39" fillId="3" borderId="0" xfId="0" applyFont="1" applyFill="1" applyBorder="1" applyAlignment="1">
      <alignment horizontal="right" wrapText="1"/>
    </xf>
    <xf numFmtId="0" fontId="39" fillId="3" borderId="0" xfId="0" applyFont="1" applyFill="1" applyBorder="1" applyAlignment="1">
      <alignment horizontal="right"/>
    </xf>
    <xf numFmtId="0" fontId="34" fillId="3" borderId="0" xfId="0" applyFont="1" applyFill="1"/>
    <xf numFmtId="3" fontId="10" fillId="3" borderId="0" xfId="5" applyNumberFormat="1" applyFont="1" applyFill="1" applyBorder="1">
      <alignment horizontal="left" vertical="top"/>
    </xf>
    <xf numFmtId="3" fontId="10" fillId="3" borderId="0" xfId="1" applyNumberFormat="1" applyFont="1" applyFill="1" applyBorder="1">
      <alignment horizontal="right" vertical="top"/>
    </xf>
    <xf numFmtId="3" fontId="10" fillId="3" borderId="0" xfId="5" applyNumberFormat="1" applyFont="1" applyFill="1" applyBorder="1" applyAlignment="1">
      <alignment horizontal="left" vertical="top"/>
    </xf>
    <xf numFmtId="3" fontId="13" fillId="3" borderId="0" xfId="5" applyNumberFormat="1" applyFont="1" applyFill="1" applyBorder="1">
      <alignment horizontal="left" vertical="top"/>
    </xf>
    <xf numFmtId="0" fontId="40" fillId="3" borderId="0" xfId="0" applyFont="1" applyFill="1" applyBorder="1"/>
    <xf numFmtId="3" fontId="11" fillId="3" borderId="0" xfId="5" applyNumberFormat="1" applyFont="1" applyFill="1" applyBorder="1" applyAlignment="1">
      <alignment horizontal="left" vertical="top"/>
    </xf>
    <xf numFmtId="3" fontId="11" fillId="3" borderId="0" xfId="1" applyNumberFormat="1" applyFont="1" applyFill="1" applyBorder="1" applyAlignment="1">
      <alignment horizontal="right" vertical="top"/>
    </xf>
    <xf numFmtId="0" fontId="38" fillId="3" borderId="14" xfId="0" applyFont="1" applyFill="1" applyBorder="1" applyAlignment="1">
      <alignment wrapText="1"/>
    </xf>
    <xf numFmtId="3" fontId="10" fillId="3" borderId="0" xfId="1" applyNumberFormat="1" applyFont="1" applyFill="1" applyBorder="1" applyAlignment="1">
      <alignment vertical="top"/>
    </xf>
    <xf numFmtId="3" fontId="11" fillId="3" borderId="0" xfId="1" applyNumberFormat="1" applyFont="1" applyFill="1" applyBorder="1" applyAlignment="1">
      <alignment vertical="top"/>
    </xf>
    <xf numFmtId="0" fontId="40" fillId="3" borderId="0" xfId="0" applyFont="1" applyFill="1" applyBorder="1" applyAlignment="1"/>
    <xf numFmtId="0" fontId="38" fillId="3" borderId="14" xfId="0" applyFont="1" applyFill="1" applyBorder="1" applyAlignment="1">
      <alignment horizontal="right" wrapText="1"/>
    </xf>
    <xf numFmtId="3" fontId="10" fillId="3" borderId="0" xfId="1" applyNumberFormat="1" applyFont="1" applyFill="1" applyBorder="1" applyAlignment="1">
      <alignment horizontal="right" vertical="top"/>
    </xf>
    <xf numFmtId="171" fontId="11" fillId="2" borderId="7" xfId="11" applyNumberFormat="1" applyFont="1" applyFill="1" applyBorder="1"/>
    <xf numFmtId="171" fontId="38" fillId="3" borderId="14" xfId="11" applyNumberFormat="1" applyFont="1" applyFill="1" applyBorder="1" applyAlignment="1">
      <alignment wrapText="1"/>
    </xf>
    <xf numFmtId="0" fontId="39" fillId="3" borderId="0" xfId="0" applyFont="1" applyFill="1"/>
    <xf numFmtId="14" fontId="11" fillId="2" borderId="6" xfId="0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vertical="top"/>
    </xf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37" fillId="3" borderId="0" xfId="0" applyFont="1" applyFill="1" applyBorder="1" applyAlignment="1">
      <alignment horizontal="right"/>
    </xf>
    <xf numFmtId="3" fontId="10" fillId="3" borderId="0" xfId="1" applyNumberFormat="1" applyFont="1" applyFill="1" applyBorder="1" applyAlignment="1">
      <alignment horizontal="right"/>
    </xf>
    <xf numFmtId="3" fontId="10" fillId="3" borderId="0" xfId="1" applyNumberFormat="1" applyFont="1" applyFill="1" applyBorder="1" applyAlignment="1"/>
    <xf numFmtId="171" fontId="11" fillId="2" borderId="7" xfId="11" applyNumberFormat="1" applyFont="1" applyFill="1" applyBorder="1" applyAlignment="1"/>
    <xf numFmtId="3" fontId="11" fillId="3" borderId="15" xfId="1" applyNumberFormat="1" applyFont="1" applyFill="1" applyBorder="1">
      <alignment horizontal="right" vertical="top"/>
    </xf>
    <xf numFmtId="3" fontId="11" fillId="3" borderId="14" xfId="1" applyNumberFormat="1" applyFont="1" applyFill="1" applyBorder="1">
      <alignment horizontal="right" vertical="top"/>
    </xf>
    <xf numFmtId="3" fontId="11" fillId="3" borderId="14" xfId="1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14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right" vertical="top" wrapText="1"/>
    </xf>
    <xf numFmtId="0" fontId="10" fillId="3" borderId="0" xfId="0" applyFont="1" applyFill="1" applyAlignment="1">
      <alignment vertical="top" wrapText="1"/>
    </xf>
    <xf numFmtId="0" fontId="10" fillId="3" borderId="14" xfId="0" applyFont="1" applyFill="1" applyBorder="1"/>
    <xf numFmtId="0" fontId="10" fillId="3" borderId="14" xfId="0" applyFont="1" applyFill="1" applyBorder="1" applyAlignment="1">
      <alignment wrapText="1"/>
    </xf>
    <xf numFmtId="0" fontId="10" fillId="3" borderId="14" xfId="0" applyFont="1" applyFill="1" applyBorder="1" applyAlignment="1">
      <alignment horizontal="right"/>
    </xf>
    <xf numFmtId="0" fontId="10" fillId="3" borderId="14" xfId="0" applyFont="1" applyFill="1" applyBorder="1" applyAlignment="1">
      <alignment horizontal="left" wrapText="1"/>
    </xf>
    <xf numFmtId="0" fontId="36" fillId="3" borderId="14" xfId="0" applyFont="1" applyFill="1" applyBorder="1" applyAlignment="1"/>
    <xf numFmtId="14" fontId="10" fillId="3" borderId="0" xfId="0" applyNumberFormat="1" applyFont="1" applyFill="1" applyBorder="1" applyAlignment="1">
      <alignment horizontal="right"/>
    </xf>
    <xf numFmtId="14" fontId="10" fillId="3" borderId="0" xfId="0" applyNumberFormat="1" applyFont="1" applyFill="1" applyBorder="1" applyAlignment="1">
      <alignment horizontal="right" wrapText="1"/>
    </xf>
    <xf numFmtId="0" fontId="10" fillId="3" borderId="0" xfId="0" applyFont="1" applyFill="1" applyAlignment="1">
      <alignment horizontal="right" wrapText="1"/>
    </xf>
    <xf numFmtId="0" fontId="10" fillId="0" borderId="0" xfId="5" applyNumberFormat="1" applyFont="1" applyFill="1" applyBorder="1" applyAlignment="1">
      <alignment horizontal="right" vertical="top"/>
    </xf>
    <xf numFmtId="0" fontId="41" fillId="0" borderId="0" xfId="0" applyFont="1" applyAlignment="1">
      <alignment horizontal="justify"/>
    </xf>
    <xf numFmtId="0" fontId="42" fillId="0" borderId="16" xfId="0" applyFont="1" applyBorder="1" applyAlignment="1">
      <alignment horizontal="right" vertical="top"/>
    </xf>
    <xf numFmtId="0" fontId="42" fillId="0" borderId="16" xfId="0" applyFont="1" applyBorder="1" applyAlignment="1">
      <alignment vertical="top"/>
    </xf>
    <xf numFmtId="0" fontId="42" fillId="0" borderId="0" xfId="0" applyFont="1" applyBorder="1" applyAlignment="1">
      <alignment horizontal="right" vertical="top" wrapText="1"/>
    </xf>
    <xf numFmtId="0" fontId="43" fillId="0" borderId="0" xfId="0" applyFont="1" applyBorder="1" applyAlignment="1">
      <alignment vertical="center" wrapText="1"/>
    </xf>
    <xf numFmtId="170" fontId="43" fillId="0" borderId="0" xfId="0" applyNumberFormat="1" applyFont="1" applyBorder="1" applyAlignment="1">
      <alignment vertical="center" wrapText="1"/>
    </xf>
    <xf numFmtId="170" fontId="43" fillId="0" borderId="0" xfId="0" applyNumberFormat="1" applyFont="1" applyAlignment="1">
      <alignment horizontal="right" vertical="center" wrapText="1"/>
    </xf>
    <xf numFmtId="0" fontId="43" fillId="0" borderId="0" xfId="0" applyFont="1" applyAlignment="1">
      <alignment vertical="center" wrapText="1"/>
    </xf>
    <xf numFmtId="170" fontId="43" fillId="0" borderId="0" xfId="0" applyNumberFormat="1" applyFont="1" applyAlignment="1">
      <alignment vertical="center" wrapText="1"/>
    </xf>
    <xf numFmtId="170" fontId="10" fillId="2" borderId="0" xfId="10" applyNumberFormat="1" applyFont="1" applyFill="1" applyAlignment="1">
      <alignment vertical="center"/>
    </xf>
    <xf numFmtId="9" fontId="11" fillId="2" borderId="0" xfId="15" applyFont="1" applyFill="1" applyBorder="1" applyAlignment="1">
      <alignment horizontal="right" vertical="top" wrapText="1"/>
    </xf>
    <xf numFmtId="0" fontId="11" fillId="2" borderId="0" xfId="12" applyFont="1" applyFill="1"/>
    <xf numFmtId="0" fontId="42" fillId="0" borderId="0" xfId="12" applyFont="1" applyBorder="1" applyAlignment="1">
      <alignment horizontal="right" vertical="top" wrapText="1"/>
    </xf>
    <xf numFmtId="0" fontId="42" fillId="0" borderId="16" xfId="12" applyFont="1" applyBorder="1" applyAlignment="1">
      <alignment vertical="top"/>
    </xf>
    <xf numFmtId="0" fontId="42" fillId="0" borderId="16" xfId="12" applyFont="1" applyBorder="1" applyAlignment="1">
      <alignment horizontal="right" vertical="top"/>
    </xf>
    <xf numFmtId="0" fontId="43" fillId="0" borderId="0" xfId="12" applyFont="1" applyBorder="1" applyAlignment="1">
      <alignment vertical="center" wrapText="1"/>
    </xf>
    <xf numFmtId="0" fontId="43" fillId="0" borderId="0" xfId="12" applyFont="1" applyAlignment="1">
      <alignment vertical="center" wrapText="1"/>
    </xf>
    <xf numFmtId="0" fontId="25" fillId="0" borderId="0" xfId="0" applyFont="1" applyFill="1" applyAlignment="1">
      <alignment horizontal="right"/>
    </xf>
    <xf numFmtId="0" fontId="27" fillId="0" borderId="0" xfId="0" applyFont="1" applyFill="1"/>
    <xf numFmtId="0" fontId="27" fillId="0" borderId="0" xfId="0" applyFont="1" applyFill="1" applyAlignment="1">
      <alignment horizontal="right"/>
    </xf>
    <xf numFmtId="2" fontId="10" fillId="3" borderId="5" xfId="0" applyNumberFormat="1" applyFont="1" applyFill="1" applyBorder="1"/>
    <xf numFmtId="14" fontId="10" fillId="2" borderId="6" xfId="0" applyNumberFormat="1" applyFont="1" applyFill="1" applyBorder="1" applyAlignment="1">
      <alignment horizontal="right"/>
    </xf>
    <xf numFmtId="171" fontId="10" fillId="3" borderId="0" xfId="11" applyNumberFormat="1" applyFont="1" applyFill="1" applyBorder="1" applyAlignment="1">
      <alignment horizontal="right"/>
    </xf>
    <xf numFmtId="0" fontId="44" fillId="0" borderId="0" xfId="0" applyFont="1" applyAlignment="1">
      <alignment horizontal="left" vertical="center" indent="3"/>
    </xf>
    <xf numFmtId="2" fontId="11" fillId="3" borderId="5" xfId="0" applyNumberFormat="1" applyFont="1" applyFill="1" applyBorder="1"/>
    <xf numFmtId="3" fontId="21" fillId="3" borderId="5" xfId="0" applyNumberFormat="1" applyFont="1" applyFill="1" applyBorder="1" applyAlignment="1">
      <alignment wrapText="1"/>
    </xf>
    <xf numFmtId="0" fontId="44" fillId="3" borderId="0" xfId="0" applyFont="1" applyFill="1" applyAlignment="1">
      <alignment vertical="center"/>
    </xf>
    <xf numFmtId="0" fontId="44" fillId="3" borderId="0" xfId="0" applyFont="1" applyFill="1" applyAlignment="1">
      <alignment horizontal="left" vertical="center" indent="3"/>
    </xf>
    <xf numFmtId="0" fontId="2" fillId="0" borderId="0" xfId="0" applyFont="1" applyAlignment="1">
      <alignment horizontal="center"/>
    </xf>
    <xf numFmtId="14" fontId="11" fillId="2" borderId="0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0" fontId="10" fillId="0" borderId="1" xfId="5" applyNumberFormat="1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0" fillId="2" borderId="12" xfId="0" applyFont="1" applyFill="1" applyBorder="1"/>
    <xf numFmtId="3" fontId="11" fillId="2" borderId="12" xfId="0" applyNumberFormat="1" applyFont="1" applyFill="1" applyBorder="1"/>
    <xf numFmtId="0" fontId="10" fillId="3" borderId="6" xfId="0" applyFont="1" applyFill="1" applyBorder="1" applyAlignment="1">
      <alignment horizontal="right" wrapText="1"/>
    </xf>
    <xf numFmtId="0" fontId="11" fillId="2" borderId="6" xfId="0" applyFont="1" applyFill="1" applyBorder="1" applyAlignment="1">
      <alignment horizontal="right" vertical="top" wrapText="1"/>
    </xf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left"/>
    </xf>
    <xf numFmtId="9" fontId="10" fillId="2" borderId="5" xfId="0" applyNumberFormat="1" applyFont="1" applyFill="1" applyBorder="1" applyAlignment="1">
      <alignment horizontal="right" wrapText="1"/>
    </xf>
    <xf numFmtId="3" fontId="10" fillId="2" borderId="5" xfId="0" applyNumberFormat="1" applyFont="1" applyFill="1" applyBorder="1" applyAlignment="1">
      <alignment horizontal="right" wrapText="1"/>
    </xf>
    <xf numFmtId="3" fontId="11" fillId="0" borderId="7" xfId="13" applyNumberFormat="1" applyFont="1" applyFill="1" applyBorder="1" applyAlignment="1"/>
    <xf numFmtId="0" fontId="41" fillId="0" borderId="0" xfId="0" applyFont="1"/>
    <xf numFmtId="3" fontId="11" fillId="2" borderId="15" xfId="0" applyNumberFormat="1" applyFont="1" applyFill="1" applyBorder="1" applyAlignment="1">
      <alignment horizontal="right"/>
    </xf>
    <xf numFmtId="0" fontId="42" fillId="0" borderId="11" xfId="12" applyFont="1" applyBorder="1" applyAlignment="1">
      <alignment vertical="center"/>
    </xf>
    <xf numFmtId="0" fontId="42" fillId="0" borderId="11" xfId="12" applyFont="1" applyBorder="1" applyAlignment="1">
      <alignment vertical="center" wrapText="1"/>
    </xf>
    <xf numFmtId="10" fontId="43" fillId="0" borderId="0" xfId="16" applyNumberFormat="1" applyFont="1" applyBorder="1" applyAlignment="1">
      <alignment vertical="center" wrapText="1"/>
    </xf>
    <xf numFmtId="10" fontId="43" fillId="0" borderId="0" xfId="16" applyNumberFormat="1" applyFont="1" applyAlignment="1">
      <alignment horizontal="right" vertical="center" wrapText="1"/>
    </xf>
    <xf numFmtId="10" fontId="43" fillId="0" borderId="0" xfId="16" applyNumberFormat="1" applyFont="1" applyAlignment="1">
      <alignment vertical="center" wrapText="1"/>
    </xf>
    <xf numFmtId="10" fontId="10" fillId="2" borderId="0" xfId="16" applyNumberFormat="1" applyFont="1" applyFill="1" applyAlignment="1">
      <alignment vertical="center"/>
    </xf>
    <xf numFmtId="0" fontId="11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right" wrapText="1"/>
    </xf>
    <xf numFmtId="0" fontId="11" fillId="3" borderId="6" xfId="0" applyFont="1" applyFill="1" applyBorder="1" applyAlignment="1">
      <alignment horizontal="right" wrapText="1"/>
    </xf>
    <xf numFmtId="0" fontId="10" fillId="3" borderId="0" xfId="0" applyFont="1" applyFill="1"/>
    <xf numFmtId="0" fontId="10" fillId="3" borderId="0" xfId="0" applyFont="1" applyFill="1" applyBorder="1" applyAlignment="1">
      <alignment horizontal="left" vertical="top" wrapText="1"/>
    </xf>
    <xf numFmtId="0" fontId="10" fillId="3" borderId="0" xfId="0" applyFont="1" applyFill="1" applyAlignment="1"/>
    <xf numFmtId="0" fontId="10" fillId="2" borderId="0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38" fillId="3" borderId="0" xfId="0" applyFont="1" applyFill="1" applyBorder="1"/>
    <xf numFmtId="0" fontId="11" fillId="0" borderId="18" xfId="5" applyFont="1" applyFill="1" applyBorder="1">
      <alignment horizontal="left" vertical="top"/>
    </xf>
    <xf numFmtId="164" fontId="11" fillId="0" borderId="18" xfId="1" applyNumberFormat="1" applyFont="1" applyFill="1" applyBorder="1" applyAlignment="1">
      <alignment vertical="top"/>
    </xf>
    <xf numFmtId="164" fontId="10" fillId="0" borderId="18" xfId="1" applyNumberFormat="1" applyFont="1" applyFill="1" applyBorder="1" applyAlignment="1">
      <alignment vertical="top"/>
    </xf>
    <xf numFmtId="0" fontId="11" fillId="2" borderId="18" xfId="0" applyFont="1" applyFill="1" applyBorder="1"/>
    <xf numFmtId="3" fontId="11" fillId="2" borderId="18" xfId="0" applyNumberFormat="1" applyFont="1" applyFill="1" applyBorder="1" applyAlignment="1">
      <alignment horizontal="right"/>
    </xf>
    <xf numFmtId="164" fontId="30" fillId="0" borderId="0" xfId="1" applyNumberFormat="1" applyFont="1" applyFill="1" applyBorder="1" applyAlignment="1">
      <alignment vertical="top"/>
    </xf>
    <xf numFmtId="3" fontId="11" fillId="3" borderId="18" xfId="0" applyNumberFormat="1" applyFont="1" applyFill="1" applyBorder="1" applyAlignment="1">
      <alignment horizontal="right"/>
    </xf>
    <xf numFmtId="3" fontId="10" fillId="3" borderId="15" xfId="1" applyNumberFormat="1" applyFont="1" applyFill="1" applyBorder="1">
      <alignment horizontal="right" vertical="top"/>
    </xf>
    <xf numFmtId="0" fontId="10" fillId="3" borderId="0" xfId="0" applyFont="1" applyFill="1"/>
    <xf numFmtId="170" fontId="10" fillId="3" borderId="0" xfId="10" applyNumberFormat="1" applyFont="1" applyFill="1"/>
    <xf numFmtId="0" fontId="10" fillId="3" borderId="0" xfId="0" applyFont="1" applyFill="1"/>
    <xf numFmtId="3" fontId="38" fillId="3" borderId="14" xfId="0" applyNumberFormat="1" applyFont="1" applyFill="1" applyBorder="1" applyAlignment="1">
      <alignment horizontal="right" wrapText="1"/>
    </xf>
    <xf numFmtId="10" fontId="11" fillId="3" borderId="0" xfId="0" applyNumberFormat="1" applyFont="1" applyFill="1"/>
    <xf numFmtId="0" fontId="11" fillId="3" borderId="0" xfId="0" applyFont="1" applyFill="1"/>
    <xf numFmtId="1" fontId="46" fillId="2" borderId="0" xfId="5" applyNumberFormat="1" applyFont="1" applyFill="1" applyAlignment="1"/>
    <xf numFmtId="0" fontId="47" fillId="2" borderId="0" xfId="0" applyFont="1" applyFill="1" applyAlignment="1"/>
    <xf numFmtId="0" fontId="10" fillId="3" borderId="0" xfId="0" applyFont="1" applyFill="1"/>
    <xf numFmtId="0" fontId="10" fillId="3" borderId="0" xfId="0" applyFont="1" applyFill="1"/>
    <xf numFmtId="3" fontId="14" fillId="0" borderId="1" xfId="0" applyNumberFormat="1" applyFont="1" applyFill="1" applyBorder="1" applyAlignment="1">
      <alignment horizontal="right"/>
    </xf>
    <xf numFmtId="0" fontId="40" fillId="0" borderId="0" xfId="0" applyFont="1" applyFill="1" applyBorder="1"/>
    <xf numFmtId="0" fontId="34" fillId="2" borderId="0" xfId="0" applyFont="1" applyFill="1" applyAlignment="1"/>
    <xf numFmtId="0" fontId="11" fillId="2" borderId="6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/>
    </xf>
    <xf numFmtId="0" fontId="10" fillId="3" borderId="0" xfId="0" applyFont="1" applyFill="1"/>
    <xf numFmtId="0" fontId="42" fillId="0" borderId="16" xfId="0" applyFont="1" applyBorder="1" applyAlignment="1">
      <alignment wrapText="1"/>
    </xf>
    <xf numFmtId="0" fontId="11" fillId="2" borderId="6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vertical="top"/>
    </xf>
    <xf numFmtId="3" fontId="10" fillId="3" borderId="1" xfId="0" applyNumberFormat="1" applyFont="1" applyFill="1" applyBorder="1" applyAlignment="1">
      <alignment horizontal="right"/>
    </xf>
    <xf numFmtId="3" fontId="10" fillId="2" borderId="1" xfId="1" applyNumberFormat="1" applyFont="1" applyFill="1" applyBorder="1">
      <alignment horizontal="right" vertical="top"/>
    </xf>
    <xf numFmtId="3" fontId="10" fillId="2" borderId="1" xfId="0" applyNumberFormat="1" applyFont="1" applyFill="1" applyBorder="1" applyAlignment="1">
      <alignment horizontal="right"/>
    </xf>
    <xf numFmtId="3" fontId="10" fillId="0" borderId="0" xfId="13" applyNumberFormat="1" applyFont="1" applyFill="1" applyBorder="1" applyAlignment="1"/>
    <xf numFmtId="3" fontId="10" fillId="2" borderId="0" xfId="13" applyNumberFormat="1" applyFont="1" applyFill="1" applyBorder="1" applyAlignment="1"/>
    <xf numFmtId="171" fontId="10" fillId="2" borderId="0" xfId="11" applyNumberFormat="1" applyFont="1" applyFill="1" applyBorder="1" applyAlignment="1">
      <alignment horizontal="left" vertical="top"/>
    </xf>
    <xf numFmtId="171" fontId="10" fillId="2" borderId="0" xfId="11" applyNumberFormat="1" applyFont="1" applyFill="1" applyAlignment="1">
      <alignment vertical="top"/>
    </xf>
    <xf numFmtId="3" fontId="10" fillId="2" borderId="0" xfId="11" applyNumberFormat="1" applyFont="1" applyFill="1" applyBorder="1" applyAlignment="1">
      <alignment horizontal="right" vertical="top" wrapText="1"/>
    </xf>
    <xf numFmtId="171" fontId="10" fillId="2" borderId="8" xfId="11" applyNumberFormat="1" applyFont="1" applyFill="1" applyBorder="1" applyAlignment="1">
      <alignment vertical="top"/>
    </xf>
    <xf numFmtId="3" fontId="10" fillId="0" borderId="15" xfId="11" applyNumberFormat="1" applyFont="1" applyFill="1" applyBorder="1" applyAlignment="1">
      <alignment horizontal="right" vertical="top" wrapText="1"/>
    </xf>
    <xf numFmtId="0" fontId="48" fillId="0" borderId="0" xfId="0" applyFont="1" applyBorder="1" applyAlignment="1"/>
    <xf numFmtId="0" fontId="42" fillId="0" borderId="16" xfId="0" applyFont="1" applyBorder="1" applyAlignment="1">
      <alignment horizontal="right" wrapText="1"/>
    </xf>
    <xf numFmtId="0" fontId="10" fillId="0" borderId="0" xfId="0" applyFont="1" applyAlignment="1">
      <alignment horizontal="left"/>
    </xf>
    <xf numFmtId="10" fontId="25" fillId="0" borderId="0" xfId="0" applyNumberFormat="1" applyFont="1"/>
    <xf numFmtId="0" fontId="25" fillId="0" borderId="0" xfId="0" applyFont="1"/>
    <xf numFmtId="0" fontId="13" fillId="0" borderId="0" xfId="0" applyFont="1" applyAlignment="1">
      <alignment horizontal="justify"/>
    </xf>
    <xf numFmtId="10" fontId="29" fillId="0" borderId="0" xfId="0" applyNumberFormat="1" applyFont="1"/>
    <xf numFmtId="0" fontId="29" fillId="0" borderId="0" xfId="0" applyFont="1"/>
    <xf numFmtId="10" fontId="39" fillId="0" borderId="0" xfId="10" applyNumberFormat="1" applyFont="1" applyAlignment="1">
      <alignment vertical="center"/>
    </xf>
    <xf numFmtId="0" fontId="10" fillId="3" borderId="0" xfId="0" quotePrefix="1" applyFont="1" applyFill="1"/>
    <xf numFmtId="173" fontId="10" fillId="2" borderId="6" xfId="0" applyNumberFormat="1" applyFont="1" applyFill="1" applyBorder="1" applyAlignment="1">
      <alignment horizontal="right" wrapText="1"/>
    </xf>
    <xf numFmtId="0" fontId="49" fillId="5" borderId="0" xfId="17" applyFill="1" applyAlignment="1">
      <alignment horizontal="right"/>
    </xf>
    <xf numFmtId="0" fontId="49" fillId="3" borderId="0" xfId="17" applyFill="1" applyAlignment="1">
      <alignment horizontal="right"/>
    </xf>
    <xf numFmtId="0" fontId="49" fillId="0" borderId="0" xfId="17" applyFill="1" applyAlignment="1">
      <alignment horizontal="right"/>
    </xf>
    <xf numFmtId="0" fontId="50" fillId="0" borderId="0" xfId="0" applyFont="1" applyBorder="1" applyAlignment="1"/>
    <xf numFmtId="0" fontId="11" fillId="0" borderId="16" xfId="0" applyFont="1" applyBorder="1" applyAlignment="1">
      <alignment wrapText="1"/>
    </xf>
    <xf numFmtId="10" fontId="10" fillId="0" borderId="0" xfId="0" applyNumberFormat="1" applyFont="1"/>
    <xf numFmtId="0" fontId="11" fillId="0" borderId="16" xfId="0" applyFont="1" applyBorder="1" applyAlignment="1">
      <alignment horizontal="right" wrapText="1"/>
    </xf>
    <xf numFmtId="0" fontId="25" fillId="0" borderId="0" xfId="0" applyFont="1" applyFill="1"/>
    <xf numFmtId="10" fontId="43" fillId="3" borderId="0" xfId="10" applyNumberFormat="1" applyFont="1" applyFill="1"/>
    <xf numFmtId="174" fontId="43" fillId="3" borderId="0" xfId="11" applyNumberFormat="1" applyFont="1" applyFill="1"/>
    <xf numFmtId="0" fontId="0" fillId="0" borderId="0" xfId="0" applyFill="1"/>
    <xf numFmtId="10" fontId="43" fillId="3" borderId="22" xfId="10" applyNumberFormat="1" applyFont="1" applyFill="1" applyBorder="1"/>
    <xf numFmtId="10" fontId="42" fillId="3" borderId="0" xfId="10" applyNumberFormat="1" applyFont="1" applyFill="1" applyBorder="1" applyAlignment="1">
      <alignment horizontal="right"/>
    </xf>
    <xf numFmtId="3" fontId="43" fillId="3" borderId="20" xfId="11" applyNumberFormat="1" applyFont="1" applyFill="1" applyBorder="1" applyAlignment="1">
      <alignment horizontal="right"/>
    </xf>
    <xf numFmtId="3" fontId="43" fillId="3" borderId="20" xfId="11" applyNumberFormat="1" applyFont="1" applyFill="1" applyBorder="1"/>
    <xf numFmtId="0" fontId="13" fillId="3" borderId="0" xfId="12" applyFont="1" applyFill="1" applyBorder="1"/>
    <xf numFmtId="0" fontId="2" fillId="0" borderId="0" xfId="12"/>
    <xf numFmtId="0" fontId="43" fillId="3" borderId="0" xfId="12" applyFont="1" applyFill="1" applyAlignment="1">
      <alignment horizontal="left"/>
    </xf>
    <xf numFmtId="14" fontId="51" fillId="3" borderId="0" xfId="12" quotePrefix="1" applyNumberFormat="1" applyFont="1" applyFill="1" applyAlignment="1">
      <alignment horizontal="left" vertical="center"/>
    </xf>
    <xf numFmtId="0" fontId="51" fillId="3" borderId="0" xfId="12" applyFont="1" applyFill="1" applyAlignment="1"/>
    <xf numFmtId="0" fontId="43" fillId="3" borderId="0" xfId="12" applyFont="1" applyFill="1" applyAlignment="1"/>
    <xf numFmtId="0" fontId="43" fillId="3" borderId="0" xfId="12" applyFont="1" applyFill="1"/>
    <xf numFmtId="0" fontId="51" fillId="3" borderId="0" xfId="12" applyFont="1" applyFill="1" applyBorder="1" applyAlignment="1"/>
    <xf numFmtId="0" fontId="51" fillId="3" borderId="0" xfId="12" applyFont="1" applyFill="1" applyBorder="1" applyAlignment="1">
      <alignment wrapText="1"/>
    </xf>
    <xf numFmtId="0" fontId="38" fillId="3" borderId="14" xfId="12" applyFont="1" applyFill="1" applyBorder="1" applyAlignment="1">
      <alignment wrapText="1"/>
    </xf>
    <xf numFmtId="0" fontId="39" fillId="3" borderId="19" xfId="12" applyFont="1" applyFill="1" applyBorder="1" applyAlignment="1">
      <alignment wrapText="1"/>
    </xf>
    <xf numFmtId="0" fontId="39" fillId="3" borderId="21" xfId="12" applyFont="1" applyFill="1" applyBorder="1" applyAlignment="1">
      <alignment wrapText="1"/>
    </xf>
    <xf numFmtId="0" fontId="39" fillId="3" borderId="14" xfId="12" applyFont="1" applyFill="1" applyBorder="1" applyAlignment="1">
      <alignment wrapText="1"/>
    </xf>
    <xf numFmtId="0" fontId="38" fillId="3" borderId="19" xfId="12" applyFont="1" applyFill="1" applyBorder="1" applyAlignment="1">
      <alignment wrapText="1"/>
    </xf>
    <xf numFmtId="0" fontId="38" fillId="3" borderId="21" xfId="12" applyFont="1" applyFill="1" applyBorder="1" applyAlignment="1">
      <alignment wrapText="1"/>
    </xf>
    <xf numFmtId="0" fontId="43" fillId="3" borderId="0" xfId="12" applyFont="1" applyFill="1" applyBorder="1" applyAlignment="1">
      <alignment horizontal="left" vertical="center"/>
    </xf>
    <xf numFmtId="3" fontId="43" fillId="3" borderId="20" xfId="12" applyNumberFormat="1" applyFont="1" applyFill="1" applyBorder="1"/>
    <xf numFmtId="10" fontId="43" fillId="3" borderId="0" xfId="12" applyNumberFormat="1" applyFont="1" applyFill="1" applyBorder="1"/>
    <xf numFmtId="0" fontId="2" fillId="0" borderId="20" xfId="12" applyBorder="1"/>
    <xf numFmtId="0" fontId="2" fillId="0" borderId="0" xfId="12" applyBorder="1"/>
    <xf numFmtId="0" fontId="51" fillId="3" borderId="0" xfId="12" applyFont="1" applyFill="1" applyAlignment="1">
      <alignment horizontal="left" vertical="center"/>
    </xf>
    <xf numFmtId="3" fontId="42" fillId="3" borderId="20" xfId="12" applyNumberFormat="1" applyFont="1" applyFill="1" applyBorder="1" applyAlignment="1">
      <alignment horizontal="right"/>
    </xf>
    <xf numFmtId="174" fontId="42" fillId="3" borderId="22" xfId="12" applyNumberFormat="1" applyFont="1" applyFill="1" applyBorder="1" applyAlignment="1">
      <alignment horizontal="right"/>
    </xf>
    <xf numFmtId="0" fontId="31" fillId="0" borderId="20" xfId="12" applyFont="1" applyBorder="1"/>
    <xf numFmtId="0" fontId="31" fillId="0" borderId="0" xfId="12" applyFont="1"/>
    <xf numFmtId="0" fontId="43" fillId="3" borderId="0" xfId="12" applyFont="1" applyFill="1" applyAlignment="1">
      <alignment horizontal="left" vertical="center"/>
    </xf>
    <xf numFmtId="0" fontId="43" fillId="3" borderId="0" xfId="12" applyFont="1" applyFill="1" applyAlignment="1">
      <alignment horizontal="right"/>
    </xf>
    <xf numFmtId="0" fontId="38" fillId="3" borderId="14" xfId="12" applyFont="1" applyFill="1" applyBorder="1" applyAlignment="1"/>
    <xf numFmtId="3" fontId="43" fillId="3" borderId="0" xfId="12" applyNumberFormat="1" applyFont="1" applyFill="1" applyAlignment="1">
      <alignment horizontal="right"/>
    </xf>
    <xf numFmtId="3" fontId="43" fillId="3" borderId="0" xfId="12" applyNumberFormat="1" applyFont="1" applyFill="1"/>
    <xf numFmtId="0" fontId="38" fillId="3" borderId="0" xfId="12" applyFont="1" applyFill="1" applyBorder="1" applyAlignment="1"/>
    <xf numFmtId="0" fontId="25" fillId="2" borderId="0" xfId="12" applyFont="1" applyFill="1"/>
    <xf numFmtId="0" fontId="25" fillId="5" borderId="0" xfId="12" applyFont="1" applyFill="1"/>
    <xf numFmtId="0" fontId="25" fillId="0" borderId="0" xfId="12" applyFont="1" applyFill="1"/>
    <xf numFmtId="0" fontId="11" fillId="3" borderId="6" xfId="0" applyFont="1" applyFill="1" applyBorder="1" applyAlignment="1">
      <alignment horizontal="right" wrapText="1"/>
    </xf>
    <xf numFmtId="0" fontId="10" fillId="3" borderId="0" xfId="0" applyFont="1" applyFill="1"/>
    <xf numFmtId="0" fontId="10" fillId="2" borderId="0" xfId="0" applyFont="1" applyFill="1" applyBorder="1" applyAlignment="1">
      <alignment horizontal="left"/>
    </xf>
    <xf numFmtId="10" fontId="10" fillId="3" borderId="0" xfId="0" applyNumberFormat="1" applyFont="1" applyFill="1"/>
    <xf numFmtId="173" fontId="10" fillId="3" borderId="6" xfId="0" applyNumberFormat="1" applyFont="1" applyFill="1" applyBorder="1" applyAlignment="1">
      <alignment horizontal="right"/>
    </xf>
    <xf numFmtId="10" fontId="10" fillId="3" borderId="0" xfId="1" applyNumberFormat="1" applyFont="1" applyFill="1" applyAlignment="1">
      <alignment vertical="top"/>
    </xf>
    <xf numFmtId="0" fontId="10" fillId="3" borderId="0" xfId="0" applyFont="1" applyFill="1"/>
    <xf numFmtId="3" fontId="13" fillId="3" borderId="0" xfId="1" applyNumberFormat="1" applyFont="1" applyFill="1" applyBorder="1">
      <alignment horizontal="right" vertical="top"/>
    </xf>
    <xf numFmtId="3" fontId="13" fillId="3" borderId="0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>
      <alignment wrapText="1"/>
    </xf>
    <xf numFmtId="3" fontId="10" fillId="0" borderId="0" xfId="5" applyNumberFormat="1" applyFont="1" applyFill="1" applyBorder="1">
      <alignment horizontal="left" vertical="top"/>
    </xf>
    <xf numFmtId="0" fontId="10" fillId="3" borderId="0" xfId="0" applyFont="1" applyFill="1"/>
    <xf numFmtId="173" fontId="11" fillId="3" borderId="6" xfId="0" applyNumberFormat="1" applyFont="1" applyFill="1" applyBorder="1" applyAlignment="1">
      <alignment horizontal="right"/>
    </xf>
    <xf numFmtId="10" fontId="11" fillId="3" borderId="0" xfId="1" applyNumberFormat="1" applyFont="1" applyFill="1" applyAlignment="1">
      <alignment vertical="top"/>
    </xf>
    <xf numFmtId="0" fontId="10" fillId="3" borderId="0" xfId="0" applyFont="1" applyFill="1" applyBorder="1" applyAlignment="1">
      <alignment horizontal="left" wrapText="1"/>
    </xf>
    <xf numFmtId="0" fontId="10" fillId="3" borderId="0" xfId="0" applyFont="1" applyFill="1"/>
    <xf numFmtId="0" fontId="11" fillId="2" borderId="6" xfId="0" applyFont="1" applyFill="1" applyBorder="1" applyAlignment="1">
      <alignment horizontal="right" vertical="top" wrapText="1"/>
    </xf>
    <xf numFmtId="0" fontId="11" fillId="2" borderId="6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 wrapText="1"/>
    </xf>
    <xf numFmtId="0" fontId="10" fillId="3" borderId="0" xfId="0" applyFont="1" applyFill="1"/>
    <xf numFmtId="0" fontId="0" fillId="0" borderId="0" xfId="0" applyAlignment="1">
      <alignment vertical="center"/>
    </xf>
    <xf numFmtId="171" fontId="11" fillId="3" borderId="0" xfId="11" applyNumberFormat="1" applyFont="1" applyFill="1" applyBorder="1"/>
    <xf numFmtId="3" fontId="10" fillId="0" borderId="0" xfId="0" applyNumberFormat="1" applyFont="1" applyFill="1"/>
    <xf numFmtId="3" fontId="10" fillId="0" borderId="0" xfId="1" applyNumberFormat="1" applyFont="1" applyFill="1" applyBorder="1">
      <alignment horizontal="right" vertical="top"/>
    </xf>
    <xf numFmtId="3" fontId="10" fillId="0" borderId="0" xfId="1" applyNumberFormat="1" applyFont="1" applyFill="1" applyBorder="1" applyAlignment="1">
      <alignment horizontal="right" vertical="top"/>
    </xf>
    <xf numFmtId="169" fontId="4" fillId="0" borderId="0" xfId="3" applyNumberFormat="1" applyFont="1" applyFill="1">
      <alignment horizontal="right" vertical="top"/>
    </xf>
    <xf numFmtId="0" fontId="11" fillId="2" borderId="6" xfId="0" applyFont="1" applyFill="1" applyBorder="1" applyAlignment="1">
      <alignment horizontal="left" wrapText="1"/>
    </xf>
    <xf numFmtId="0" fontId="10" fillId="0" borderId="0" xfId="0" applyFont="1" applyFill="1"/>
    <xf numFmtId="171" fontId="11" fillId="2" borderId="1" xfId="11" applyNumberFormat="1" applyFont="1" applyFill="1" applyBorder="1"/>
    <xf numFmtId="3" fontId="10" fillId="0" borderId="17" xfId="11" applyNumberFormat="1" applyFont="1" applyFill="1" applyBorder="1" applyAlignment="1">
      <alignment horizontal="right" vertical="top" wrapText="1"/>
    </xf>
    <xf numFmtId="3" fontId="10" fillId="0" borderId="0" xfId="0" applyNumberFormat="1" applyFont="1" applyFill="1" applyBorder="1" applyAlignment="1">
      <alignment horizontal="right"/>
    </xf>
    <xf numFmtId="0" fontId="11" fillId="2" borderId="6" xfId="0" applyFont="1" applyFill="1" applyBorder="1" applyAlignment="1">
      <alignment horizontal="left" wrapText="1"/>
    </xf>
    <xf numFmtId="0" fontId="10" fillId="0" borderId="0" xfId="0" applyFont="1" applyFill="1"/>
    <xf numFmtId="0" fontId="10" fillId="0" borderId="0" xfId="0" applyFont="1" applyFill="1"/>
    <xf numFmtId="0" fontId="43" fillId="0" borderId="0" xfId="0" applyFont="1" applyAlignment="1">
      <alignment horizontal="left"/>
    </xf>
    <xf numFmtId="10" fontId="42" fillId="0" borderId="23" xfId="16" applyNumberFormat="1" applyFont="1" applyBorder="1" applyAlignment="1">
      <alignment vertical="center" wrapText="1"/>
    </xf>
    <xf numFmtId="10" fontId="42" fillId="0" borderId="23" xfId="16" applyNumberFormat="1" applyFont="1" applyBorder="1" applyAlignment="1">
      <alignment horizontal="right" vertical="center" wrapText="1"/>
    </xf>
    <xf numFmtId="10" fontId="11" fillId="2" borderId="23" xfId="16" applyNumberFormat="1" applyFont="1" applyFill="1" applyBorder="1" applyAlignment="1">
      <alignment vertical="center"/>
    </xf>
    <xf numFmtId="0" fontId="11" fillId="2" borderId="6" xfId="0" applyFont="1" applyFill="1" applyBorder="1" applyAlignment="1">
      <alignment horizontal="right" vertical="top" wrapText="1"/>
    </xf>
    <xf numFmtId="14" fontId="11" fillId="3" borderId="0" xfId="0" applyNumberFormat="1" applyFont="1" applyFill="1" applyBorder="1" applyAlignment="1">
      <alignment horizontal="left"/>
    </xf>
    <xf numFmtId="0" fontId="0" fillId="3" borderId="0" xfId="0" applyFill="1" applyAlignment="1">
      <alignment horizontal="left"/>
    </xf>
    <xf numFmtId="14" fontId="10" fillId="2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3" fontId="11" fillId="2" borderId="6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0" fillId="3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right" wrapText="1"/>
    </xf>
    <xf numFmtId="0" fontId="11" fillId="3" borderId="6" xfId="0" applyFont="1" applyFill="1" applyBorder="1" applyAlignment="1">
      <alignment horizontal="right" wrapText="1"/>
    </xf>
    <xf numFmtId="0" fontId="10" fillId="3" borderId="0" xfId="0" applyFont="1" applyFill="1"/>
    <xf numFmtId="171" fontId="10" fillId="3" borderId="0" xfId="11" applyNumberFormat="1" applyFont="1" applyFill="1" applyBorder="1" applyAlignment="1">
      <alignment horizontal="left" wrapText="1"/>
    </xf>
    <xf numFmtId="167" fontId="11" fillId="0" borderId="1" xfId="4" applyFont="1" applyFill="1" applyBorder="1" applyAlignment="1">
      <alignment horizontal="left"/>
    </xf>
    <xf numFmtId="164" fontId="11" fillId="0" borderId="0" xfId="5" applyNumberFormat="1" applyFont="1" applyFill="1" applyAlignment="1">
      <alignment horizontal="left" vertical="top"/>
    </xf>
    <xf numFmtId="168" fontId="11" fillId="0" borderId="0" xfId="6" applyFont="1" applyFill="1" applyAlignment="1">
      <alignment horizontal="center"/>
    </xf>
    <xf numFmtId="0" fontId="10" fillId="0" borderId="0" xfId="0" applyFont="1" applyFill="1"/>
    <xf numFmtId="0" fontId="13" fillId="2" borderId="0" xfId="0" applyFont="1" applyFill="1" applyAlignment="1">
      <alignment horizontal="justify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right" vertical="top" wrapText="1"/>
    </xf>
    <xf numFmtId="0" fontId="11" fillId="2" borderId="6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wrapText="1"/>
    </xf>
    <xf numFmtId="0" fontId="11" fillId="2" borderId="0" xfId="0" applyFont="1" applyFill="1" applyAlignment="1">
      <alignment horizontal="center" wrapText="1"/>
    </xf>
    <xf numFmtId="0" fontId="25" fillId="0" borderId="0" xfId="0" applyFont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3" borderId="0" xfId="0" applyFont="1" applyFill="1" applyBorder="1" applyAlignment="1">
      <alignment horizontal="left" vertical="top" wrapText="1"/>
    </xf>
    <xf numFmtId="0" fontId="10" fillId="3" borderId="0" xfId="0" applyFont="1" applyFill="1" applyAlignment="1"/>
    <xf numFmtId="0" fontId="10" fillId="2" borderId="6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vertical="center" wrapText="1"/>
    </xf>
    <xf numFmtId="49" fontId="10" fillId="2" borderId="0" xfId="0" quotePrefix="1" applyNumberFormat="1" applyFont="1" applyFill="1" applyBorder="1" applyAlignment="1">
      <alignment horizontal="left" vertical="top" wrapText="1"/>
    </xf>
    <xf numFmtId="49" fontId="10" fillId="2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3" fontId="11" fillId="2" borderId="0" xfId="0" applyNumberFormat="1" applyFont="1" applyFill="1" applyBorder="1" applyAlignment="1">
      <alignment horizontal="right" wrapText="1"/>
    </xf>
    <xf numFmtId="3" fontId="11" fillId="2" borderId="6" xfId="0" applyNumberFormat="1" applyFont="1" applyFill="1" applyBorder="1" applyAlignment="1">
      <alignment horizontal="right" wrapText="1"/>
    </xf>
    <xf numFmtId="169" fontId="30" fillId="0" borderId="0" xfId="1" applyFont="1" applyFill="1" applyAlignment="1">
      <alignment horizontal="center" vertical="top"/>
    </xf>
    <xf numFmtId="0" fontId="11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3" borderId="0" xfId="0" applyFont="1" applyFill="1" applyBorder="1"/>
    <xf numFmtId="0" fontId="51" fillId="3" borderId="0" xfId="12" applyFont="1" applyFill="1" applyBorder="1" applyAlignment="1">
      <alignment horizontal="center" wrapText="1"/>
    </xf>
    <xf numFmtId="0" fontId="51" fillId="3" borderId="0" xfId="12" applyFont="1" applyFill="1" applyBorder="1" applyAlignment="1">
      <alignment horizontal="center"/>
    </xf>
    <xf numFmtId="0" fontId="13" fillId="0" borderId="0" xfId="0" applyFont="1" applyFill="1" applyAlignment="1">
      <alignment vertical="top" wrapText="1"/>
    </xf>
  </cellXfs>
  <cellStyles count="18">
    <cellStyle name="EY0dp" xfId="1"/>
    <cellStyle name="EYColumnHeading" xfId="2"/>
    <cellStyle name="EYnumber" xfId="3"/>
    <cellStyle name="EYSheetHeader1" xfId="4"/>
    <cellStyle name="EYtext" xfId="5"/>
    <cellStyle name="greyed 2" xfId="14"/>
    <cellStyle name="Hyperkobling" xfId="17" builtinId="8"/>
    <cellStyle name="Komma" xfId="11" builtinId="3"/>
    <cellStyle name="Komma 2" xfId="13"/>
    <cellStyle name="Normal" xfId="0" builtinId="0"/>
    <cellStyle name="Normal 2" xfId="12"/>
    <cellStyle name="Normal_Eksempelregnskap Sparebank 1 Gruppen 20051207" xfId="6"/>
    <cellStyle name="Normal_Note 15" xfId="7"/>
    <cellStyle name="Normal_Transaction Foundations Workbook" xfId="8"/>
    <cellStyle name="Normal_Verdipapirnote og derivatnote" xfId="9"/>
    <cellStyle name="Prosent" xfId="10" builtinId="5"/>
    <cellStyle name="Prosent 2" xfId="15"/>
    <cellStyle name="Prosent 3" xfId="16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6"/>
  <sheetViews>
    <sheetView showGridLines="0" tabSelected="1" zoomScale="90" zoomScaleNormal="90" workbookViewId="0">
      <selection activeCell="E1" sqref="E1"/>
    </sheetView>
  </sheetViews>
  <sheetFormatPr baseColWidth="10" defaultColWidth="11" defaultRowHeight="12.75" x14ac:dyDescent="0.2"/>
  <cols>
    <col min="1" max="1" width="9.625" style="293" customWidth="1"/>
    <col min="2" max="2" width="137" style="293" customWidth="1"/>
    <col min="3" max="3" width="17.25" style="293" customWidth="1"/>
    <col min="4" max="4" width="18.875" style="293" customWidth="1"/>
    <col min="5" max="5" width="20.625" style="293" customWidth="1"/>
    <col min="6" max="9" width="11" style="598"/>
    <col min="66" max="16384" width="11" style="293"/>
  </cols>
  <sheetData>
    <row r="1" spans="1:5" ht="23.25" x14ac:dyDescent="0.35">
      <c r="A1" s="283" t="s">
        <v>179</v>
      </c>
      <c r="B1" s="284"/>
      <c r="C1" s="284"/>
      <c r="D1" s="284"/>
      <c r="E1" s="285"/>
    </row>
    <row r="2" spans="1:5" x14ac:dyDescent="0.2">
      <c r="A2" s="286" t="s">
        <v>180</v>
      </c>
      <c r="B2" s="287" t="s">
        <v>181</v>
      </c>
      <c r="C2" s="288" t="s">
        <v>182</v>
      </c>
      <c r="D2" s="288" t="s">
        <v>183</v>
      </c>
      <c r="E2" s="288"/>
    </row>
    <row r="3" spans="1:5" ht="15" x14ac:dyDescent="0.25">
      <c r="A3" s="294"/>
      <c r="B3" s="291"/>
      <c r="C3" s="295"/>
      <c r="D3" s="295"/>
      <c r="E3" s="295"/>
    </row>
    <row r="4" spans="1:5" x14ac:dyDescent="0.2">
      <c r="A4" s="588">
        <v>1</v>
      </c>
      <c r="B4" s="297" t="s">
        <v>204</v>
      </c>
      <c r="C4" s="296">
        <v>51</v>
      </c>
      <c r="D4" s="296" t="s">
        <v>185</v>
      </c>
      <c r="E4" s="296"/>
    </row>
    <row r="5" spans="1:5" x14ac:dyDescent="0.2">
      <c r="A5" s="589">
        <v>2</v>
      </c>
      <c r="B5" s="291" t="s">
        <v>207</v>
      </c>
      <c r="C5" s="292">
        <v>52</v>
      </c>
      <c r="D5" s="292" t="s">
        <v>185</v>
      </c>
      <c r="E5" s="292"/>
    </row>
    <row r="6" spans="1:5" x14ac:dyDescent="0.2">
      <c r="A6" s="588">
        <v>3</v>
      </c>
      <c r="B6" s="297" t="s">
        <v>205</v>
      </c>
      <c r="C6" s="296">
        <v>53</v>
      </c>
      <c r="D6" s="296" t="s">
        <v>185</v>
      </c>
      <c r="E6" s="296"/>
    </row>
    <row r="7" spans="1:5" x14ac:dyDescent="0.2">
      <c r="A7" s="589">
        <v>4</v>
      </c>
      <c r="B7" s="291" t="s">
        <v>206</v>
      </c>
      <c r="C7" s="292">
        <v>53</v>
      </c>
      <c r="D7" s="292" t="s">
        <v>185</v>
      </c>
      <c r="E7" s="292"/>
    </row>
    <row r="8" spans="1:5" x14ac:dyDescent="0.2">
      <c r="A8" s="588">
        <v>5</v>
      </c>
      <c r="B8" s="297" t="s">
        <v>262</v>
      </c>
      <c r="C8" s="296">
        <v>36</v>
      </c>
      <c r="D8" s="296" t="s">
        <v>185</v>
      </c>
      <c r="E8" s="296"/>
    </row>
    <row r="9" spans="1:5" x14ac:dyDescent="0.2">
      <c r="A9" s="589">
        <v>6</v>
      </c>
      <c r="B9" s="293" t="s">
        <v>263</v>
      </c>
      <c r="C9" s="292">
        <v>41</v>
      </c>
      <c r="D9" s="292" t="s">
        <v>185</v>
      </c>
      <c r="E9" s="292"/>
    </row>
    <row r="10" spans="1:5" x14ac:dyDescent="0.2">
      <c r="A10" s="588">
        <v>7</v>
      </c>
      <c r="B10" s="297" t="s">
        <v>707</v>
      </c>
      <c r="C10" s="296">
        <v>55</v>
      </c>
      <c r="D10" s="296" t="s">
        <v>184</v>
      </c>
      <c r="E10" s="296"/>
    </row>
    <row r="11" spans="1:5" x14ac:dyDescent="0.2">
      <c r="A11" s="589">
        <v>8</v>
      </c>
      <c r="B11" s="291" t="s">
        <v>208</v>
      </c>
      <c r="C11" s="292">
        <v>55</v>
      </c>
      <c r="D11" s="292" t="s">
        <v>184</v>
      </c>
      <c r="E11" s="292"/>
    </row>
    <row r="12" spans="1:5" x14ac:dyDescent="0.2">
      <c r="A12" s="588">
        <v>9</v>
      </c>
      <c r="B12" s="297" t="s">
        <v>220</v>
      </c>
      <c r="C12" s="296">
        <v>56</v>
      </c>
      <c r="D12" s="296" t="s">
        <v>184</v>
      </c>
      <c r="E12" s="296"/>
    </row>
    <row r="13" spans="1:5" x14ac:dyDescent="0.2">
      <c r="A13" s="589">
        <v>10</v>
      </c>
      <c r="B13" s="298" t="s">
        <v>209</v>
      </c>
      <c r="C13" s="292">
        <v>57</v>
      </c>
      <c r="D13" s="292" t="s">
        <v>184</v>
      </c>
      <c r="E13" s="292"/>
    </row>
    <row r="14" spans="1:5" x14ac:dyDescent="0.2">
      <c r="A14" s="588">
        <v>11</v>
      </c>
      <c r="B14" s="297" t="s">
        <v>210</v>
      </c>
      <c r="C14" s="296">
        <v>58</v>
      </c>
      <c r="D14" s="296" t="s">
        <v>184</v>
      </c>
      <c r="E14" s="296"/>
    </row>
    <row r="15" spans="1:5" x14ac:dyDescent="0.2">
      <c r="A15" s="589">
        <v>12</v>
      </c>
      <c r="B15" s="291" t="s">
        <v>211</v>
      </c>
      <c r="C15" s="295">
        <v>59</v>
      </c>
      <c r="D15" s="292" t="s">
        <v>185</v>
      </c>
      <c r="E15" s="292"/>
    </row>
    <row r="16" spans="1:5" x14ac:dyDescent="0.2">
      <c r="A16" s="588">
        <v>13</v>
      </c>
      <c r="B16" s="297" t="s">
        <v>708</v>
      </c>
      <c r="C16" s="299">
        <v>60</v>
      </c>
      <c r="D16" s="296" t="s">
        <v>184</v>
      </c>
      <c r="E16" s="296"/>
    </row>
    <row r="17" spans="1:65" x14ac:dyDescent="0.2">
      <c r="A17" s="589">
        <v>14</v>
      </c>
      <c r="B17" s="291" t="s">
        <v>221</v>
      </c>
      <c r="C17" s="295">
        <v>60</v>
      </c>
      <c r="D17" s="295" t="s">
        <v>184</v>
      </c>
      <c r="E17" s="292"/>
    </row>
    <row r="18" spans="1:65" x14ac:dyDescent="0.2">
      <c r="A18" s="588">
        <v>15</v>
      </c>
      <c r="B18" s="297" t="s">
        <v>212</v>
      </c>
      <c r="C18" s="299">
        <v>61</v>
      </c>
      <c r="D18" s="299" t="s">
        <v>184</v>
      </c>
      <c r="E18" s="296"/>
    </row>
    <row r="19" spans="1:65" x14ac:dyDescent="0.2">
      <c r="A19" s="589">
        <v>16</v>
      </c>
      <c r="B19" s="291" t="s">
        <v>705</v>
      </c>
      <c r="C19" s="295">
        <v>62</v>
      </c>
      <c r="D19" s="295" t="s">
        <v>184</v>
      </c>
      <c r="E19" s="292"/>
    </row>
    <row r="20" spans="1:65" x14ac:dyDescent="0.2">
      <c r="A20" s="588">
        <v>17</v>
      </c>
      <c r="B20" s="297" t="s">
        <v>664</v>
      </c>
      <c r="C20" s="299">
        <v>66</v>
      </c>
      <c r="D20" s="299" t="s">
        <v>184</v>
      </c>
      <c r="E20" s="296"/>
    </row>
    <row r="21" spans="1:65" x14ac:dyDescent="0.2">
      <c r="A21" s="589">
        <v>18</v>
      </c>
      <c r="B21" s="634" t="s">
        <v>662</v>
      </c>
      <c r="C21" s="295">
        <v>67</v>
      </c>
      <c r="D21" s="295" t="s">
        <v>184</v>
      </c>
      <c r="E21" s="292"/>
    </row>
    <row r="22" spans="1:65" x14ac:dyDescent="0.2">
      <c r="A22" s="588">
        <v>19</v>
      </c>
      <c r="B22" s="635" t="s">
        <v>665</v>
      </c>
      <c r="C22" s="299">
        <v>69</v>
      </c>
      <c r="D22" s="299" t="s">
        <v>184</v>
      </c>
      <c r="E22" s="296"/>
    </row>
    <row r="23" spans="1:65" s="595" customFormat="1" x14ac:dyDescent="0.2">
      <c r="A23" s="590">
        <v>20</v>
      </c>
      <c r="B23" s="636" t="s">
        <v>783</v>
      </c>
      <c r="C23" s="495">
        <v>69</v>
      </c>
      <c r="D23" s="495" t="s">
        <v>184</v>
      </c>
      <c r="E23" s="493"/>
      <c r="F23" s="598"/>
      <c r="G23" s="598"/>
      <c r="H23" s="598"/>
      <c r="I23" s="59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x14ac:dyDescent="0.2">
      <c r="A24" s="588">
        <v>21</v>
      </c>
      <c r="B24" s="297" t="s">
        <v>213</v>
      </c>
      <c r="C24" s="299">
        <v>70</v>
      </c>
      <c r="D24" s="299" t="s">
        <v>184</v>
      </c>
      <c r="E24" s="296"/>
    </row>
    <row r="25" spans="1:65" s="595" customFormat="1" x14ac:dyDescent="0.2">
      <c r="A25" s="590">
        <v>22</v>
      </c>
      <c r="B25" s="494" t="s">
        <v>214</v>
      </c>
      <c r="C25" s="495">
        <v>70</v>
      </c>
      <c r="D25" s="495" t="s">
        <v>184</v>
      </c>
      <c r="E25" s="493"/>
      <c r="F25" s="598"/>
      <c r="G25" s="598"/>
      <c r="H25" s="598"/>
      <c r="I25" s="59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</row>
    <row r="26" spans="1:65" x14ac:dyDescent="0.2">
      <c r="A26" s="588">
        <v>23</v>
      </c>
      <c r="B26" s="297" t="s">
        <v>215</v>
      </c>
      <c r="C26" s="299">
        <v>71</v>
      </c>
      <c r="D26" s="299" t="s">
        <v>184</v>
      </c>
      <c r="E26" s="296"/>
    </row>
    <row r="27" spans="1:65" s="595" customFormat="1" x14ac:dyDescent="0.2">
      <c r="A27" s="590">
        <v>24</v>
      </c>
      <c r="B27" s="494" t="s">
        <v>197</v>
      </c>
      <c r="C27" s="495">
        <v>71</v>
      </c>
      <c r="D27" s="495" t="s">
        <v>184</v>
      </c>
      <c r="E27" s="493"/>
      <c r="F27" s="598"/>
      <c r="G27" s="598"/>
      <c r="H27" s="598"/>
      <c r="I27" s="59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</row>
    <row r="28" spans="1:65" x14ac:dyDescent="0.2">
      <c r="A28" s="588">
        <v>25</v>
      </c>
      <c r="B28" s="297" t="s">
        <v>198</v>
      </c>
      <c r="C28" s="299">
        <v>72</v>
      </c>
      <c r="D28" s="299" t="s">
        <v>184</v>
      </c>
      <c r="E28" s="296"/>
    </row>
    <row r="29" spans="1:65" s="595" customFormat="1" x14ac:dyDescent="0.2">
      <c r="A29" s="590">
        <v>26</v>
      </c>
      <c r="B29" s="494" t="s">
        <v>216</v>
      </c>
      <c r="C29" s="495">
        <v>72</v>
      </c>
      <c r="D29" s="495" t="s">
        <v>184</v>
      </c>
      <c r="E29" s="493"/>
      <c r="F29" s="598"/>
      <c r="G29" s="598"/>
      <c r="H29" s="598"/>
      <c r="I29" s="598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</row>
    <row r="30" spans="1:65" x14ac:dyDescent="0.2">
      <c r="A30" s="588">
        <v>27</v>
      </c>
      <c r="B30" s="297" t="s">
        <v>217</v>
      </c>
      <c r="C30" s="299">
        <v>72</v>
      </c>
      <c r="D30" s="299" t="s">
        <v>184</v>
      </c>
      <c r="E30" s="299"/>
    </row>
    <row r="31" spans="1:65" x14ac:dyDescent="0.2">
      <c r="A31" s="590">
        <v>28</v>
      </c>
      <c r="B31" s="494" t="s">
        <v>621</v>
      </c>
      <c r="C31" s="495"/>
      <c r="D31" s="495" t="s">
        <v>185</v>
      </c>
      <c r="E31" s="493"/>
    </row>
    <row r="32" spans="1:65" s="595" customFormat="1" ht="12.75" customHeight="1" x14ac:dyDescent="0.2">
      <c r="A32" s="588">
        <v>29</v>
      </c>
      <c r="B32" s="297" t="s">
        <v>713</v>
      </c>
      <c r="C32" s="299"/>
      <c r="D32" s="299" t="s">
        <v>185</v>
      </c>
      <c r="E32" s="299"/>
      <c r="F32" s="598"/>
      <c r="G32" s="598"/>
      <c r="H32" s="598"/>
      <c r="I32" s="598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</row>
    <row r="33" spans="1:65" x14ac:dyDescent="0.2">
      <c r="A33" s="590">
        <v>30</v>
      </c>
      <c r="B33" s="494" t="s">
        <v>633</v>
      </c>
      <c r="C33" s="495"/>
      <c r="D33" s="495" t="s">
        <v>185</v>
      </c>
      <c r="E33" s="493"/>
    </row>
    <row r="34" spans="1:65" s="595" customFormat="1" x14ac:dyDescent="0.2">
      <c r="A34" s="588">
        <v>31</v>
      </c>
      <c r="B34" s="297" t="s">
        <v>613</v>
      </c>
      <c r="C34" s="299"/>
      <c r="D34" s="299" t="s">
        <v>185</v>
      </c>
      <c r="E34" s="299"/>
      <c r="F34" s="494"/>
      <c r="G34" s="495"/>
      <c r="H34" s="495"/>
      <c r="I34" s="495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</row>
    <row r="35" spans="1:65" s="595" customFormat="1" ht="12.75" customHeight="1" x14ac:dyDescent="0.2">
      <c r="A35" s="590">
        <v>32</v>
      </c>
      <c r="B35" s="494" t="s">
        <v>811</v>
      </c>
      <c r="C35" s="495"/>
      <c r="D35" s="495" t="s">
        <v>185</v>
      </c>
      <c r="E35" s="493"/>
      <c r="F35" s="598"/>
      <c r="G35" s="598"/>
      <c r="H35" s="598"/>
      <c r="I35" s="598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</row>
    <row r="36" spans="1:65" s="595" customFormat="1" x14ac:dyDescent="0.2">
      <c r="A36" s="588">
        <v>33</v>
      </c>
      <c r="B36" s="297" t="s">
        <v>909</v>
      </c>
      <c r="C36" s="299"/>
      <c r="D36" s="299" t="s">
        <v>184</v>
      </c>
      <c r="E36" s="299"/>
      <c r="F36" s="494"/>
      <c r="G36" s="495"/>
      <c r="H36" s="495"/>
      <c r="I36" s="495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</row>
  </sheetData>
  <phoneticPr fontId="9" type="noConversion"/>
  <hyperlinks>
    <hyperlink ref="A4" location="'1'!A1" display="'1'!A1"/>
    <hyperlink ref="A5" location="'2'!A1" display="'2'!A1"/>
    <hyperlink ref="A6" location="'3'!A1" display="'3'!A1"/>
    <hyperlink ref="A7" location="'4'!A1" display="'4'!A1"/>
    <hyperlink ref="A8" location="'5'!A1" display="'5'!A1"/>
    <hyperlink ref="A9" location="'6'!A1" display="'6'!A1"/>
    <hyperlink ref="A10" location="'7'!A1" display="'7'!A1"/>
    <hyperlink ref="A11" location="'8'!A1" display="'8'!A1"/>
    <hyperlink ref="A12" location="'9'!A1" display="'9'!A1"/>
    <hyperlink ref="A13" location="'10'!A1" display="'10'!A1"/>
    <hyperlink ref="A14" location="'11'!A1" display="'11'!A1"/>
    <hyperlink ref="A15" location="'12'!A1" display="'12'!A1"/>
    <hyperlink ref="A16" location="'13'!A1" display="'13'!A1"/>
    <hyperlink ref="A17" location="'14'!A1" display="'14'!A1"/>
    <hyperlink ref="A18" location="'15'!A1" display="'15'!A1"/>
    <hyperlink ref="A19" location="'16'!A1" display="'16'!A1"/>
    <hyperlink ref="A20" location="'17'!A1" display="'17'!A1"/>
    <hyperlink ref="A21" location="'18'!A1" display="'18'!A1"/>
    <hyperlink ref="A22" location="'19'!A1" display="'19'!A1"/>
    <hyperlink ref="A24" location="'21'!A1" display="'21'!A1"/>
    <hyperlink ref="A25" location="'22'!A1" display="'22'!A1"/>
    <hyperlink ref="A26" location="'23'!A1" display="'23'!A1"/>
    <hyperlink ref="A27" location="'24'!A1" display="'24'!A1"/>
    <hyperlink ref="A28" location="'25'!A1" display="'25'!A1"/>
    <hyperlink ref="A29" location="'26'!A1" display="'26'!A1"/>
    <hyperlink ref="A30" location="'27'!A1" display="'27'!A1"/>
    <hyperlink ref="A31" location="'28'!A1" display="'28'!A1"/>
    <hyperlink ref="A32" location="'29'!A1" display="'29'!A1"/>
    <hyperlink ref="A33" location="'30'!A1" display="'30'!A1"/>
    <hyperlink ref="A34" location="'31'!A1" display="'31'!A1"/>
    <hyperlink ref="A23" location="'20'!A1" display="'20'!A1"/>
    <hyperlink ref="A35" location="'32'!A1" display="'32'!A1"/>
    <hyperlink ref="A36" location="'33'!A1" display="'33'!A1"/>
  </hyperlinks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tabColor rgb="FF00B050"/>
    <pageSetUpPr fitToPage="1"/>
  </sheetPr>
  <dimension ref="A1:F41"/>
  <sheetViews>
    <sheetView showGridLines="0" workbookViewId="0">
      <selection sqref="A1:C1"/>
    </sheetView>
  </sheetViews>
  <sheetFormatPr baseColWidth="10" defaultColWidth="11" defaultRowHeight="12" x14ac:dyDescent="0.2"/>
  <cols>
    <col min="1" max="1" width="24" style="329" customWidth="1"/>
    <col min="2" max="2" width="22.375" style="329" customWidth="1"/>
    <col min="3" max="3" width="27.875" style="329" customWidth="1"/>
    <col min="4" max="4" width="11" style="21"/>
    <col min="5" max="5" width="15.625" style="21" customWidth="1"/>
    <col min="6" max="16384" width="11" style="21"/>
  </cols>
  <sheetData>
    <row r="1" spans="1:3" ht="42.75" customHeight="1" x14ac:dyDescent="0.2">
      <c r="A1" s="695" t="s">
        <v>191</v>
      </c>
      <c r="B1" s="695"/>
      <c r="C1" s="695"/>
    </row>
    <row r="2" spans="1:3" x14ac:dyDescent="0.2">
      <c r="A2" s="167" t="s">
        <v>154</v>
      </c>
      <c r="B2" s="330"/>
      <c r="C2" s="330"/>
    </row>
    <row r="3" spans="1:3" s="362" customFormat="1" x14ac:dyDescent="0.2">
      <c r="A3" s="167"/>
      <c r="B3" s="330"/>
      <c r="C3" s="330"/>
    </row>
    <row r="4" spans="1:3" s="362" customFormat="1" ht="24.75" thickBot="1" x14ac:dyDescent="0.25">
      <c r="A4" s="561">
        <v>2017</v>
      </c>
      <c r="B4" s="355" t="s">
        <v>177</v>
      </c>
      <c r="C4" s="168" t="s">
        <v>178</v>
      </c>
    </row>
    <row r="5" spans="1:3" s="362" customFormat="1" x14ac:dyDescent="0.2">
      <c r="A5" s="17" t="s">
        <v>23</v>
      </c>
      <c r="B5" s="570">
        <v>87052</v>
      </c>
      <c r="C5" s="570">
        <f>+(B5+B19)/2</f>
        <v>86239</v>
      </c>
    </row>
    <row r="6" spans="1:3" s="362" customFormat="1" x14ac:dyDescent="0.2">
      <c r="A6" s="17" t="s">
        <v>24</v>
      </c>
      <c r="B6" s="570">
        <v>117334</v>
      </c>
      <c r="C6" s="570">
        <f>+(B6+B20)/2</f>
        <v>110209</v>
      </c>
    </row>
    <row r="7" spans="1:3" s="362" customFormat="1" x14ac:dyDescent="0.2">
      <c r="A7" s="94" t="s">
        <v>25</v>
      </c>
      <c r="B7" s="520">
        <f>SUM(B5:B6)</f>
        <v>204386</v>
      </c>
      <c r="C7" s="520">
        <f>SUM(C5:C6)</f>
        <v>196448</v>
      </c>
    </row>
    <row r="8" spans="1:3" s="362" customFormat="1" x14ac:dyDescent="0.2">
      <c r="A8" s="362" t="s">
        <v>26</v>
      </c>
      <c r="B8" s="78">
        <v>-639</v>
      </c>
      <c r="C8" s="571">
        <f>+(B8+B22)/2</f>
        <v>-614.5</v>
      </c>
    </row>
    <row r="9" spans="1:3" s="362" customFormat="1" x14ac:dyDescent="0.2">
      <c r="A9" s="17" t="s">
        <v>27</v>
      </c>
      <c r="B9" s="571">
        <v>-678</v>
      </c>
      <c r="C9" s="571">
        <f>+(B9+B23)/2</f>
        <v>-677</v>
      </c>
    </row>
    <row r="10" spans="1:3" s="362" customFormat="1" x14ac:dyDescent="0.2">
      <c r="A10" s="17" t="s">
        <v>142</v>
      </c>
      <c r="B10" s="570">
        <v>-13</v>
      </c>
      <c r="C10" s="571">
        <f>+(B10+B24)/2</f>
        <v>-9</v>
      </c>
    </row>
    <row r="11" spans="1:3" s="362" customFormat="1" x14ac:dyDescent="0.2">
      <c r="A11" s="94" t="s">
        <v>28</v>
      </c>
      <c r="B11" s="388">
        <f>+B7+B8+B9+B10</f>
        <v>203056</v>
      </c>
      <c r="C11" s="388">
        <f>SUM(C7:C10)</f>
        <v>195147.5</v>
      </c>
    </row>
    <row r="12" spans="1:3" s="362" customFormat="1" x14ac:dyDescent="0.2">
      <c r="A12" s="17"/>
      <c r="B12" s="387"/>
      <c r="C12" s="387"/>
    </row>
    <row r="13" spans="1:3" s="362" customFormat="1" x14ac:dyDescent="0.2">
      <c r="A13" s="17" t="s">
        <v>29</v>
      </c>
      <c r="B13" s="571">
        <v>207</v>
      </c>
      <c r="C13" s="571">
        <f>+(B13+B27)/2</f>
        <v>548</v>
      </c>
    </row>
    <row r="14" spans="1:3" s="362" customFormat="1" x14ac:dyDescent="0.2">
      <c r="A14" s="17" t="s">
        <v>30</v>
      </c>
      <c r="B14" s="571">
        <v>1608</v>
      </c>
      <c r="C14" s="571">
        <f>+(B14+B28)/2</f>
        <v>2971</v>
      </c>
    </row>
    <row r="15" spans="1:3" s="362" customFormat="1" x14ac:dyDescent="0.2">
      <c r="A15" s="94" t="s">
        <v>31</v>
      </c>
      <c r="B15" s="388">
        <f>SUM(B11:B14)</f>
        <v>204871</v>
      </c>
      <c r="C15" s="388">
        <f>SUM(C11:C14)</f>
        <v>198666.5</v>
      </c>
    </row>
    <row r="16" spans="1:3" s="362" customFormat="1" x14ac:dyDescent="0.2">
      <c r="A16" s="16"/>
      <c r="B16" s="387"/>
      <c r="C16" s="387"/>
    </row>
    <row r="17" spans="1:6" s="362" customFormat="1" x14ac:dyDescent="0.2">
      <c r="A17" s="16"/>
      <c r="B17" s="387"/>
      <c r="C17" s="387"/>
    </row>
    <row r="18" spans="1:6" ht="24.75" thickBot="1" x14ac:dyDescent="0.25">
      <c r="A18" s="386">
        <v>2016</v>
      </c>
      <c r="B18" s="355" t="s">
        <v>177</v>
      </c>
      <c r="C18" s="168" t="s">
        <v>178</v>
      </c>
    </row>
    <row r="19" spans="1:6" ht="13.5" customHeight="1" x14ac:dyDescent="0.2">
      <c r="A19" s="17" t="s">
        <v>23</v>
      </c>
      <c r="B19" s="570">
        <v>85426</v>
      </c>
      <c r="C19" s="570">
        <v>87757</v>
      </c>
    </row>
    <row r="20" spans="1:6" x14ac:dyDescent="0.2">
      <c r="A20" s="17" t="s">
        <v>24</v>
      </c>
      <c r="B20" s="570">
        <v>103084</v>
      </c>
      <c r="C20" s="570">
        <v>99493</v>
      </c>
    </row>
    <row r="21" spans="1:6" x14ac:dyDescent="0.2">
      <c r="A21" s="94" t="s">
        <v>25</v>
      </c>
      <c r="B21" s="520">
        <f>SUM(B19:B20)</f>
        <v>188510</v>
      </c>
      <c r="C21" s="520">
        <f>SUM(C19:C20)</f>
        <v>187250</v>
      </c>
    </row>
    <row r="22" spans="1:6" x14ac:dyDescent="0.2">
      <c r="A22" s="362" t="s">
        <v>26</v>
      </c>
      <c r="B22" s="78">
        <v>-590</v>
      </c>
      <c r="C22" s="571">
        <f>+(B22+B36)/2</f>
        <v>-295</v>
      </c>
    </row>
    <row r="23" spans="1:6" x14ac:dyDescent="0.2">
      <c r="A23" s="17" t="s">
        <v>27</v>
      </c>
      <c r="B23" s="571">
        <v>-676</v>
      </c>
      <c r="C23" s="571">
        <f>+(B23+B37)/2</f>
        <v>-338</v>
      </c>
    </row>
    <row r="24" spans="1:6" x14ac:dyDescent="0.2">
      <c r="A24" s="17" t="s">
        <v>142</v>
      </c>
      <c r="B24" s="570">
        <v>-5</v>
      </c>
      <c r="C24" s="571">
        <f>+(B24+B38)/2</f>
        <v>-2.5</v>
      </c>
    </row>
    <row r="25" spans="1:6" x14ac:dyDescent="0.2">
      <c r="A25" s="94" t="s">
        <v>28</v>
      </c>
      <c r="B25" s="388">
        <f>+B21+B22+B23+B24</f>
        <v>187239</v>
      </c>
      <c r="C25" s="388">
        <v>178391.5</v>
      </c>
    </row>
    <row r="26" spans="1:6" x14ac:dyDescent="0.2">
      <c r="A26" s="17"/>
      <c r="B26" s="387"/>
      <c r="C26" s="387"/>
      <c r="F26" s="27"/>
    </row>
    <row r="27" spans="1:6" x14ac:dyDescent="0.2">
      <c r="A27" s="17" t="s">
        <v>29</v>
      </c>
      <c r="B27" s="571">
        <v>889</v>
      </c>
      <c r="C27" s="571">
        <f>+(B27+B41)/2</f>
        <v>444.5</v>
      </c>
    </row>
    <row r="28" spans="1:6" x14ac:dyDescent="0.2">
      <c r="A28" s="17" t="s">
        <v>30</v>
      </c>
      <c r="B28" s="571">
        <v>4334</v>
      </c>
      <c r="C28" s="571">
        <f>+(B28+B42)/2</f>
        <v>2167</v>
      </c>
    </row>
    <row r="29" spans="1:6" x14ac:dyDescent="0.2">
      <c r="A29" s="94" t="s">
        <v>31</v>
      </c>
      <c r="B29" s="388">
        <f>SUM(B25:B28)</f>
        <v>192462</v>
      </c>
      <c r="C29" s="388">
        <v>182163.5</v>
      </c>
    </row>
    <row r="30" spans="1:6" x14ac:dyDescent="0.2">
      <c r="A30" s="362"/>
      <c r="B30" s="362"/>
      <c r="C30" s="362"/>
    </row>
    <row r="31" spans="1:6" x14ac:dyDescent="0.2">
      <c r="A31" s="362"/>
      <c r="B31" s="362"/>
      <c r="C31" s="362"/>
    </row>
    <row r="41" spans="1:1" x14ac:dyDescent="0.2">
      <c r="A41" s="172"/>
    </row>
  </sheetData>
  <mergeCells count="1">
    <mergeCell ref="A1:C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rgb="FF00B050"/>
    <pageSetUpPr fitToPage="1"/>
  </sheetPr>
  <dimension ref="A1:H38"/>
  <sheetViews>
    <sheetView zoomScaleNormal="100" workbookViewId="0"/>
  </sheetViews>
  <sheetFormatPr baseColWidth="10" defaultColWidth="11" defaultRowHeight="12" x14ac:dyDescent="0.2"/>
  <cols>
    <col min="1" max="1" width="29.875" style="21" customWidth="1"/>
    <col min="2" max="2" width="2.75" style="21" customWidth="1"/>
    <col min="3" max="3" width="7.625" style="21" customWidth="1"/>
    <col min="4" max="4" width="9.5" style="21" customWidth="1"/>
    <col min="5" max="5" width="7.625" style="21" customWidth="1"/>
    <col min="6" max="6" width="7.625" style="17" customWidth="1"/>
    <col min="7" max="7" width="11" style="21"/>
    <col min="8" max="8" width="21.25" style="21" customWidth="1"/>
    <col min="9" max="16384" width="11" style="21"/>
  </cols>
  <sheetData>
    <row r="1" spans="1:6" x14ac:dyDescent="0.2">
      <c r="A1" s="173" t="s">
        <v>193</v>
      </c>
      <c r="B1" s="333"/>
      <c r="C1" s="338"/>
      <c r="D1" s="333"/>
      <c r="E1" s="333"/>
    </row>
    <row r="2" spans="1:6" s="362" customFormat="1" x14ac:dyDescent="0.2">
      <c r="A2" s="333" t="s">
        <v>154</v>
      </c>
      <c r="B2" s="514"/>
      <c r="C2" s="111"/>
      <c r="D2" s="514"/>
      <c r="E2" s="514"/>
      <c r="F2" s="17"/>
    </row>
    <row r="3" spans="1:6" x14ac:dyDescent="0.2">
      <c r="B3" s="333"/>
      <c r="C3" s="69"/>
      <c r="D3" s="89"/>
      <c r="E3" s="89"/>
    </row>
    <row r="4" spans="1:6" s="362" customFormat="1" ht="36.75" thickBot="1" x14ac:dyDescent="0.25">
      <c r="A4" s="561">
        <v>2017</v>
      </c>
      <c r="B4" s="162"/>
      <c r="C4" s="162" t="s">
        <v>174</v>
      </c>
      <c r="D4" s="355" t="s">
        <v>153</v>
      </c>
      <c r="E4" s="162" t="s">
        <v>7</v>
      </c>
      <c r="F4" s="17"/>
    </row>
    <row r="5" spans="1:6" s="362" customFormat="1" x14ac:dyDescent="0.2">
      <c r="A5" s="362" t="s">
        <v>39</v>
      </c>
      <c r="B5" s="174"/>
      <c r="C5" s="572">
        <v>4833</v>
      </c>
      <c r="D5" s="573">
        <v>2660</v>
      </c>
      <c r="E5" s="574">
        <f>+C5+D5</f>
        <v>7493</v>
      </c>
      <c r="F5" s="17"/>
    </row>
    <row r="6" spans="1:6" s="362" customFormat="1" x14ac:dyDescent="0.2">
      <c r="A6" s="362" t="s">
        <v>40</v>
      </c>
      <c r="B6" s="174"/>
      <c r="C6" s="572">
        <v>860</v>
      </c>
      <c r="D6" s="573">
        <v>574</v>
      </c>
      <c r="E6" s="574">
        <f t="shared" ref="E6:E16" si="0">+C6+D6</f>
        <v>1434</v>
      </c>
      <c r="F6" s="17"/>
    </row>
    <row r="7" spans="1:6" s="362" customFormat="1" x14ac:dyDescent="0.2">
      <c r="A7" s="362" t="s">
        <v>41</v>
      </c>
      <c r="B7" s="174"/>
      <c r="C7" s="572">
        <v>4876</v>
      </c>
      <c r="D7" s="573">
        <v>4951</v>
      </c>
      <c r="E7" s="574">
        <f t="shared" si="0"/>
        <v>9827</v>
      </c>
      <c r="F7" s="17"/>
    </row>
    <row r="8" spans="1:6" s="362" customFormat="1" x14ac:dyDescent="0.2">
      <c r="A8" s="362" t="s">
        <v>42</v>
      </c>
      <c r="B8" s="174"/>
      <c r="C8" s="572">
        <v>3632</v>
      </c>
      <c r="D8" s="573">
        <v>168</v>
      </c>
      <c r="E8" s="574">
        <f t="shared" si="0"/>
        <v>3800</v>
      </c>
      <c r="F8" s="17"/>
    </row>
    <row r="9" spans="1:6" s="362" customFormat="1" x14ac:dyDescent="0.2">
      <c r="A9" s="362" t="s">
        <v>43</v>
      </c>
      <c r="B9" s="174"/>
      <c r="C9" s="572">
        <v>3666</v>
      </c>
      <c r="D9" s="573">
        <v>2919</v>
      </c>
      <c r="E9" s="574">
        <f t="shared" si="0"/>
        <v>6585</v>
      </c>
      <c r="F9" s="17"/>
    </row>
    <row r="10" spans="1:6" s="362" customFormat="1" x14ac:dyDescent="0.2">
      <c r="A10" s="362" t="s">
        <v>44</v>
      </c>
      <c r="B10" s="174"/>
      <c r="C10" s="572">
        <v>2984</v>
      </c>
      <c r="D10" s="573">
        <v>1432</v>
      </c>
      <c r="E10" s="574">
        <f t="shared" si="0"/>
        <v>4416</v>
      </c>
      <c r="F10" s="17"/>
    </row>
    <row r="11" spans="1:6" s="362" customFormat="1" x14ac:dyDescent="0.2">
      <c r="A11" s="362" t="s">
        <v>45</v>
      </c>
      <c r="B11" s="174"/>
      <c r="C11" s="572">
        <v>10015</v>
      </c>
      <c r="D11" s="573">
        <v>2181</v>
      </c>
      <c r="E11" s="574">
        <f t="shared" si="0"/>
        <v>12196</v>
      </c>
      <c r="F11" s="17"/>
    </row>
    <row r="12" spans="1:6" s="362" customFormat="1" x14ac:dyDescent="0.2">
      <c r="A12" s="362" t="s">
        <v>46</v>
      </c>
      <c r="B12" s="174"/>
      <c r="C12" s="572">
        <v>27041</v>
      </c>
      <c r="D12" s="573">
        <v>345</v>
      </c>
      <c r="E12" s="574">
        <f t="shared" si="0"/>
        <v>27386</v>
      </c>
      <c r="F12" s="17"/>
    </row>
    <row r="13" spans="1:6" s="362" customFormat="1" x14ac:dyDescent="0.2">
      <c r="A13" s="362" t="s">
        <v>47</v>
      </c>
      <c r="B13" s="174"/>
      <c r="C13" s="572">
        <v>8428</v>
      </c>
      <c r="D13" s="573">
        <v>2064</v>
      </c>
      <c r="E13" s="574">
        <f t="shared" si="0"/>
        <v>10492</v>
      </c>
      <c r="F13" s="17"/>
    </row>
    <row r="14" spans="1:6" s="362" customFormat="1" x14ac:dyDescent="0.2">
      <c r="A14" s="17" t="s">
        <v>48</v>
      </c>
      <c r="B14" s="174"/>
      <c r="C14" s="572">
        <v>1869</v>
      </c>
      <c r="D14" s="573">
        <v>1554</v>
      </c>
      <c r="E14" s="574">
        <f t="shared" si="0"/>
        <v>3423</v>
      </c>
      <c r="F14" s="17"/>
    </row>
    <row r="15" spans="1:6" s="362" customFormat="1" x14ac:dyDescent="0.2">
      <c r="A15" s="17" t="s">
        <v>768</v>
      </c>
      <c r="B15" s="174"/>
      <c r="C15" s="572">
        <v>-399</v>
      </c>
      <c r="D15" s="573">
        <v>399</v>
      </c>
      <c r="E15" s="574">
        <f t="shared" si="0"/>
        <v>0</v>
      </c>
      <c r="F15" s="17"/>
    </row>
    <row r="16" spans="1:6" s="362" customFormat="1" x14ac:dyDescent="0.2">
      <c r="A16" s="17" t="s">
        <v>703</v>
      </c>
      <c r="B16" s="174"/>
      <c r="C16" s="572">
        <v>450</v>
      </c>
      <c r="D16" s="573">
        <v>-450</v>
      </c>
      <c r="E16" s="574">
        <f t="shared" si="0"/>
        <v>0</v>
      </c>
      <c r="F16" s="17"/>
    </row>
    <row r="17" spans="1:8" s="362" customFormat="1" x14ac:dyDescent="0.2">
      <c r="A17" s="16" t="s">
        <v>49</v>
      </c>
      <c r="B17" s="175"/>
      <c r="C17" s="339">
        <f>SUM(C5:C16)</f>
        <v>68255</v>
      </c>
      <c r="D17" s="667">
        <f>SUM(D5:D16)</f>
        <v>18797</v>
      </c>
      <c r="E17" s="667">
        <f>SUM(E5:E16)</f>
        <v>87052</v>
      </c>
      <c r="F17" s="17"/>
    </row>
    <row r="18" spans="1:8" s="362" customFormat="1" x14ac:dyDescent="0.2">
      <c r="A18" s="177" t="s">
        <v>24</v>
      </c>
      <c r="B18" s="178"/>
      <c r="C18" s="575">
        <v>104299</v>
      </c>
      <c r="D18" s="573">
        <v>13035.45</v>
      </c>
      <c r="E18" s="576">
        <f>+C18+D18</f>
        <v>117334.45</v>
      </c>
      <c r="F18" s="17"/>
    </row>
    <row r="19" spans="1:8" s="362" customFormat="1" x14ac:dyDescent="0.2">
      <c r="A19" s="94" t="s">
        <v>38</v>
      </c>
      <c r="B19" s="179"/>
      <c r="C19" s="340">
        <f>SUM(C17:C18)</f>
        <v>172554</v>
      </c>
      <c r="D19" s="456">
        <f>SUM(D17:D18)</f>
        <v>31832.45</v>
      </c>
      <c r="E19" s="522">
        <f>SUM(E17:E18)</f>
        <v>204386.45</v>
      </c>
      <c r="F19" s="17"/>
    </row>
    <row r="20" spans="1:8" s="362" customFormat="1" x14ac:dyDescent="0.2">
      <c r="B20" s="562"/>
      <c r="C20" s="69"/>
      <c r="D20" s="89"/>
      <c r="E20" s="89"/>
      <c r="F20" s="17"/>
    </row>
    <row r="21" spans="1:8" s="362" customFormat="1" x14ac:dyDescent="0.2">
      <c r="B21" s="562"/>
      <c r="C21" s="69"/>
      <c r="D21" s="89"/>
      <c r="E21" s="89"/>
      <c r="F21" s="17"/>
    </row>
    <row r="22" spans="1:8" s="362" customFormat="1" x14ac:dyDescent="0.2">
      <c r="B22" s="562"/>
      <c r="C22" s="69"/>
      <c r="D22" s="89"/>
      <c r="E22" s="89"/>
      <c r="F22" s="17"/>
    </row>
    <row r="23" spans="1:8" ht="36.75" thickBot="1" x14ac:dyDescent="0.25">
      <c r="A23" s="665">
        <v>2016</v>
      </c>
      <c r="B23" s="162"/>
      <c r="C23" s="162" t="s">
        <v>174</v>
      </c>
      <c r="D23" s="355" t="s">
        <v>153</v>
      </c>
      <c r="E23" s="162" t="s">
        <v>7</v>
      </c>
      <c r="F23" s="69"/>
      <c r="G23" s="69"/>
    </row>
    <row r="24" spans="1:8" x14ac:dyDescent="0.2">
      <c r="A24" s="362" t="s">
        <v>39</v>
      </c>
      <c r="B24" s="174"/>
      <c r="C24" s="572">
        <v>4549.45</v>
      </c>
      <c r="D24" s="573">
        <v>2544</v>
      </c>
      <c r="E24" s="574">
        <v>7093.45</v>
      </c>
      <c r="F24" s="117"/>
      <c r="G24" s="17"/>
    </row>
    <row r="25" spans="1:8" x14ac:dyDescent="0.2">
      <c r="A25" s="362" t="s">
        <v>40</v>
      </c>
      <c r="B25" s="174"/>
      <c r="C25" s="572">
        <v>754.60956805000001</v>
      </c>
      <c r="D25" s="573">
        <v>145</v>
      </c>
      <c r="E25" s="574">
        <v>899.60956805000001</v>
      </c>
      <c r="F25" s="117"/>
    </row>
    <row r="26" spans="1:8" x14ac:dyDescent="0.2">
      <c r="A26" s="362" t="s">
        <v>41</v>
      </c>
      <c r="B26" s="174"/>
      <c r="C26" s="572">
        <v>4779.5447706900004</v>
      </c>
      <c r="D26" s="573">
        <v>329</v>
      </c>
      <c r="E26" s="574">
        <v>5108.5447706900004</v>
      </c>
      <c r="F26" s="117"/>
    </row>
    <row r="27" spans="1:8" x14ac:dyDescent="0.2">
      <c r="A27" s="362" t="s">
        <v>42</v>
      </c>
      <c r="B27" s="174"/>
      <c r="C27" s="572">
        <v>2913.7711606100011</v>
      </c>
      <c r="D27" s="573">
        <v>1620</v>
      </c>
      <c r="E27" s="574">
        <v>4533.7711606100011</v>
      </c>
      <c r="F27" s="117"/>
      <c r="H27" s="27"/>
    </row>
    <row r="28" spans="1:8" x14ac:dyDescent="0.2">
      <c r="A28" s="362" t="s">
        <v>43</v>
      </c>
      <c r="B28" s="174"/>
      <c r="C28" s="572">
        <v>3533.1557375300008</v>
      </c>
      <c r="D28" s="573">
        <v>1794</v>
      </c>
      <c r="E28" s="574">
        <v>5327.1557375300008</v>
      </c>
      <c r="F28" s="117"/>
    </row>
    <row r="29" spans="1:8" x14ac:dyDescent="0.2">
      <c r="A29" s="362" t="s">
        <v>44</v>
      </c>
      <c r="B29" s="174"/>
      <c r="C29" s="572">
        <v>2885.1942420399996</v>
      </c>
      <c r="D29" s="573">
        <v>1711</v>
      </c>
      <c r="E29" s="574">
        <v>4596.1942420399992</v>
      </c>
      <c r="F29" s="117"/>
    </row>
    <row r="30" spans="1:8" x14ac:dyDescent="0.2">
      <c r="A30" s="362" t="s">
        <v>45</v>
      </c>
      <c r="B30" s="174"/>
      <c r="C30" s="572">
        <v>9765.7491792799974</v>
      </c>
      <c r="D30" s="573">
        <v>276</v>
      </c>
      <c r="E30" s="574">
        <v>10041.749179279997</v>
      </c>
      <c r="F30" s="117"/>
    </row>
    <row r="31" spans="1:8" x14ac:dyDescent="0.2">
      <c r="A31" s="362" t="s">
        <v>46</v>
      </c>
      <c r="B31" s="174"/>
      <c r="C31" s="572">
        <v>27268.744084090009</v>
      </c>
      <c r="D31" s="573">
        <v>6086</v>
      </c>
      <c r="E31" s="574">
        <v>33354.744084090009</v>
      </c>
      <c r="F31" s="117"/>
    </row>
    <row r="32" spans="1:8" x14ac:dyDescent="0.2">
      <c r="A32" s="362" t="s">
        <v>47</v>
      </c>
      <c r="B32" s="174"/>
      <c r="C32" s="572">
        <v>8440.525104180002</v>
      </c>
      <c r="D32" s="573">
        <v>2193</v>
      </c>
      <c r="E32" s="574">
        <v>10633.525104180002</v>
      </c>
      <c r="F32" s="117"/>
    </row>
    <row r="33" spans="1:8" x14ac:dyDescent="0.2">
      <c r="A33" s="17" t="s">
        <v>48</v>
      </c>
      <c r="B33" s="174"/>
      <c r="C33" s="572">
        <v>1897.921</v>
      </c>
      <c r="D33" s="573">
        <v>1939</v>
      </c>
      <c r="E33" s="574">
        <v>3836.9210000000003</v>
      </c>
      <c r="F33" s="117"/>
    </row>
    <row r="34" spans="1:8" x14ac:dyDescent="0.2">
      <c r="A34" s="17" t="s">
        <v>768</v>
      </c>
      <c r="B34" s="174"/>
      <c r="C34" s="572">
        <v>-741</v>
      </c>
      <c r="D34" s="573">
        <v>741</v>
      </c>
      <c r="E34" s="574">
        <v>0</v>
      </c>
      <c r="F34" s="117"/>
      <c r="H34" s="289"/>
    </row>
    <row r="35" spans="1:8" x14ac:dyDescent="0.2">
      <c r="A35" s="17" t="s">
        <v>703</v>
      </c>
      <c r="B35" s="174"/>
      <c r="C35" s="572">
        <v>419</v>
      </c>
      <c r="D35" s="573">
        <v>-419</v>
      </c>
      <c r="E35" s="574">
        <v>0</v>
      </c>
      <c r="F35" s="176"/>
      <c r="H35" s="27"/>
    </row>
    <row r="36" spans="1:8" x14ac:dyDescent="0.2">
      <c r="A36" s="16" t="s">
        <v>49</v>
      </c>
      <c r="B36" s="175"/>
      <c r="C36" s="339">
        <f>SUM(C24:C35)</f>
        <v>66466.664846470012</v>
      </c>
      <c r="D36" s="667">
        <f>SUM(D24:D35)</f>
        <v>18959</v>
      </c>
      <c r="E36" s="667">
        <f>SUM(E24:E35)</f>
        <v>85425.664846470027</v>
      </c>
      <c r="F36" s="117"/>
      <c r="H36" s="289"/>
    </row>
    <row r="37" spans="1:8" x14ac:dyDescent="0.2">
      <c r="A37" s="177" t="s">
        <v>24</v>
      </c>
      <c r="B37" s="178"/>
      <c r="C37" s="575">
        <v>91171</v>
      </c>
      <c r="D37" s="573">
        <v>11913</v>
      </c>
      <c r="E37" s="668">
        <f>+C37+D37</f>
        <v>103084</v>
      </c>
      <c r="F37" s="163"/>
      <c r="H37" s="289"/>
    </row>
    <row r="38" spans="1:8" x14ac:dyDescent="0.2">
      <c r="A38" s="94" t="s">
        <v>38</v>
      </c>
      <c r="B38" s="179"/>
      <c r="C38" s="340">
        <f>SUM(C36:C37)</f>
        <v>157637.66484647</v>
      </c>
      <c r="D38" s="456">
        <f>SUM(D36:D37)</f>
        <v>30872</v>
      </c>
      <c r="E38" s="522">
        <f>SUM(E36:E37)</f>
        <v>188509.66484647003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tabColor rgb="FF00B050"/>
    <pageSetUpPr fitToPage="1"/>
  </sheetPr>
  <dimension ref="A1:S28"/>
  <sheetViews>
    <sheetView zoomScaleNormal="100" workbookViewId="0"/>
  </sheetViews>
  <sheetFormatPr baseColWidth="10" defaultColWidth="11" defaultRowHeight="12" x14ac:dyDescent="0.2"/>
  <cols>
    <col min="1" max="1" width="23.375" style="21" customWidth="1"/>
    <col min="2" max="2" width="10.125" style="21" bestFit="1" customWidth="1"/>
    <col min="3" max="3" width="11.75" style="21" customWidth="1"/>
    <col min="4" max="4" width="11.5" style="21" customWidth="1"/>
    <col min="5" max="5" width="11.25" style="21" customWidth="1"/>
    <col min="6" max="6" width="12" style="21" customWidth="1"/>
    <col min="7" max="7" width="5.5" style="21" customWidth="1"/>
    <col min="8" max="8" width="21.375" style="21" customWidth="1"/>
    <col min="9" max="16384" width="11" style="21"/>
  </cols>
  <sheetData>
    <row r="1" spans="1:19" x14ac:dyDescent="0.2">
      <c r="A1" s="173" t="s">
        <v>194</v>
      </c>
      <c r="B1" s="73"/>
      <c r="C1" s="91"/>
      <c r="D1" s="181"/>
    </row>
    <row r="2" spans="1:19" x14ac:dyDescent="0.2">
      <c r="A2" s="73" t="s">
        <v>154</v>
      </c>
      <c r="B2" s="73"/>
      <c r="C2" s="91"/>
    </row>
    <row r="3" spans="1:19" x14ac:dyDescent="0.2">
      <c r="A3" s="73"/>
      <c r="B3" s="73"/>
      <c r="C3" s="91"/>
    </row>
    <row r="4" spans="1:19" ht="12.75" thickBot="1" x14ac:dyDescent="0.25">
      <c r="A4" s="115">
        <v>2017</v>
      </c>
      <c r="B4" s="162" t="s">
        <v>50</v>
      </c>
      <c r="C4" s="162" t="s">
        <v>51</v>
      </c>
      <c r="D4" s="162" t="s">
        <v>52</v>
      </c>
      <c r="E4" s="162" t="s">
        <v>53</v>
      </c>
      <c r="F4" s="162" t="s">
        <v>7</v>
      </c>
      <c r="G4" s="69"/>
    </row>
    <row r="5" spans="1:19" x14ac:dyDescent="0.2">
      <c r="A5" s="66" t="s">
        <v>174</v>
      </c>
      <c r="B5" s="93">
        <v>19763</v>
      </c>
      <c r="C5" s="93">
        <v>10077</v>
      </c>
      <c r="D5" s="93">
        <v>36608</v>
      </c>
      <c r="E5" s="93">
        <v>106106</v>
      </c>
      <c r="F5" s="93">
        <f>SUM(B5:E5)</f>
        <v>172554</v>
      </c>
      <c r="G5" s="93"/>
      <c r="I5" s="27"/>
    </row>
    <row r="6" spans="1:19" x14ac:dyDescent="0.2">
      <c r="A6" s="17" t="s">
        <v>36</v>
      </c>
      <c r="B6" s="93">
        <v>22712</v>
      </c>
      <c r="C6" s="93"/>
      <c r="D6" s="93"/>
      <c r="E6" s="93"/>
      <c r="F6" s="93">
        <f>SUM(B6:E6)</f>
        <v>22712</v>
      </c>
      <c r="G6" s="93"/>
    </row>
    <row r="7" spans="1:19" x14ac:dyDescent="0.2">
      <c r="A7" s="182" t="s">
        <v>37</v>
      </c>
      <c r="B7" s="183">
        <v>83</v>
      </c>
      <c r="C7" s="669">
        <v>2391</v>
      </c>
      <c r="D7" s="669">
        <v>5419</v>
      </c>
      <c r="E7" s="669">
        <v>1227</v>
      </c>
      <c r="F7" s="93">
        <f>SUM(B7:E7)</f>
        <v>9120</v>
      </c>
      <c r="G7" s="93"/>
      <c r="H7" s="666"/>
    </row>
    <row r="8" spans="1:19" x14ac:dyDescent="0.2">
      <c r="A8" s="180" t="s">
        <v>38</v>
      </c>
      <c r="B8" s="391">
        <f>SUM(B5:B7)</f>
        <v>42558</v>
      </c>
      <c r="C8" s="391">
        <f>SUM(C5:C7)</f>
        <v>12468</v>
      </c>
      <c r="D8" s="391">
        <f>SUM(D5:D7)</f>
        <v>42027</v>
      </c>
      <c r="E8" s="391">
        <f>SUM(E5:E7)</f>
        <v>107333</v>
      </c>
      <c r="F8" s="391">
        <f>SUM(F5:F7)</f>
        <v>204386</v>
      </c>
      <c r="G8" s="163"/>
    </row>
    <row r="9" spans="1:19" ht="8.25" customHeight="1" x14ac:dyDescent="0.2">
      <c r="A9" s="173"/>
      <c r="B9" s="93"/>
      <c r="C9" s="93"/>
      <c r="D9" s="93"/>
      <c r="E9" s="93"/>
      <c r="F9" s="93"/>
      <c r="G9" s="79"/>
    </row>
    <row r="10" spans="1:19" x14ac:dyDescent="0.2">
      <c r="A10" s="17" t="s">
        <v>29</v>
      </c>
      <c r="B10" s="93">
        <v>194</v>
      </c>
      <c r="C10" s="188">
        <v>13</v>
      </c>
      <c r="D10" s="93" t="s">
        <v>122</v>
      </c>
      <c r="E10" s="93" t="s">
        <v>122</v>
      </c>
      <c r="F10" s="93">
        <f>SUM(B10:E10)</f>
        <v>207</v>
      </c>
      <c r="G10" s="93"/>
    </row>
    <row r="11" spans="1:19" x14ac:dyDescent="0.2">
      <c r="A11" s="182" t="s">
        <v>30</v>
      </c>
      <c r="B11" s="567">
        <v>0</v>
      </c>
      <c r="C11" s="568">
        <v>730</v>
      </c>
      <c r="D11" s="567">
        <v>860</v>
      </c>
      <c r="E11" s="567">
        <v>18</v>
      </c>
      <c r="F11" s="569">
        <f>SUM(B11:E11)</f>
        <v>1608</v>
      </c>
      <c r="G11" s="93"/>
    </row>
    <row r="12" spans="1:19" x14ac:dyDescent="0.2">
      <c r="B12" s="163"/>
      <c r="C12" s="163"/>
      <c r="D12" s="163"/>
      <c r="E12" s="163"/>
      <c r="F12" s="163"/>
    </row>
    <row r="13" spans="1:19" ht="12.75" thickBot="1" x14ac:dyDescent="0.25">
      <c r="A13" s="185">
        <v>2016</v>
      </c>
      <c r="B13" s="185" t="s">
        <v>50</v>
      </c>
      <c r="C13" s="513" t="s">
        <v>51</v>
      </c>
      <c r="D13" s="513" t="s">
        <v>52</v>
      </c>
      <c r="E13" s="513" t="s">
        <v>53</v>
      </c>
      <c r="F13" s="513" t="s">
        <v>7</v>
      </c>
    </row>
    <row r="14" spans="1:19" x14ac:dyDescent="0.2">
      <c r="A14" s="66" t="s">
        <v>174</v>
      </c>
      <c r="B14" s="93">
        <v>49766</v>
      </c>
      <c r="C14" s="93">
        <v>6517</v>
      </c>
      <c r="D14" s="93">
        <v>23254</v>
      </c>
      <c r="E14" s="93">
        <v>78101</v>
      </c>
      <c r="F14" s="93">
        <f>SUM(B14:E14)</f>
        <v>157638</v>
      </c>
    </row>
    <row r="15" spans="1:19" x14ac:dyDescent="0.2">
      <c r="A15" s="17" t="s">
        <v>36</v>
      </c>
      <c r="B15" s="93">
        <v>21037</v>
      </c>
      <c r="C15" s="93"/>
      <c r="D15" s="93"/>
      <c r="E15" s="93"/>
      <c r="F15" s="93">
        <f>SUM(B15:E15)</f>
        <v>21037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 x14ac:dyDescent="0.2">
      <c r="A16" s="182" t="s">
        <v>37</v>
      </c>
      <c r="B16" s="183">
        <v>39</v>
      </c>
      <c r="C16" s="183">
        <v>2092</v>
      </c>
      <c r="D16" s="183">
        <v>6194</v>
      </c>
      <c r="E16" s="183">
        <v>1510</v>
      </c>
      <c r="F16" s="93">
        <f>SUM(B16:E16)</f>
        <v>9835</v>
      </c>
      <c r="I16" s="62"/>
      <c r="J16" s="99"/>
      <c r="K16" s="99"/>
      <c r="L16" s="99"/>
      <c r="M16" s="99"/>
      <c r="N16" s="99"/>
      <c r="O16" s="99"/>
      <c r="P16" s="99"/>
      <c r="Q16" s="99"/>
      <c r="R16" s="99"/>
      <c r="S16" s="99"/>
    </row>
    <row r="17" spans="1:19" x14ac:dyDescent="0.2">
      <c r="A17" s="180" t="s">
        <v>38</v>
      </c>
      <c r="B17" s="391">
        <f>SUM(B14:B16)</f>
        <v>70842</v>
      </c>
      <c r="C17" s="391">
        <f>SUM(C14:C16)</f>
        <v>8609</v>
      </c>
      <c r="D17" s="391">
        <f>SUM(D14:D16)</f>
        <v>29448</v>
      </c>
      <c r="E17" s="391">
        <f>SUM(E14:E16)</f>
        <v>79611</v>
      </c>
      <c r="F17" s="391">
        <f>SUM(B17:E17)</f>
        <v>188510</v>
      </c>
      <c r="H17" s="157"/>
      <c r="J17" s="23"/>
      <c r="K17" s="23"/>
      <c r="L17" s="23"/>
      <c r="M17" s="23"/>
      <c r="N17" s="23"/>
      <c r="O17" s="23"/>
      <c r="P17" s="23"/>
      <c r="Q17" s="23"/>
      <c r="R17" s="23"/>
      <c r="S17" s="23"/>
    </row>
    <row r="18" spans="1:19" ht="8.25" customHeight="1" x14ac:dyDescent="0.2">
      <c r="A18" s="173"/>
      <c r="B18" s="186"/>
      <c r="C18" s="93"/>
      <c r="D18" s="187"/>
      <c r="E18" s="79"/>
      <c r="F18" s="79"/>
    </row>
    <row r="19" spans="1:19" x14ac:dyDescent="0.2">
      <c r="A19" s="17" t="s">
        <v>29</v>
      </c>
      <c r="B19" s="93">
        <v>889</v>
      </c>
      <c r="C19" s="188" t="s">
        <v>122</v>
      </c>
      <c r="D19" s="188" t="s">
        <v>122</v>
      </c>
      <c r="E19" s="188" t="s">
        <v>122</v>
      </c>
      <c r="F19" s="93">
        <f>SUM(B19:E19)</f>
        <v>889</v>
      </c>
      <c r="H19" s="79"/>
    </row>
    <row r="20" spans="1:19" x14ac:dyDescent="0.2">
      <c r="A20" s="182" t="s">
        <v>30</v>
      </c>
      <c r="B20" s="567">
        <v>802</v>
      </c>
      <c r="C20" s="568">
        <v>3532</v>
      </c>
      <c r="D20" s="568" t="s">
        <v>122</v>
      </c>
      <c r="E20" s="568" t="s">
        <v>122</v>
      </c>
      <c r="F20" s="569">
        <f>SUM(B20:E20)</f>
        <v>4334</v>
      </c>
    </row>
    <row r="21" spans="1:19" x14ac:dyDescent="0.2">
      <c r="G21" s="69"/>
    </row>
    <row r="22" spans="1:19" x14ac:dyDescent="0.2">
      <c r="G22" s="93"/>
    </row>
    <row r="23" spans="1:19" x14ac:dyDescent="0.2">
      <c r="G23" s="93"/>
    </row>
    <row r="24" spans="1:19" x14ac:dyDescent="0.2">
      <c r="G24" s="93"/>
    </row>
    <row r="25" spans="1:19" x14ac:dyDescent="0.2">
      <c r="G25" s="163"/>
    </row>
    <row r="26" spans="1:19" x14ac:dyDescent="0.2">
      <c r="G26" s="79"/>
    </row>
    <row r="27" spans="1:19" x14ac:dyDescent="0.2">
      <c r="D27" s="23"/>
      <c r="G27" s="93"/>
    </row>
    <row r="28" spans="1:19" x14ac:dyDescent="0.2">
      <c r="G28" s="93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tabColor rgb="FF00B050"/>
    <pageSetUpPr fitToPage="1"/>
  </sheetPr>
  <dimension ref="A1:G45"/>
  <sheetViews>
    <sheetView zoomScaleNormal="100" workbookViewId="0"/>
  </sheetViews>
  <sheetFormatPr baseColWidth="10" defaultColWidth="11" defaultRowHeight="12" x14ac:dyDescent="0.2"/>
  <cols>
    <col min="1" max="1" width="31.875" style="362" customWidth="1"/>
    <col min="2" max="2" width="15.125" style="362" customWidth="1"/>
    <col min="3" max="3" width="14.125" style="362" customWidth="1"/>
    <col min="4" max="4" width="15.5" style="362" customWidth="1"/>
    <col min="5" max="5" width="17.625" style="362" customWidth="1"/>
    <col min="6" max="6" width="5.625" style="21" customWidth="1"/>
    <col min="7" max="16384" width="11" style="21"/>
  </cols>
  <sheetData>
    <row r="1" spans="1:7" s="362" customFormat="1" x14ac:dyDescent="0.2">
      <c r="A1" s="84" t="s">
        <v>211</v>
      </c>
    </row>
    <row r="2" spans="1:7" s="362" customFormat="1" x14ac:dyDescent="0.2"/>
    <row r="3" spans="1:7" s="362" customFormat="1" x14ac:dyDescent="0.2">
      <c r="A3" s="368">
        <v>43100</v>
      </c>
      <c r="B3" s="696" t="s">
        <v>54</v>
      </c>
      <c r="C3" s="696"/>
    </row>
    <row r="4" spans="1:7" s="362" customFormat="1" ht="36" x14ac:dyDescent="0.2">
      <c r="A4" s="189" t="s">
        <v>136</v>
      </c>
      <c r="B4" s="190" t="s">
        <v>143</v>
      </c>
      <c r="C4" s="190" t="s">
        <v>144</v>
      </c>
      <c r="D4" s="190" t="s">
        <v>26</v>
      </c>
      <c r="E4" s="191" t="s">
        <v>55</v>
      </c>
    </row>
    <row r="5" spans="1:7" ht="12" customHeight="1" x14ac:dyDescent="0.2">
      <c r="A5" s="362" t="s">
        <v>39</v>
      </c>
      <c r="B5" s="192">
        <v>10</v>
      </c>
      <c r="C5" s="193">
        <v>7</v>
      </c>
      <c r="D5" s="193">
        <v>4</v>
      </c>
      <c r="E5" s="194">
        <v>4.3289977000000004</v>
      </c>
    </row>
    <row r="6" spans="1:7" s="329" customFormat="1" x14ac:dyDescent="0.2">
      <c r="A6" s="362" t="s">
        <v>40</v>
      </c>
      <c r="B6" s="192">
        <v>1E-8</v>
      </c>
      <c r="C6" s="193">
        <v>0</v>
      </c>
      <c r="D6" s="193">
        <v>0</v>
      </c>
      <c r="E6" s="188">
        <v>1E-8</v>
      </c>
      <c r="G6" s="173"/>
    </row>
    <row r="7" spans="1:7" ht="12" customHeight="1" x14ac:dyDescent="0.2">
      <c r="A7" s="362" t="s">
        <v>41</v>
      </c>
      <c r="B7" s="192">
        <v>0</v>
      </c>
      <c r="C7" s="193">
        <v>0</v>
      </c>
      <c r="D7" s="193">
        <v>0</v>
      </c>
      <c r="E7" s="188">
        <v>0</v>
      </c>
    </row>
    <row r="8" spans="1:7" s="329" customFormat="1" x14ac:dyDescent="0.2">
      <c r="A8" s="362" t="s">
        <v>42</v>
      </c>
      <c r="B8" s="192">
        <v>89</v>
      </c>
      <c r="C8" s="194">
        <v>9</v>
      </c>
      <c r="D8" s="194">
        <v>28</v>
      </c>
      <c r="E8" s="194">
        <v>1</v>
      </c>
    </row>
    <row r="9" spans="1:7" s="329" customFormat="1" x14ac:dyDescent="0.2">
      <c r="A9" s="362" t="s">
        <v>43</v>
      </c>
      <c r="B9" s="192">
        <v>5</v>
      </c>
      <c r="C9" s="193">
        <v>14</v>
      </c>
      <c r="D9" s="193">
        <v>7</v>
      </c>
      <c r="E9" s="194">
        <v>-3</v>
      </c>
      <c r="G9" s="342"/>
    </row>
    <row r="10" spans="1:7" s="329" customFormat="1" x14ac:dyDescent="0.2">
      <c r="A10" s="362" t="s">
        <v>44</v>
      </c>
      <c r="B10" s="192">
        <v>50</v>
      </c>
      <c r="C10" s="193">
        <v>24</v>
      </c>
      <c r="D10" s="193">
        <v>30</v>
      </c>
      <c r="E10" s="194">
        <v>15</v>
      </c>
    </row>
    <row r="11" spans="1:7" s="329" customFormat="1" x14ac:dyDescent="0.2">
      <c r="A11" s="362" t="s">
        <v>45</v>
      </c>
      <c r="B11" s="192">
        <v>745</v>
      </c>
      <c r="C11" s="193">
        <v>8</v>
      </c>
      <c r="D11" s="193">
        <v>318</v>
      </c>
      <c r="E11" s="194">
        <v>188</v>
      </c>
    </row>
    <row r="12" spans="1:7" s="329" customFormat="1" x14ac:dyDescent="0.2">
      <c r="A12" s="362" t="s">
        <v>46</v>
      </c>
      <c r="B12" s="192">
        <v>233</v>
      </c>
      <c r="C12" s="193">
        <v>37</v>
      </c>
      <c r="D12" s="193">
        <v>89</v>
      </c>
      <c r="E12" s="194">
        <v>33</v>
      </c>
    </row>
    <row r="13" spans="1:7" s="329" customFormat="1" x14ac:dyDescent="0.2">
      <c r="A13" s="362" t="s">
        <v>47</v>
      </c>
      <c r="B13" s="192">
        <v>351</v>
      </c>
      <c r="C13" s="193">
        <v>201</v>
      </c>
      <c r="D13" s="193">
        <v>89</v>
      </c>
      <c r="E13" s="194">
        <v>251</v>
      </c>
    </row>
    <row r="14" spans="1:7" s="329" customFormat="1" x14ac:dyDescent="0.2">
      <c r="A14" s="17" t="s">
        <v>48</v>
      </c>
      <c r="B14" s="192">
        <v>0</v>
      </c>
      <c r="C14" s="193">
        <v>0</v>
      </c>
      <c r="D14" s="399">
        <v>0</v>
      </c>
      <c r="E14" s="194">
        <v>0</v>
      </c>
    </row>
    <row r="15" spans="1:7" s="329" customFormat="1" x14ac:dyDescent="0.2">
      <c r="A15" s="180" t="s">
        <v>49</v>
      </c>
      <c r="B15" s="195">
        <f>SUM(B5:B14)</f>
        <v>1483.0000000099999</v>
      </c>
      <c r="C15" s="195">
        <f t="shared" ref="C15:E15" si="0">SUM(C5:C14)</f>
        <v>300</v>
      </c>
      <c r="D15" s="195">
        <f t="shared" si="0"/>
        <v>565</v>
      </c>
      <c r="E15" s="195">
        <f t="shared" si="0"/>
        <v>489.32899771000001</v>
      </c>
    </row>
    <row r="16" spans="1:7" s="329" customFormat="1" x14ac:dyDescent="0.2">
      <c r="A16" s="99" t="s">
        <v>108</v>
      </c>
      <c r="B16" s="196">
        <v>0</v>
      </c>
      <c r="C16" s="197">
        <v>0</v>
      </c>
      <c r="D16" s="198">
        <v>0</v>
      </c>
      <c r="E16" s="198">
        <v>0</v>
      </c>
    </row>
    <row r="17" spans="1:5" s="329" customFormat="1" x14ac:dyDescent="0.2">
      <c r="A17" s="199" t="s">
        <v>24</v>
      </c>
      <c r="B17" s="200">
        <v>79</v>
      </c>
      <c r="C17" s="200">
        <v>255</v>
      </c>
      <c r="D17" s="200">
        <v>87</v>
      </c>
      <c r="E17" s="200">
        <v>54</v>
      </c>
    </row>
    <row r="18" spans="1:5" s="329" customFormat="1" x14ac:dyDescent="0.2">
      <c r="A18" s="543" t="s">
        <v>7</v>
      </c>
      <c r="B18" s="544">
        <f>+B17+B15</f>
        <v>1562.0000000099999</v>
      </c>
      <c r="C18" s="544">
        <f>+C17+C15</f>
        <v>555</v>
      </c>
      <c r="D18" s="544">
        <f>+D17+D15</f>
        <v>652</v>
      </c>
      <c r="E18" s="544">
        <f>+E15+E16+E17</f>
        <v>543.32899771000007</v>
      </c>
    </row>
    <row r="19" spans="1:5" s="329" customFormat="1" x14ac:dyDescent="0.2">
      <c r="A19" s="113"/>
      <c r="B19" s="113"/>
      <c r="C19" s="113"/>
      <c r="D19" s="113"/>
      <c r="E19" s="362"/>
    </row>
    <row r="20" spans="1:5" s="329" customFormat="1" x14ac:dyDescent="0.2">
      <c r="A20" s="113"/>
      <c r="B20" s="113"/>
      <c r="C20" s="113"/>
      <c r="D20" s="113"/>
      <c r="E20" s="362"/>
    </row>
    <row r="21" spans="1:5" s="329" customFormat="1" ht="12.75" x14ac:dyDescent="0.2">
      <c r="A21" s="113"/>
      <c r="B21" s="545"/>
      <c r="C21" s="75"/>
      <c r="D21" s="113"/>
      <c r="E21" s="362"/>
    </row>
    <row r="22" spans="1:5" s="329" customFormat="1" x14ac:dyDescent="0.2">
      <c r="A22" s="113"/>
      <c r="B22" s="75"/>
      <c r="C22" s="75"/>
      <c r="D22" s="113"/>
      <c r="E22" s="362"/>
    </row>
    <row r="23" spans="1:5" s="329" customFormat="1" ht="12" customHeight="1" x14ac:dyDescent="0.2">
      <c r="A23" s="368">
        <v>42735</v>
      </c>
      <c r="B23" s="696" t="s">
        <v>54</v>
      </c>
      <c r="C23" s="696"/>
      <c r="D23" s="362"/>
      <c r="E23" s="362"/>
    </row>
    <row r="24" spans="1:5" ht="36.75" customHeight="1" x14ac:dyDescent="0.2">
      <c r="A24" s="189" t="s">
        <v>136</v>
      </c>
      <c r="B24" s="190" t="s">
        <v>143</v>
      </c>
      <c r="C24" s="190" t="s">
        <v>144</v>
      </c>
      <c r="D24" s="190" t="s">
        <v>26</v>
      </c>
      <c r="E24" s="191" t="s">
        <v>55</v>
      </c>
    </row>
    <row r="25" spans="1:5" x14ac:dyDescent="0.2">
      <c r="A25" s="362" t="s">
        <v>39</v>
      </c>
      <c r="B25" s="196">
        <v>13</v>
      </c>
      <c r="C25" s="193">
        <v>5</v>
      </c>
      <c r="D25" s="194">
        <v>8</v>
      </c>
      <c r="E25" s="194">
        <v>4</v>
      </c>
    </row>
    <row r="26" spans="1:5" x14ac:dyDescent="0.2">
      <c r="A26" s="362" t="s">
        <v>40</v>
      </c>
      <c r="B26" s="196">
        <v>0</v>
      </c>
      <c r="C26" s="193">
        <v>0</v>
      </c>
      <c r="D26" s="194">
        <v>0</v>
      </c>
      <c r="E26" s="188">
        <v>0</v>
      </c>
    </row>
    <row r="27" spans="1:5" x14ac:dyDescent="0.2">
      <c r="A27" s="362" t="s">
        <v>41</v>
      </c>
      <c r="B27" s="196">
        <v>0</v>
      </c>
      <c r="C27" s="193">
        <v>0</v>
      </c>
      <c r="D27" s="188">
        <v>0</v>
      </c>
      <c r="E27" s="188">
        <v>0</v>
      </c>
    </row>
    <row r="28" spans="1:5" x14ac:dyDescent="0.2">
      <c r="A28" s="362" t="s">
        <v>42</v>
      </c>
      <c r="B28" s="196">
        <v>48</v>
      </c>
      <c r="C28" s="194">
        <v>1</v>
      </c>
      <c r="D28" s="194">
        <v>15</v>
      </c>
      <c r="E28" s="194">
        <v>10</v>
      </c>
    </row>
    <row r="29" spans="1:5" x14ac:dyDescent="0.2">
      <c r="A29" s="362" t="s">
        <v>43</v>
      </c>
      <c r="B29" s="196">
        <v>43</v>
      </c>
      <c r="C29" s="193">
        <v>23</v>
      </c>
      <c r="D29" s="194">
        <v>26</v>
      </c>
      <c r="E29" s="194">
        <v>21</v>
      </c>
    </row>
    <row r="30" spans="1:5" x14ac:dyDescent="0.2">
      <c r="A30" s="362" t="s">
        <v>44</v>
      </c>
      <c r="B30" s="196">
        <v>55</v>
      </c>
      <c r="C30" s="193">
        <v>17</v>
      </c>
      <c r="D30" s="194">
        <v>25</v>
      </c>
      <c r="E30" s="194">
        <v>5</v>
      </c>
    </row>
    <row r="31" spans="1:5" x14ac:dyDescent="0.2">
      <c r="A31" s="362" t="s">
        <v>45</v>
      </c>
      <c r="B31" s="196">
        <v>581</v>
      </c>
      <c r="C31" s="193">
        <v>139</v>
      </c>
      <c r="D31" s="194">
        <v>212</v>
      </c>
      <c r="E31" s="194">
        <v>195</v>
      </c>
    </row>
    <row r="32" spans="1:5" x14ac:dyDescent="0.2">
      <c r="A32" s="362" t="s">
        <v>46</v>
      </c>
      <c r="B32" s="196">
        <v>257</v>
      </c>
      <c r="C32" s="193">
        <v>81</v>
      </c>
      <c r="D32" s="194">
        <v>92</v>
      </c>
      <c r="E32" s="194">
        <v>29</v>
      </c>
    </row>
    <row r="33" spans="1:6" x14ac:dyDescent="0.2">
      <c r="A33" s="362" t="s">
        <v>47</v>
      </c>
      <c r="B33" s="196">
        <v>79</v>
      </c>
      <c r="C33" s="193">
        <v>600</v>
      </c>
      <c r="D33" s="194">
        <v>150</v>
      </c>
      <c r="E33" s="194">
        <v>321.5</v>
      </c>
    </row>
    <row r="34" spans="1:6" x14ac:dyDescent="0.2">
      <c r="A34" s="17" t="s">
        <v>48</v>
      </c>
      <c r="B34" s="196">
        <v>0</v>
      </c>
      <c r="C34" s="193">
        <v>0</v>
      </c>
      <c r="D34" s="194">
        <v>0</v>
      </c>
      <c r="E34" s="194">
        <v>0</v>
      </c>
    </row>
    <row r="35" spans="1:6" x14ac:dyDescent="0.2">
      <c r="A35" s="180" t="s">
        <v>49</v>
      </c>
      <c r="B35" s="401">
        <v>1076</v>
      </c>
      <c r="C35" s="195">
        <v>866</v>
      </c>
      <c r="D35" s="195">
        <v>528</v>
      </c>
      <c r="E35" s="195">
        <v>585.5</v>
      </c>
    </row>
    <row r="36" spans="1:6" x14ac:dyDescent="0.2">
      <c r="A36" s="99" t="s">
        <v>108</v>
      </c>
      <c r="B36" s="196">
        <v>0</v>
      </c>
      <c r="C36" s="197">
        <v>0</v>
      </c>
      <c r="D36" s="198">
        <v>0</v>
      </c>
      <c r="E36" s="198">
        <v>158</v>
      </c>
    </row>
    <row r="37" spans="1:6" x14ac:dyDescent="0.2">
      <c r="A37" s="199" t="s">
        <v>24</v>
      </c>
      <c r="B37" s="200">
        <v>65</v>
      </c>
      <c r="C37" s="200">
        <v>204</v>
      </c>
      <c r="D37" s="200">
        <v>62</v>
      </c>
      <c r="E37" s="200">
        <v>34</v>
      </c>
    </row>
    <row r="38" spans="1:6" ht="14.25" customHeight="1" x14ac:dyDescent="0.2">
      <c r="A38" s="543" t="s">
        <v>7</v>
      </c>
      <c r="B38" s="546">
        <f>+B35+B37</f>
        <v>1141</v>
      </c>
      <c r="C38" s="544">
        <f t="shared" ref="C38:D38" si="1">+C35+C37</f>
        <v>1070</v>
      </c>
      <c r="D38" s="544">
        <f t="shared" si="1"/>
        <v>590</v>
      </c>
      <c r="E38" s="544">
        <f>+E35+E37+E36</f>
        <v>777.5</v>
      </c>
    </row>
    <row r="40" spans="1:6" x14ac:dyDescent="0.2">
      <c r="B40" s="116"/>
      <c r="C40" s="116"/>
      <c r="D40" s="116"/>
      <c r="E40" s="116"/>
    </row>
    <row r="45" spans="1:6" x14ac:dyDescent="0.2">
      <c r="F45" s="21" t="s">
        <v>699</v>
      </c>
    </row>
  </sheetData>
  <mergeCells count="2">
    <mergeCell ref="B23:C23"/>
    <mergeCell ref="B3:C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Footer>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>
    <tabColor rgb="FF00B050"/>
    <pageSetUpPr fitToPage="1"/>
  </sheetPr>
  <dimension ref="A1:F16"/>
  <sheetViews>
    <sheetView zoomScaleNormal="100" workbookViewId="0"/>
  </sheetViews>
  <sheetFormatPr baseColWidth="10" defaultColWidth="11" defaultRowHeight="12" x14ac:dyDescent="0.2"/>
  <cols>
    <col min="1" max="1" width="17.375" style="329" customWidth="1"/>
    <col min="2" max="4" width="11.5" style="329" customWidth="1"/>
    <col min="5" max="16384" width="11" style="21"/>
  </cols>
  <sheetData>
    <row r="1" spans="1:6" ht="12.75" x14ac:dyDescent="0.2">
      <c r="A1" s="300" t="s">
        <v>243</v>
      </c>
    </row>
    <row r="2" spans="1:6" ht="12.75" x14ac:dyDescent="0.2">
      <c r="A2" s="301" t="s">
        <v>154</v>
      </c>
      <c r="B2" s="84"/>
      <c r="C2" s="84"/>
      <c r="D2" s="84"/>
    </row>
    <row r="3" spans="1:6" x14ac:dyDescent="0.2">
      <c r="A3" s="89"/>
      <c r="B3" s="111"/>
      <c r="C3" s="111"/>
      <c r="D3" s="111"/>
    </row>
    <row r="4" spans="1:6" ht="12.75" thickBot="1" x14ac:dyDescent="0.25">
      <c r="A4" s="201" t="s">
        <v>704</v>
      </c>
      <c r="B4" s="115"/>
      <c r="C4" s="162">
        <v>2016</v>
      </c>
      <c r="D4" s="1">
        <v>2016</v>
      </c>
      <c r="F4" s="27"/>
    </row>
    <row r="5" spans="1:6" x14ac:dyDescent="0.2">
      <c r="A5" s="17" t="s">
        <v>113</v>
      </c>
      <c r="B5" s="17"/>
      <c r="C5" s="202">
        <v>0</v>
      </c>
      <c r="D5" s="203">
        <v>0</v>
      </c>
      <c r="F5" s="27"/>
    </row>
    <row r="6" spans="1:6" x14ac:dyDescent="0.2">
      <c r="A6" s="17" t="s">
        <v>114</v>
      </c>
      <c r="B6" s="17"/>
      <c r="C6" s="202">
        <v>0</v>
      </c>
      <c r="D6" s="203">
        <v>0</v>
      </c>
      <c r="F6" s="27"/>
    </row>
    <row r="7" spans="1:6" x14ac:dyDescent="0.2">
      <c r="A7" s="17" t="s">
        <v>115</v>
      </c>
      <c r="B7" s="17"/>
      <c r="C7" s="202">
        <v>0</v>
      </c>
      <c r="D7" s="203">
        <v>0</v>
      </c>
      <c r="F7" s="27"/>
    </row>
    <row r="8" spans="1:6" x14ac:dyDescent="0.2">
      <c r="A8" s="17" t="s">
        <v>116</v>
      </c>
      <c r="B8" s="17"/>
      <c r="C8" s="202">
        <v>0</v>
      </c>
      <c r="D8" s="203">
        <v>0</v>
      </c>
    </row>
    <row r="9" spans="1:6" x14ac:dyDescent="0.2">
      <c r="A9" s="17" t="s">
        <v>117</v>
      </c>
      <c r="B9" s="17"/>
      <c r="C9" s="202">
        <v>0</v>
      </c>
      <c r="D9" s="203">
        <v>0</v>
      </c>
    </row>
    <row r="10" spans="1:6" x14ac:dyDescent="0.2">
      <c r="A10" s="17" t="s">
        <v>118</v>
      </c>
      <c r="B10" s="17"/>
      <c r="C10" s="202">
        <v>0</v>
      </c>
      <c r="D10" s="203">
        <v>0</v>
      </c>
    </row>
    <row r="11" spans="1:6" x14ac:dyDescent="0.2">
      <c r="A11" s="17" t="s">
        <v>119</v>
      </c>
      <c r="B11" s="17"/>
      <c r="C11" s="202">
        <v>0</v>
      </c>
      <c r="D11" s="203">
        <v>0</v>
      </c>
    </row>
    <row r="12" spans="1:6" x14ac:dyDescent="0.2">
      <c r="A12" s="17" t="s">
        <v>120</v>
      </c>
      <c r="B12" s="17"/>
      <c r="C12" s="202">
        <v>0</v>
      </c>
      <c r="D12" s="203">
        <v>0</v>
      </c>
    </row>
    <row r="13" spans="1:6" x14ac:dyDescent="0.2">
      <c r="A13" s="17" t="s">
        <v>121</v>
      </c>
      <c r="B13" s="17"/>
      <c r="C13" s="202">
        <v>0</v>
      </c>
      <c r="D13" s="203">
        <v>0</v>
      </c>
    </row>
    <row r="14" spans="1:6" x14ac:dyDescent="0.2">
      <c r="A14" s="17" t="s">
        <v>78</v>
      </c>
      <c r="B14" s="17"/>
      <c r="C14" s="202">
        <v>0</v>
      </c>
      <c r="D14" s="203">
        <v>0</v>
      </c>
    </row>
    <row r="15" spans="1:6" x14ac:dyDescent="0.2">
      <c r="A15" s="17" t="s">
        <v>79</v>
      </c>
      <c r="B15" s="17"/>
      <c r="C15" s="16">
        <v>543</v>
      </c>
      <c r="D15" s="16">
        <v>778</v>
      </c>
    </row>
    <row r="16" spans="1:6" x14ac:dyDescent="0.2">
      <c r="A16" s="94" t="s">
        <v>7</v>
      </c>
      <c r="B16" s="94"/>
      <c r="C16" s="204">
        <f>SUM(C5:C15)</f>
        <v>543</v>
      </c>
      <c r="D16" s="205">
        <f>SUM(D5:D15)</f>
        <v>778</v>
      </c>
    </row>
  </sheetData>
  <phoneticPr fontId="3" type="noConversion"/>
  <pageMargins left="0.75" right="0.75" top="1" bottom="1" header="0.5" footer="0.5"/>
  <pageSetup paperSize="9" fitToHeight="0" orientation="portrait" r:id="rId1"/>
  <headerFooter alignWithMargins="0">
    <oddFooter>&amp;R&amp;A</oddFooter>
  </headerFooter>
  <ignoredErrors>
    <ignoredError sqref="C16:D16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tabColor rgb="FF00B050"/>
    <pageSetUpPr fitToPage="1"/>
  </sheetPr>
  <dimension ref="A1:F19"/>
  <sheetViews>
    <sheetView zoomScaleNormal="100" workbookViewId="0">
      <selection sqref="A1:D14"/>
    </sheetView>
  </sheetViews>
  <sheetFormatPr baseColWidth="10" defaultColWidth="11" defaultRowHeight="12" x14ac:dyDescent="0.2"/>
  <cols>
    <col min="1" max="1" width="19.5" style="21" customWidth="1"/>
    <col min="2" max="2" width="16.25" style="21" customWidth="1"/>
    <col min="3" max="3" width="16" style="21" customWidth="1"/>
    <col min="4" max="4" width="16.625" style="21" customWidth="1"/>
    <col min="5" max="16384" width="11" style="21"/>
  </cols>
  <sheetData>
    <row r="1" spans="1:6" ht="12" customHeight="1" x14ac:dyDescent="0.2">
      <c r="A1" s="700" t="s">
        <v>242</v>
      </c>
      <c r="B1" s="700"/>
      <c r="C1" s="700"/>
      <c r="D1" s="700"/>
    </row>
    <row r="2" spans="1:6" ht="13.5" customHeight="1" x14ac:dyDescent="0.2">
      <c r="A2" s="700"/>
      <c r="B2" s="700"/>
      <c r="C2" s="700"/>
      <c r="D2" s="700"/>
    </row>
    <row r="3" spans="1:6" x14ac:dyDescent="0.2">
      <c r="A3" s="167" t="s">
        <v>154</v>
      </c>
      <c r="B3" s="330"/>
      <c r="C3" s="330"/>
      <c r="D3" s="330"/>
    </row>
    <row r="4" spans="1:6" ht="12" customHeight="1" x14ac:dyDescent="0.2">
      <c r="A4" s="167"/>
      <c r="B4" s="330"/>
      <c r="C4" s="330"/>
      <c r="D4" s="330"/>
      <c r="F4" s="27"/>
    </row>
    <row r="5" spans="1:6" ht="12" customHeight="1" x14ac:dyDescent="0.2">
      <c r="A5" s="89"/>
      <c r="B5" s="697" t="s">
        <v>54</v>
      </c>
      <c r="C5" s="697"/>
      <c r="D5" s="698" t="s">
        <v>26</v>
      </c>
      <c r="F5" s="342"/>
    </row>
    <row r="6" spans="1:6" ht="12.75" thickBot="1" x14ac:dyDescent="0.25">
      <c r="A6" s="115">
        <v>2017</v>
      </c>
      <c r="B6" s="343" t="s">
        <v>143</v>
      </c>
      <c r="C6" s="343" t="s">
        <v>144</v>
      </c>
      <c r="D6" s="699"/>
    </row>
    <row r="7" spans="1:6" x14ac:dyDescent="0.2">
      <c r="A7" s="17" t="s">
        <v>32</v>
      </c>
      <c r="B7" s="206">
        <v>818</v>
      </c>
      <c r="C7" s="206">
        <v>398</v>
      </c>
      <c r="D7" s="206">
        <v>264</v>
      </c>
      <c r="F7" s="27"/>
    </row>
    <row r="8" spans="1:6" x14ac:dyDescent="0.2">
      <c r="A8" s="17" t="s">
        <v>33</v>
      </c>
      <c r="B8" s="206">
        <v>121</v>
      </c>
      <c r="C8" s="206">
        <v>44</v>
      </c>
      <c r="D8" s="206">
        <v>48</v>
      </c>
    </row>
    <row r="9" spans="1:6" x14ac:dyDescent="0.2">
      <c r="A9" s="17" t="s">
        <v>34</v>
      </c>
      <c r="B9" s="206">
        <v>501</v>
      </c>
      <c r="C9" s="206">
        <v>69</v>
      </c>
      <c r="D9" s="206">
        <v>214</v>
      </c>
    </row>
    <row r="10" spans="1:6" x14ac:dyDescent="0.2">
      <c r="A10" s="75" t="s">
        <v>35</v>
      </c>
      <c r="B10" s="206">
        <v>122</v>
      </c>
      <c r="C10" s="206">
        <v>44</v>
      </c>
      <c r="D10" s="206">
        <v>113</v>
      </c>
    </row>
    <row r="11" spans="1:6" x14ac:dyDescent="0.2">
      <c r="A11" s="94" t="s">
        <v>7</v>
      </c>
      <c r="B11" s="207">
        <f>SUM(B7:B10)</f>
        <v>1562</v>
      </c>
      <c r="C11" s="207">
        <f>SUM(C7:C10)</f>
        <v>555</v>
      </c>
      <c r="D11" s="207">
        <f>SUM(D7:D10)</f>
        <v>639</v>
      </c>
    </row>
    <row r="12" spans="1:6" x14ac:dyDescent="0.2">
      <c r="A12" s="167"/>
      <c r="B12" s="360"/>
      <c r="C12" s="356"/>
      <c r="D12" s="341"/>
    </row>
    <row r="13" spans="1:6" x14ac:dyDescent="0.2">
      <c r="A13" s="89"/>
      <c r="B13" s="697" t="s">
        <v>54</v>
      </c>
      <c r="C13" s="697"/>
      <c r="D13" s="698" t="s">
        <v>26</v>
      </c>
    </row>
    <row r="14" spans="1:6" ht="12.75" thickBot="1" x14ac:dyDescent="0.25">
      <c r="A14" s="115">
        <v>2016</v>
      </c>
      <c r="B14" s="331" t="s">
        <v>143</v>
      </c>
      <c r="C14" s="331" t="s">
        <v>144</v>
      </c>
      <c r="D14" s="699"/>
    </row>
    <row r="15" spans="1:6" x14ac:dyDescent="0.2">
      <c r="A15" s="17" t="s">
        <v>32</v>
      </c>
      <c r="B15" s="206">
        <v>409</v>
      </c>
      <c r="C15" s="206">
        <v>820</v>
      </c>
      <c r="D15" s="206">
        <v>285</v>
      </c>
    </row>
    <row r="16" spans="1:6" x14ac:dyDescent="0.2">
      <c r="A16" s="17" t="s">
        <v>33</v>
      </c>
      <c r="B16" s="206">
        <v>104</v>
      </c>
      <c r="C16" s="206">
        <v>44</v>
      </c>
      <c r="D16" s="206">
        <v>54</v>
      </c>
    </row>
    <row r="17" spans="1:4" x14ac:dyDescent="0.2">
      <c r="A17" s="17" t="s">
        <v>34</v>
      </c>
      <c r="B17" s="206">
        <v>475</v>
      </c>
      <c r="C17" s="206">
        <v>47</v>
      </c>
      <c r="D17" s="206">
        <v>110</v>
      </c>
    </row>
    <row r="18" spans="1:4" x14ac:dyDescent="0.2">
      <c r="A18" s="75" t="s">
        <v>35</v>
      </c>
      <c r="B18" s="206">
        <v>153</v>
      </c>
      <c r="C18" s="206">
        <v>159</v>
      </c>
      <c r="D18" s="206">
        <v>141</v>
      </c>
    </row>
    <row r="19" spans="1:4" x14ac:dyDescent="0.2">
      <c r="A19" s="94" t="s">
        <v>7</v>
      </c>
      <c r="B19" s="400">
        <f>SUM(B15:B18)</f>
        <v>1141</v>
      </c>
      <c r="C19" s="207">
        <f>SUM(C15:C18)</f>
        <v>1070</v>
      </c>
      <c r="D19" s="207">
        <f>SUM(D15:D18)</f>
        <v>590</v>
      </c>
    </row>
  </sheetData>
  <mergeCells count="5">
    <mergeCell ref="B13:C13"/>
    <mergeCell ref="D13:D14"/>
    <mergeCell ref="A1:D2"/>
    <mergeCell ref="B5:C5"/>
    <mergeCell ref="D5:D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>
    <tabColor rgb="FF00B050"/>
    <pageSetUpPr fitToPage="1"/>
  </sheetPr>
  <dimension ref="A1:G27"/>
  <sheetViews>
    <sheetView zoomScaleNormal="100" workbookViewId="0">
      <selection sqref="A1:E1"/>
    </sheetView>
  </sheetViews>
  <sheetFormatPr baseColWidth="10" defaultColWidth="11" defaultRowHeight="12" x14ac:dyDescent="0.2"/>
  <cols>
    <col min="1" max="1" width="26.75" style="21" bestFit="1" customWidth="1"/>
    <col min="2" max="2" width="14" style="21" customWidth="1"/>
    <col min="3" max="3" width="11" style="21" customWidth="1"/>
    <col min="4" max="4" width="15.625" style="21" customWidth="1"/>
    <col min="5" max="5" width="12.625" style="21" customWidth="1"/>
    <col min="6" max="16384" width="11" style="21"/>
  </cols>
  <sheetData>
    <row r="1" spans="1:7" ht="12" customHeight="1" x14ac:dyDescent="0.2">
      <c r="A1" s="701" t="s">
        <v>199</v>
      </c>
      <c r="B1" s="701"/>
      <c r="C1" s="701"/>
      <c r="D1" s="701"/>
      <c r="E1" s="701"/>
    </row>
    <row r="2" spans="1:7" x14ac:dyDescent="0.2">
      <c r="A2" s="332" t="s">
        <v>154</v>
      </c>
      <c r="B2" s="332"/>
      <c r="C2" s="332"/>
      <c r="D2" s="332"/>
      <c r="E2" s="332"/>
    </row>
    <row r="3" spans="1:7" ht="36.75" thickBot="1" x14ac:dyDescent="0.25">
      <c r="A3" s="389">
        <v>2017</v>
      </c>
      <c r="B3" s="355" t="s">
        <v>176</v>
      </c>
      <c r="C3" s="355" t="s">
        <v>56</v>
      </c>
      <c r="D3" s="355" t="s">
        <v>57</v>
      </c>
      <c r="E3" s="355" t="s">
        <v>175</v>
      </c>
    </row>
    <row r="4" spans="1:7" x14ac:dyDescent="0.2">
      <c r="A4" s="390" t="s">
        <v>26</v>
      </c>
      <c r="B4" s="209">
        <v>590</v>
      </c>
      <c r="C4" s="209">
        <v>152</v>
      </c>
      <c r="D4" s="93">
        <v>201</v>
      </c>
      <c r="E4" s="93">
        <f>B4-C4+D4</f>
        <v>639</v>
      </c>
    </row>
    <row r="5" spans="1:7" x14ac:dyDescent="0.2">
      <c r="A5" s="390" t="s">
        <v>58</v>
      </c>
      <c r="B5" s="93">
        <v>676</v>
      </c>
      <c r="C5" s="93"/>
      <c r="D5" s="93">
        <v>2</v>
      </c>
      <c r="E5" s="93">
        <f>B5-C5+D5</f>
        <v>678</v>
      </c>
    </row>
    <row r="6" spans="1:7" x14ac:dyDescent="0.2">
      <c r="A6" s="390" t="s">
        <v>59</v>
      </c>
      <c r="B6" s="81">
        <v>4.5</v>
      </c>
      <c r="C6" s="81"/>
      <c r="D6" s="81">
        <v>8</v>
      </c>
      <c r="E6" s="93">
        <v>13</v>
      </c>
    </row>
    <row r="7" spans="1:7" x14ac:dyDescent="0.2">
      <c r="A7" s="82" t="s">
        <v>7</v>
      </c>
      <c r="B7" s="95">
        <f>SUM(B4:B6)</f>
        <v>1270.5</v>
      </c>
      <c r="C7" s="95">
        <f>SUM(C4:C6)</f>
        <v>152</v>
      </c>
      <c r="D7" s="95">
        <f>SUM(D4:D6)</f>
        <v>211</v>
      </c>
      <c r="E7" s="95">
        <f>SUM(E4:E6)</f>
        <v>1330</v>
      </c>
    </row>
    <row r="8" spans="1:7" x14ac:dyDescent="0.2">
      <c r="A8" s="332"/>
      <c r="B8" s="332"/>
      <c r="C8" s="332"/>
      <c r="D8" s="332"/>
      <c r="E8" s="332"/>
    </row>
    <row r="9" spans="1:7" ht="36.75" thickBot="1" x14ac:dyDescent="0.25">
      <c r="A9" s="389">
        <v>2016</v>
      </c>
      <c r="B9" s="355" t="s">
        <v>176</v>
      </c>
      <c r="C9" s="355" t="s">
        <v>56</v>
      </c>
      <c r="D9" s="355" t="s">
        <v>57</v>
      </c>
      <c r="E9" s="355" t="s">
        <v>175</v>
      </c>
    </row>
    <row r="10" spans="1:7" x14ac:dyDescent="0.2">
      <c r="A10" s="390" t="s">
        <v>26</v>
      </c>
      <c r="B10" s="209">
        <v>315</v>
      </c>
      <c r="C10" s="209">
        <v>192</v>
      </c>
      <c r="D10" s="93">
        <v>467</v>
      </c>
      <c r="E10" s="93">
        <f>+B10-C10+D10</f>
        <v>590</v>
      </c>
      <c r="G10" s="79"/>
    </row>
    <row r="11" spans="1:7" x14ac:dyDescent="0.2">
      <c r="A11" s="390" t="s">
        <v>58</v>
      </c>
      <c r="B11" s="93">
        <v>517.90899999999999</v>
      </c>
      <c r="C11" s="93"/>
      <c r="D11" s="93">
        <v>158</v>
      </c>
      <c r="E11" s="93">
        <f>+B11-C11+D11</f>
        <v>675.90899999999999</v>
      </c>
    </row>
    <row r="12" spans="1:7" x14ac:dyDescent="0.2">
      <c r="A12" s="390" t="s">
        <v>59</v>
      </c>
      <c r="B12" s="81">
        <v>3</v>
      </c>
      <c r="C12" s="81"/>
      <c r="D12" s="81">
        <v>2</v>
      </c>
      <c r="E12" s="93">
        <f>+B12-C12+D12</f>
        <v>5</v>
      </c>
    </row>
    <row r="13" spans="1:7" x14ac:dyDescent="0.2">
      <c r="A13" s="82" t="s">
        <v>7</v>
      </c>
      <c r="B13" s="95">
        <f>SUM(B10:B12)</f>
        <v>835.90899999999999</v>
      </c>
      <c r="C13" s="95">
        <f>SUM(C10:C12)</f>
        <v>192</v>
      </c>
      <c r="D13" s="95">
        <f>SUM(D10:D12)</f>
        <v>627</v>
      </c>
      <c r="E13" s="95">
        <f>+B13-C13+D13</f>
        <v>1270.9090000000001</v>
      </c>
    </row>
    <row r="26" spans="1:5" x14ac:dyDescent="0.2">
      <c r="A26" s="27"/>
    </row>
    <row r="27" spans="1:5" x14ac:dyDescent="0.2">
      <c r="A27" s="701"/>
      <c r="B27" s="701"/>
      <c r="C27" s="701"/>
      <c r="D27" s="701"/>
      <c r="E27" s="701"/>
    </row>
  </sheetData>
  <mergeCells count="2">
    <mergeCell ref="A1:E1"/>
    <mergeCell ref="A27:E2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21" max="16383" man="1"/>
  </rowBreaks>
  <colBreaks count="1" manualBreakCount="1">
    <brk id="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>
    <tabColor rgb="FF00B050"/>
  </sheetPr>
  <dimension ref="A1:I162"/>
  <sheetViews>
    <sheetView zoomScaleNormal="100" workbookViewId="0"/>
  </sheetViews>
  <sheetFormatPr baseColWidth="10" defaultColWidth="11" defaultRowHeight="12" x14ac:dyDescent="0.2"/>
  <cols>
    <col min="1" max="1" width="28.25" style="21" customWidth="1"/>
    <col min="2" max="2" width="8.625" style="21" customWidth="1"/>
    <col min="3" max="3" width="8.875" style="21" customWidth="1"/>
    <col min="4" max="4" width="8.5" style="21" customWidth="1"/>
    <col min="5" max="6" width="9" style="21" customWidth="1"/>
    <col min="7" max="7" width="11.375" style="21" customWidth="1"/>
    <col min="8" max="16384" width="11" style="21"/>
  </cols>
  <sheetData>
    <row r="1" spans="1:7" x14ac:dyDescent="0.2">
      <c r="A1" s="521" t="s">
        <v>705</v>
      </c>
      <c r="B1" s="80"/>
      <c r="C1" s="17"/>
      <c r="D1" s="17"/>
      <c r="E1" s="17"/>
      <c r="F1" s="17"/>
      <c r="G1" s="211"/>
    </row>
    <row r="2" spans="1:7" x14ac:dyDescent="0.2">
      <c r="A2" s="210"/>
      <c r="B2" s="80"/>
      <c r="C2" s="17"/>
      <c r="D2" s="17"/>
      <c r="E2" s="17"/>
      <c r="F2" s="17"/>
      <c r="G2" s="17"/>
    </row>
    <row r="3" spans="1:7" x14ac:dyDescent="0.2">
      <c r="A3" s="212"/>
      <c r="B3" s="80"/>
      <c r="C3" s="17"/>
      <c r="D3" s="17"/>
      <c r="E3" s="17"/>
      <c r="F3" s="17"/>
      <c r="G3" s="17"/>
    </row>
    <row r="4" spans="1:7" ht="51" customHeight="1" thickBot="1" x14ac:dyDescent="0.25">
      <c r="A4" s="565" t="s">
        <v>900</v>
      </c>
      <c r="B4" s="213" t="s">
        <v>139</v>
      </c>
      <c r="C4" s="355" t="s">
        <v>67</v>
      </c>
      <c r="D4" s="355" t="s">
        <v>68</v>
      </c>
      <c r="E4" s="355" t="s">
        <v>157</v>
      </c>
      <c r="F4" s="355" t="s">
        <v>158</v>
      </c>
      <c r="G4" s="355" t="s">
        <v>159</v>
      </c>
    </row>
    <row r="5" spans="1:7" s="362" customFormat="1" ht="12" customHeight="1" x14ac:dyDescent="0.2">
      <c r="A5" s="75" t="s">
        <v>289</v>
      </c>
      <c r="B5" s="85"/>
      <c r="C5" s="67"/>
      <c r="D5" s="67"/>
      <c r="E5" s="67"/>
      <c r="F5" s="67"/>
      <c r="G5" s="67"/>
    </row>
    <row r="6" spans="1:7" ht="12" customHeight="1" x14ac:dyDescent="0.2">
      <c r="A6" s="362"/>
      <c r="B6" s="214" t="s">
        <v>69</v>
      </c>
      <c r="C6" s="93">
        <v>0</v>
      </c>
      <c r="D6" s="93">
        <v>0</v>
      </c>
      <c r="E6" s="215">
        <v>0</v>
      </c>
      <c r="F6" s="215">
        <v>0</v>
      </c>
      <c r="G6" s="215">
        <v>0</v>
      </c>
    </row>
    <row r="7" spans="1:7" x14ac:dyDescent="0.2">
      <c r="A7" s="75"/>
      <c r="B7" s="214" t="s">
        <v>70</v>
      </c>
      <c r="C7" s="93">
        <v>355.31207499999999</v>
      </c>
      <c r="D7" s="93">
        <v>38.414211999999999</v>
      </c>
      <c r="E7" s="215">
        <v>0.33382847458814902</v>
      </c>
      <c r="F7" s="215">
        <v>0.316</v>
      </c>
      <c r="G7" s="215">
        <v>0.96001538858043423</v>
      </c>
    </row>
    <row r="8" spans="1:7" x14ac:dyDescent="0.2">
      <c r="A8" s="75"/>
      <c r="B8" s="214" t="s">
        <v>71</v>
      </c>
      <c r="C8" s="93">
        <v>3944.2845200000002</v>
      </c>
      <c r="D8" s="93">
        <v>545.37136199999998</v>
      </c>
      <c r="E8" s="215">
        <v>0.3872899889077982</v>
      </c>
      <c r="F8" s="215">
        <v>0.29339999999999999</v>
      </c>
      <c r="G8" s="215">
        <v>0.90511678072483603</v>
      </c>
    </row>
    <row r="9" spans="1:7" x14ac:dyDescent="0.2">
      <c r="A9" s="75"/>
      <c r="B9" s="214" t="s">
        <v>72</v>
      </c>
      <c r="C9" s="93">
        <v>2770.0063639999998</v>
      </c>
      <c r="D9" s="93">
        <v>706.85705399999995</v>
      </c>
      <c r="E9" s="215">
        <v>0.48821015488468389</v>
      </c>
      <c r="F9" s="215">
        <v>0.31679999999999997</v>
      </c>
      <c r="G9" s="215">
        <v>0.8835359406037343</v>
      </c>
    </row>
    <row r="10" spans="1:7" x14ac:dyDescent="0.2">
      <c r="A10" s="75"/>
      <c r="B10" s="214" t="s">
        <v>73</v>
      </c>
      <c r="C10" s="93">
        <v>3548.0115620000001</v>
      </c>
      <c r="D10" s="93">
        <v>844.34321900000009</v>
      </c>
      <c r="E10" s="215">
        <v>0.60426983834050996</v>
      </c>
      <c r="F10" s="215">
        <v>0.3125</v>
      </c>
      <c r="G10" s="215">
        <v>0.92395438188958467</v>
      </c>
    </row>
    <row r="11" spans="1:7" x14ac:dyDescent="0.2">
      <c r="A11" s="75"/>
      <c r="B11" s="214" t="s">
        <v>74</v>
      </c>
      <c r="C11" s="93">
        <v>4757.2976119999994</v>
      </c>
      <c r="D11" s="93">
        <v>932.17797299999995</v>
      </c>
      <c r="E11" s="215">
        <v>0.73866042648584251</v>
      </c>
      <c r="F11" s="215">
        <v>0.3468</v>
      </c>
      <c r="G11" s="215">
        <v>0.93216328343568056</v>
      </c>
    </row>
    <row r="12" spans="1:7" x14ac:dyDescent="0.2">
      <c r="A12" s="75"/>
      <c r="B12" s="214" t="s">
        <v>75</v>
      </c>
      <c r="C12" s="93">
        <v>5323.5450120000005</v>
      </c>
      <c r="D12" s="93">
        <v>868.03306299999997</v>
      </c>
      <c r="E12" s="215">
        <v>1.0771564669922247</v>
      </c>
      <c r="F12" s="215">
        <v>0.40740000000000004</v>
      </c>
      <c r="G12" s="215">
        <v>0.87219896120492757</v>
      </c>
    </row>
    <row r="13" spans="1:7" x14ac:dyDescent="0.2">
      <c r="A13" s="75"/>
      <c r="B13" s="214" t="s">
        <v>76</v>
      </c>
      <c r="C13" s="93">
        <v>1609.6944429999999</v>
      </c>
      <c r="D13" s="93">
        <v>455.33648499999998</v>
      </c>
      <c r="E13" s="215">
        <v>1.2959573135582976</v>
      </c>
      <c r="F13" s="215">
        <v>0.42479999999999996</v>
      </c>
      <c r="G13" s="215">
        <v>0.84263221332438665</v>
      </c>
    </row>
    <row r="14" spans="1:7" x14ac:dyDescent="0.2">
      <c r="A14" s="75"/>
      <c r="B14" s="214" t="s">
        <v>77</v>
      </c>
      <c r="C14" s="93">
        <v>968.86583099999996</v>
      </c>
      <c r="D14" s="93">
        <v>118.44991999999999</v>
      </c>
      <c r="E14" s="215">
        <v>1.8845208093627157</v>
      </c>
      <c r="F14" s="215">
        <v>0.43320000000000003</v>
      </c>
      <c r="G14" s="215">
        <v>0.96567540844369859</v>
      </c>
    </row>
    <row r="15" spans="1:7" x14ac:dyDescent="0.2">
      <c r="A15" s="75"/>
      <c r="B15" s="214" t="s">
        <v>78</v>
      </c>
      <c r="C15" s="93">
        <v>16.911743999999999</v>
      </c>
      <c r="D15" s="93">
        <v>3.1791709999999997</v>
      </c>
      <c r="E15" s="215">
        <v>0.15249349800943063</v>
      </c>
      <c r="F15" s="215">
        <v>0.7369</v>
      </c>
      <c r="G15" s="215">
        <v>0.85340240318767158</v>
      </c>
    </row>
    <row r="16" spans="1:7" x14ac:dyDescent="0.2">
      <c r="A16" s="75"/>
      <c r="B16" s="214" t="s">
        <v>79</v>
      </c>
      <c r="C16" s="93">
        <v>1054.566996</v>
      </c>
      <c r="D16" s="93">
        <v>150.11039600000001</v>
      </c>
      <c r="E16" s="215">
        <v>0.8654648490440715</v>
      </c>
      <c r="F16" s="215">
        <v>0</v>
      </c>
      <c r="G16" s="215">
        <v>0.99599804320776819</v>
      </c>
    </row>
    <row r="17" spans="1:7" ht="12" customHeight="1" x14ac:dyDescent="0.2">
      <c r="A17" s="216" t="s">
        <v>290</v>
      </c>
      <c r="B17" s="217"/>
      <c r="C17" s="218">
        <f>SUM(C6:C16)</f>
        <v>24348.496159000002</v>
      </c>
      <c r="D17" s="218">
        <f>SUM(D6:D16)</f>
        <v>4662.2728549999993</v>
      </c>
      <c r="E17" s="219">
        <v>0.78929013941981752</v>
      </c>
      <c r="F17" s="219"/>
      <c r="G17" s="219">
        <v>0.90506866830966515</v>
      </c>
    </row>
    <row r="18" spans="1:7" s="362" customFormat="1" ht="12" customHeight="1" x14ac:dyDescent="0.2">
      <c r="A18" s="75" t="s">
        <v>106</v>
      </c>
      <c r="B18" s="397"/>
      <c r="C18" s="202"/>
      <c r="D18" s="202"/>
      <c r="E18" s="398"/>
      <c r="F18" s="398"/>
      <c r="G18" s="398"/>
    </row>
    <row r="19" spans="1:7" s="362" customFormat="1" ht="12" customHeight="1" x14ac:dyDescent="0.2">
      <c r="B19" s="214" t="s">
        <v>69</v>
      </c>
      <c r="C19" s="93">
        <v>105.39219</v>
      </c>
      <c r="D19" s="93">
        <v>8.9493299999999998</v>
      </c>
      <c r="E19" s="215">
        <v>0.10823691964271735</v>
      </c>
      <c r="F19" s="215">
        <v>0.18510000000000001</v>
      </c>
      <c r="G19" s="215">
        <v>0.93814103636838808</v>
      </c>
    </row>
    <row r="20" spans="1:7" s="362" customFormat="1" ht="12" customHeight="1" x14ac:dyDescent="0.2">
      <c r="A20" s="75"/>
      <c r="B20" s="214" t="s">
        <v>70</v>
      </c>
      <c r="C20" s="93">
        <v>1143.809006</v>
      </c>
      <c r="D20" s="93">
        <v>259.42273</v>
      </c>
      <c r="E20" s="215">
        <v>0.25445218342685438</v>
      </c>
      <c r="F20" s="215">
        <v>0.28699999999999998</v>
      </c>
      <c r="G20" s="215">
        <v>0.86991257250503151</v>
      </c>
    </row>
    <row r="21" spans="1:7" s="362" customFormat="1" ht="12" customHeight="1" x14ac:dyDescent="0.2">
      <c r="A21" s="75"/>
      <c r="B21" s="214" t="s">
        <v>71</v>
      </c>
      <c r="C21" s="93">
        <v>3722.1036749999998</v>
      </c>
      <c r="D21" s="93">
        <v>188.014522</v>
      </c>
      <c r="E21" s="215">
        <v>0.37218790446507377</v>
      </c>
      <c r="F21" s="215">
        <v>0.28649999999999998</v>
      </c>
      <c r="G21" s="215">
        <v>0.98450571381916352</v>
      </c>
    </row>
    <row r="22" spans="1:7" s="362" customFormat="1" ht="12" customHeight="1" x14ac:dyDescent="0.2">
      <c r="A22" s="75"/>
      <c r="B22" s="214" t="s">
        <v>72</v>
      </c>
      <c r="C22" s="93">
        <v>5354.930472</v>
      </c>
      <c r="D22" s="93">
        <v>273.92831900000004</v>
      </c>
      <c r="E22" s="215">
        <v>0.46447179678713107</v>
      </c>
      <c r="F22" s="215">
        <v>0.28350000000000003</v>
      </c>
      <c r="G22" s="215">
        <v>0.96963918757059309</v>
      </c>
    </row>
    <row r="23" spans="1:7" s="362" customFormat="1" ht="12" customHeight="1" x14ac:dyDescent="0.2">
      <c r="A23" s="75"/>
      <c r="B23" s="214" t="s">
        <v>73</v>
      </c>
      <c r="C23" s="93">
        <v>9118.5695450000003</v>
      </c>
      <c r="D23" s="93">
        <v>1014.944834</v>
      </c>
      <c r="E23" s="215">
        <v>0.5028219451935978</v>
      </c>
      <c r="F23" s="215">
        <v>0.26929999999999998</v>
      </c>
      <c r="G23" s="215">
        <v>0.90390733740926821</v>
      </c>
    </row>
    <row r="24" spans="1:7" s="362" customFormat="1" ht="12" customHeight="1" x14ac:dyDescent="0.2">
      <c r="A24" s="75"/>
      <c r="B24" s="214" t="s">
        <v>74</v>
      </c>
      <c r="C24" s="93">
        <v>5941.1672980000003</v>
      </c>
      <c r="D24" s="93">
        <v>566.78449499999999</v>
      </c>
      <c r="E24" s="215">
        <v>0.64052214811069941</v>
      </c>
      <c r="F24" s="215">
        <v>0.30320000000000003</v>
      </c>
      <c r="G24" s="215">
        <v>0.97692336889898856</v>
      </c>
    </row>
    <row r="25" spans="1:7" s="362" customFormat="1" ht="12" customHeight="1" x14ac:dyDescent="0.2">
      <c r="A25" s="75"/>
      <c r="B25" s="214" t="s">
        <v>75</v>
      </c>
      <c r="C25" s="93">
        <v>6843.6997759999995</v>
      </c>
      <c r="D25" s="93">
        <v>834.53794800000003</v>
      </c>
      <c r="E25" s="215">
        <v>0.88812371304114912</v>
      </c>
      <c r="F25" s="215">
        <v>0.33460000000000001</v>
      </c>
      <c r="G25" s="215">
        <v>0.97775473842982286</v>
      </c>
    </row>
    <row r="26" spans="1:7" s="362" customFormat="1" ht="12" customHeight="1" x14ac:dyDescent="0.2">
      <c r="A26" s="75"/>
      <c r="B26" s="214" t="s">
        <v>76</v>
      </c>
      <c r="C26" s="93">
        <v>1495.477983</v>
      </c>
      <c r="D26" s="93">
        <v>147.581208</v>
      </c>
      <c r="E26" s="215">
        <v>1.0347997573963614</v>
      </c>
      <c r="F26" s="215">
        <v>0.34610000000000002</v>
      </c>
      <c r="G26" s="215">
        <v>0.98513041949589986</v>
      </c>
    </row>
    <row r="27" spans="1:7" s="362" customFormat="1" ht="12" customHeight="1" x14ac:dyDescent="0.2">
      <c r="A27" s="75"/>
      <c r="B27" s="214" t="s">
        <v>77</v>
      </c>
      <c r="C27" s="93">
        <v>887.04702099999997</v>
      </c>
      <c r="D27" s="93">
        <v>21.816556000000002</v>
      </c>
      <c r="E27" s="215">
        <v>1.5393300317503689</v>
      </c>
      <c r="F27" s="215">
        <v>0.37609999999999999</v>
      </c>
      <c r="G27" s="215">
        <v>0.98163394294833695</v>
      </c>
    </row>
    <row r="28" spans="1:7" s="362" customFormat="1" ht="12" customHeight="1" x14ac:dyDescent="0.2">
      <c r="A28" s="75"/>
      <c r="B28" s="214" t="s">
        <v>78</v>
      </c>
      <c r="C28" s="93">
        <v>80.695800000000006</v>
      </c>
      <c r="D28" s="93">
        <v>8.3757999999999999E-2</v>
      </c>
      <c r="E28" s="215">
        <v>0.1068319912560505</v>
      </c>
      <c r="F28" s="215">
        <v>0.48630000000000001</v>
      </c>
      <c r="G28" s="215">
        <v>0.99896312876581972</v>
      </c>
    </row>
    <row r="29" spans="1:7" s="362" customFormat="1" ht="12" customHeight="1" x14ac:dyDescent="0.2">
      <c r="A29" s="75"/>
      <c r="B29" s="214" t="s">
        <v>79</v>
      </c>
      <c r="C29" s="93">
        <v>329.44653799999998</v>
      </c>
      <c r="D29" s="93">
        <v>4.5916290000000002</v>
      </c>
      <c r="E29" s="215">
        <v>1.0652789558225679</v>
      </c>
      <c r="F29" s="215">
        <v>7.2700000000000001E-2</v>
      </c>
      <c r="G29" s="215">
        <v>0.99316519112633195</v>
      </c>
    </row>
    <row r="30" spans="1:7" s="362" customFormat="1" ht="12" customHeight="1" x14ac:dyDescent="0.2">
      <c r="A30" s="216" t="s">
        <v>293</v>
      </c>
      <c r="B30" s="217"/>
      <c r="C30" s="218">
        <f>SUM(C19:C29)</f>
        <v>35022.339303999994</v>
      </c>
      <c r="D30" s="218">
        <f>SUM(D19:D29)</f>
        <v>3320.6553290000006</v>
      </c>
      <c r="E30" s="219">
        <v>0.62577367781645887</v>
      </c>
      <c r="F30" s="219"/>
      <c r="G30" s="219">
        <v>0.95341620203734934</v>
      </c>
    </row>
    <row r="31" spans="1:7" s="362" customFormat="1" ht="12" customHeight="1" x14ac:dyDescent="0.2">
      <c r="A31" s="75" t="s">
        <v>105</v>
      </c>
      <c r="B31" s="397"/>
      <c r="C31" s="202"/>
      <c r="D31" s="202"/>
      <c r="E31" s="398"/>
      <c r="F31" s="398"/>
      <c r="G31" s="398"/>
    </row>
    <row r="32" spans="1:7" s="362" customFormat="1" ht="12" customHeight="1" x14ac:dyDescent="0.2">
      <c r="B32" s="214" t="s">
        <v>69</v>
      </c>
      <c r="C32" s="93">
        <v>0</v>
      </c>
      <c r="D32" s="93">
        <v>0</v>
      </c>
      <c r="E32" s="215">
        <v>0</v>
      </c>
      <c r="F32" s="215">
        <v>0</v>
      </c>
      <c r="G32" s="215">
        <v>0</v>
      </c>
    </row>
    <row r="33" spans="1:7" s="362" customFormat="1" ht="12" customHeight="1" x14ac:dyDescent="0.2">
      <c r="A33" s="75"/>
      <c r="B33" s="214" t="s">
        <v>70</v>
      </c>
      <c r="C33" s="93">
        <v>34.192304999999998</v>
      </c>
      <c r="D33" s="93">
        <v>0</v>
      </c>
      <c r="E33" s="215">
        <v>0.29926639926732052</v>
      </c>
      <c r="F33" s="215">
        <v>0</v>
      </c>
      <c r="G33" s="215">
        <v>1</v>
      </c>
    </row>
    <row r="34" spans="1:7" s="362" customFormat="1" ht="12" customHeight="1" x14ac:dyDescent="0.2">
      <c r="A34" s="75"/>
      <c r="B34" s="214" t="s">
        <v>71</v>
      </c>
      <c r="C34" s="93">
        <v>252.49118799999999</v>
      </c>
      <c r="D34" s="93">
        <v>14.104379000000002</v>
      </c>
      <c r="E34" s="215">
        <v>0.2480330957134235</v>
      </c>
      <c r="F34" s="215">
        <v>1.0613566482169668E-2</v>
      </c>
      <c r="G34" s="215">
        <v>0.99399232119841685</v>
      </c>
    </row>
    <row r="35" spans="1:7" s="362" customFormat="1" ht="12" customHeight="1" x14ac:dyDescent="0.2">
      <c r="A35" s="75"/>
      <c r="B35" s="214" t="s">
        <v>72</v>
      </c>
      <c r="C35" s="93">
        <v>203.921357</v>
      </c>
      <c r="D35" s="93">
        <v>105.623228</v>
      </c>
      <c r="E35" s="215">
        <v>0.63434308158316155</v>
      </c>
      <c r="F35" s="215">
        <v>0.23111401879107737</v>
      </c>
      <c r="G35" s="215">
        <v>0.7381115781282287</v>
      </c>
    </row>
    <row r="36" spans="1:7" s="362" customFormat="1" ht="12" customHeight="1" x14ac:dyDescent="0.2">
      <c r="A36" s="75"/>
      <c r="B36" s="214" t="s">
        <v>73</v>
      </c>
      <c r="C36" s="93">
        <v>2460.159533</v>
      </c>
      <c r="D36" s="93">
        <v>452.584406</v>
      </c>
      <c r="E36" s="215">
        <v>0.70666282599974795</v>
      </c>
      <c r="F36" s="215">
        <v>6.0138312307326289E-2</v>
      </c>
      <c r="G36" s="215">
        <v>0.88150113498810645</v>
      </c>
    </row>
    <row r="37" spans="1:7" s="362" customFormat="1" ht="12" customHeight="1" x14ac:dyDescent="0.2">
      <c r="A37" s="75"/>
      <c r="B37" s="214" t="s">
        <v>74</v>
      </c>
      <c r="C37" s="93">
        <v>2702.7462960000003</v>
      </c>
      <c r="D37" s="93">
        <v>980.35507099999995</v>
      </c>
      <c r="E37" s="215">
        <v>0.79691523328980629</v>
      </c>
      <c r="F37" s="215">
        <v>0.11081264809566127</v>
      </c>
      <c r="G37" s="215">
        <v>0.74545080345826487</v>
      </c>
    </row>
    <row r="38" spans="1:7" s="362" customFormat="1" ht="12" customHeight="1" x14ac:dyDescent="0.2">
      <c r="A38" s="75"/>
      <c r="B38" s="214" t="s">
        <v>75</v>
      </c>
      <c r="C38" s="93">
        <v>1784.3184059999999</v>
      </c>
      <c r="D38" s="93">
        <v>244.07085699999999</v>
      </c>
      <c r="E38" s="215">
        <v>1.121933663447285</v>
      </c>
      <c r="F38" s="215">
        <v>5.0050218770371205E-2</v>
      </c>
      <c r="G38" s="215">
        <v>0.88219825791882645</v>
      </c>
    </row>
    <row r="39" spans="1:7" s="362" customFormat="1" ht="12" customHeight="1" x14ac:dyDescent="0.2">
      <c r="A39" s="75"/>
      <c r="B39" s="214" t="s">
        <v>76</v>
      </c>
      <c r="C39" s="93">
        <v>285.23002000000002</v>
      </c>
      <c r="D39" s="93">
        <v>195.26447399999998</v>
      </c>
      <c r="E39" s="215">
        <v>2.0535975455879432</v>
      </c>
      <c r="F39" s="215">
        <v>0.41752899183823633</v>
      </c>
      <c r="G39" s="215">
        <v>0.60115890099342284</v>
      </c>
    </row>
    <row r="40" spans="1:7" s="362" customFormat="1" ht="12" customHeight="1" x14ac:dyDescent="0.2">
      <c r="A40" s="75"/>
      <c r="B40" s="214" t="s">
        <v>77</v>
      </c>
      <c r="C40" s="93">
        <v>129.90336299999998</v>
      </c>
      <c r="D40" s="93">
        <v>99.902095000000003</v>
      </c>
      <c r="E40" s="215">
        <v>1.4290881830364932</v>
      </c>
      <c r="F40" s="215">
        <v>0.22894598719126313</v>
      </c>
      <c r="G40" s="215">
        <v>0.48819789041285111</v>
      </c>
    </row>
    <row r="41" spans="1:7" s="362" customFormat="1" ht="12" customHeight="1" x14ac:dyDescent="0.2">
      <c r="A41" s="75"/>
      <c r="B41" s="214" t="s">
        <v>78</v>
      </c>
      <c r="C41" s="93">
        <v>0</v>
      </c>
      <c r="D41" s="93">
        <v>0</v>
      </c>
      <c r="E41" s="215">
        <v>0</v>
      </c>
      <c r="F41" s="215">
        <v>0</v>
      </c>
      <c r="G41" s="215">
        <v>0</v>
      </c>
    </row>
    <row r="42" spans="1:7" s="362" customFormat="1" ht="12" customHeight="1" x14ac:dyDescent="0.2">
      <c r="A42" s="75"/>
      <c r="B42" s="214" t="s">
        <v>79</v>
      </c>
      <c r="C42" s="93">
        <v>142.83272500000001</v>
      </c>
      <c r="D42" s="93">
        <v>0</v>
      </c>
      <c r="E42" s="215">
        <v>0</v>
      </c>
      <c r="F42" s="215">
        <v>0</v>
      </c>
      <c r="G42" s="215">
        <v>0</v>
      </c>
    </row>
    <row r="43" spans="1:7" s="362" customFormat="1" ht="12" customHeight="1" x14ac:dyDescent="0.2">
      <c r="A43" s="216" t="s">
        <v>291</v>
      </c>
      <c r="B43" s="217"/>
      <c r="C43" s="218">
        <f>SUM(C32:C42)</f>
        <v>7995.7951930000017</v>
      </c>
      <c r="D43" s="218">
        <f>SUM(D32:D42)</f>
        <v>2091.9045099999998</v>
      </c>
      <c r="E43" s="219">
        <v>0.85893342866167144</v>
      </c>
      <c r="F43" s="219"/>
      <c r="G43" s="219">
        <v>0.80871952282883253</v>
      </c>
    </row>
    <row r="44" spans="1:7" s="362" customFormat="1" ht="12" customHeight="1" x14ac:dyDescent="0.2">
      <c r="A44" s="75" t="s">
        <v>292</v>
      </c>
      <c r="B44" s="397"/>
      <c r="C44" s="202"/>
      <c r="D44" s="202"/>
      <c r="E44" s="398"/>
      <c r="F44" s="398"/>
      <c r="G44" s="398"/>
    </row>
    <row r="45" spans="1:7" s="362" customFormat="1" ht="12" customHeight="1" x14ac:dyDescent="0.2">
      <c r="A45" s="75"/>
      <c r="B45" s="214" t="s">
        <v>69</v>
      </c>
      <c r="C45" s="93">
        <v>0</v>
      </c>
      <c r="D45" s="93">
        <v>0</v>
      </c>
      <c r="E45" s="215">
        <v>0</v>
      </c>
      <c r="F45" s="215">
        <v>0</v>
      </c>
      <c r="G45" s="215">
        <v>0</v>
      </c>
    </row>
    <row r="46" spans="1:7" s="362" customFormat="1" ht="12" customHeight="1" x14ac:dyDescent="0.2">
      <c r="A46" s="75"/>
      <c r="B46" s="214" t="s">
        <v>70</v>
      </c>
      <c r="C46" s="93">
        <v>1916.928345</v>
      </c>
      <c r="D46" s="93">
        <v>603.38350200000002</v>
      </c>
      <c r="E46" s="215">
        <v>7.4442804485735745E-2</v>
      </c>
      <c r="F46" s="215">
        <v>0.17050000000000001</v>
      </c>
      <c r="G46" s="215">
        <v>0.99911863705304194</v>
      </c>
    </row>
    <row r="47" spans="1:7" s="362" customFormat="1" ht="12" customHeight="1" x14ac:dyDescent="0.2">
      <c r="A47" s="75"/>
      <c r="B47" s="214" t="s">
        <v>71</v>
      </c>
      <c r="C47" s="93">
        <v>1573.590418</v>
      </c>
      <c r="D47" s="93">
        <v>120.65118799999999</v>
      </c>
      <c r="E47" s="215">
        <v>0.12915495968659363</v>
      </c>
      <c r="F47" s="215">
        <v>0.19670000000000001</v>
      </c>
      <c r="G47" s="215">
        <v>0.99969410546335657</v>
      </c>
    </row>
    <row r="48" spans="1:7" s="362" customFormat="1" ht="12" customHeight="1" x14ac:dyDescent="0.2">
      <c r="A48" s="75"/>
      <c r="B48" s="214" t="s">
        <v>72</v>
      </c>
      <c r="C48" s="93">
        <v>794.15225100000009</v>
      </c>
      <c r="D48" s="93">
        <v>14.742882</v>
      </c>
      <c r="E48" s="215">
        <v>0.21346241578555947</v>
      </c>
      <c r="F48" s="215">
        <v>0.22309999999999999</v>
      </c>
      <c r="G48" s="215">
        <v>0.99964503041045238</v>
      </c>
    </row>
    <row r="49" spans="1:7" s="362" customFormat="1" ht="12" customHeight="1" x14ac:dyDescent="0.2">
      <c r="A49" s="75"/>
      <c r="B49" s="214" t="s">
        <v>73</v>
      </c>
      <c r="C49" s="93">
        <v>702.61147600000004</v>
      </c>
      <c r="D49" s="93">
        <v>7.0842809999999998</v>
      </c>
      <c r="E49" s="215">
        <v>0.28424515941154366</v>
      </c>
      <c r="F49" s="215">
        <v>0.21929999999999999</v>
      </c>
      <c r="G49" s="215">
        <v>0.9994964190816108</v>
      </c>
    </row>
    <row r="50" spans="1:7" s="362" customFormat="1" ht="12" customHeight="1" x14ac:dyDescent="0.2">
      <c r="A50" s="75"/>
      <c r="B50" s="214" t="s">
        <v>74</v>
      </c>
      <c r="C50" s="93">
        <v>497.98517599999997</v>
      </c>
      <c r="D50" s="93">
        <v>4.718807</v>
      </c>
      <c r="E50" s="215">
        <v>0.39637380491020885</v>
      </c>
      <c r="F50" s="215">
        <v>0.21629999999999999</v>
      </c>
      <c r="G50" s="215">
        <v>0.9996988769168953</v>
      </c>
    </row>
    <row r="51" spans="1:7" s="362" customFormat="1" ht="12" customHeight="1" x14ac:dyDescent="0.2">
      <c r="A51" s="75"/>
      <c r="B51" s="214" t="s">
        <v>75</v>
      </c>
      <c r="C51" s="93">
        <v>146.414413</v>
      </c>
      <c r="D51" s="93">
        <v>1.3189819999999999</v>
      </c>
      <c r="E51" s="215">
        <v>0.60245904889158686</v>
      </c>
      <c r="F51" s="215">
        <v>0.21879999999999999</v>
      </c>
      <c r="G51" s="215">
        <v>0.99919812689540199</v>
      </c>
    </row>
    <row r="52" spans="1:7" s="362" customFormat="1" ht="12" customHeight="1" x14ac:dyDescent="0.2">
      <c r="A52" s="75"/>
      <c r="B52" s="214" t="s">
        <v>76</v>
      </c>
      <c r="C52" s="93">
        <v>110.657972</v>
      </c>
      <c r="D52" s="93">
        <v>0.55159400000000003</v>
      </c>
      <c r="E52" s="215">
        <v>0.89420228124187939</v>
      </c>
      <c r="F52" s="215">
        <v>0.21820000000000001</v>
      </c>
      <c r="G52" s="215">
        <v>0.99831521071431795</v>
      </c>
    </row>
    <row r="53" spans="1:7" s="362" customFormat="1" ht="12" customHeight="1" x14ac:dyDescent="0.2">
      <c r="A53" s="75"/>
      <c r="B53" s="214" t="s">
        <v>77</v>
      </c>
      <c r="C53" s="93">
        <v>150.28200099999998</v>
      </c>
      <c r="D53" s="93">
        <v>0.31732900000000003</v>
      </c>
      <c r="E53" s="215">
        <v>1.2058842096466365</v>
      </c>
      <c r="F53" s="215">
        <v>0.20960000000000001</v>
      </c>
      <c r="G53" s="215">
        <v>0.99875058151956819</v>
      </c>
    </row>
    <row r="54" spans="1:7" s="362" customFormat="1" ht="12" customHeight="1" x14ac:dyDescent="0.2">
      <c r="A54" s="75"/>
      <c r="B54" s="214" t="s">
        <v>78</v>
      </c>
      <c r="C54" s="93">
        <v>10.754301</v>
      </c>
      <c r="D54" s="93">
        <v>8.6260000000000003E-2</v>
      </c>
      <c r="E54" s="215">
        <v>3.4891156570752486E-2</v>
      </c>
      <c r="F54" s="215">
        <v>0.14480000000000001</v>
      </c>
      <c r="G54" s="215">
        <v>0.99247863632785427</v>
      </c>
    </row>
    <row r="55" spans="1:7" s="362" customFormat="1" ht="12" customHeight="1" x14ac:dyDescent="0.2">
      <c r="A55" s="75"/>
      <c r="B55" s="214" t="s">
        <v>79</v>
      </c>
      <c r="C55" s="93">
        <v>17.529745999999999</v>
      </c>
      <c r="D55" s="93">
        <v>0</v>
      </c>
      <c r="E55" s="215">
        <v>1.2339249524779197</v>
      </c>
      <c r="F55" s="215">
        <v>0.32369999999999999</v>
      </c>
      <c r="G55" s="215">
        <v>1</v>
      </c>
    </row>
    <row r="56" spans="1:7" s="362" customFormat="1" ht="12" customHeight="1" x14ac:dyDescent="0.2">
      <c r="A56" s="216" t="s">
        <v>294</v>
      </c>
      <c r="B56" s="82"/>
      <c r="C56" s="220">
        <f>SUM(C45:C55)</f>
        <v>5920.9060990000007</v>
      </c>
      <c r="D56" s="220">
        <f>SUM(D45:D55)</f>
        <v>752.85482500000001</v>
      </c>
      <c r="E56" s="221">
        <v>0.22005922188498467</v>
      </c>
      <c r="F56" s="221"/>
      <c r="G56" s="222">
        <v>0.99940378314501388</v>
      </c>
    </row>
    <row r="57" spans="1:7" s="362" customFormat="1" ht="12" customHeight="1" x14ac:dyDescent="0.2">
      <c r="A57" s="75" t="s">
        <v>295</v>
      </c>
      <c r="B57" s="397"/>
      <c r="C57" s="202"/>
      <c r="D57" s="202"/>
      <c r="E57" s="398"/>
      <c r="F57" s="398"/>
      <c r="G57" s="398"/>
    </row>
    <row r="58" spans="1:7" ht="12" customHeight="1" x14ac:dyDescent="0.2">
      <c r="A58" s="362"/>
      <c r="B58" s="214" t="s">
        <v>69</v>
      </c>
      <c r="C58" s="93">
        <v>0</v>
      </c>
      <c r="D58" s="93">
        <v>0</v>
      </c>
      <c r="E58" s="215">
        <v>0</v>
      </c>
      <c r="F58" s="215">
        <v>0</v>
      </c>
      <c r="G58" s="215">
        <v>0</v>
      </c>
    </row>
    <row r="59" spans="1:7" x14ac:dyDescent="0.2">
      <c r="A59" s="75"/>
      <c r="B59" s="214" t="s">
        <v>70</v>
      </c>
      <c r="C59" s="93">
        <v>41460.804916000001</v>
      </c>
      <c r="D59" s="93">
        <v>11725.566626</v>
      </c>
      <c r="E59" s="215">
        <v>7.3446946222330792E-2</v>
      </c>
      <c r="F59" s="215">
        <v>0.16829999999999998</v>
      </c>
      <c r="G59" s="215">
        <v>0.99988635590931618</v>
      </c>
    </row>
    <row r="60" spans="1:7" x14ac:dyDescent="0.2">
      <c r="A60" s="75"/>
      <c r="B60" s="214" t="s">
        <v>71</v>
      </c>
      <c r="C60" s="93">
        <v>35338.873233999999</v>
      </c>
      <c r="D60" s="93">
        <v>1416.862509</v>
      </c>
      <c r="E60" s="215">
        <v>0.14046437692371616</v>
      </c>
      <c r="F60" s="215">
        <v>0.21160000000000001</v>
      </c>
      <c r="G60" s="215">
        <v>0.99992821893652784</v>
      </c>
    </row>
    <row r="61" spans="1:7" x14ac:dyDescent="0.2">
      <c r="A61" s="75"/>
      <c r="B61" s="214" t="s">
        <v>72</v>
      </c>
      <c r="C61" s="93">
        <v>23709.124024000001</v>
      </c>
      <c r="D61" s="93">
        <v>177.42982500000002</v>
      </c>
      <c r="E61" s="215">
        <v>0.22292152475350346</v>
      </c>
      <c r="F61" s="215">
        <v>0.23319999999999999</v>
      </c>
      <c r="G61" s="215">
        <v>0.999977456444619</v>
      </c>
    </row>
    <row r="62" spans="1:7" x14ac:dyDescent="0.2">
      <c r="A62" s="75"/>
      <c r="B62" s="214" t="s">
        <v>73</v>
      </c>
      <c r="C62" s="93">
        <v>19133.693103999998</v>
      </c>
      <c r="D62" s="93">
        <v>62.330131999999999</v>
      </c>
      <c r="E62" s="215">
        <v>0.30867792354029594</v>
      </c>
      <c r="F62" s="215">
        <v>0.2419</v>
      </c>
      <c r="G62" s="215">
        <v>0.99996471668194331</v>
      </c>
    </row>
    <row r="63" spans="1:7" x14ac:dyDescent="0.2">
      <c r="A63" s="75"/>
      <c r="B63" s="214" t="s">
        <v>74</v>
      </c>
      <c r="C63" s="93">
        <v>7228.0155250000007</v>
      </c>
      <c r="D63" s="93">
        <v>19.274297999999998</v>
      </c>
      <c r="E63" s="215">
        <v>0.43404239879520734</v>
      </c>
      <c r="F63" s="215">
        <v>0.2404</v>
      </c>
      <c r="G63" s="215">
        <v>0.99996520604466743</v>
      </c>
    </row>
    <row r="64" spans="1:7" x14ac:dyDescent="0.2">
      <c r="A64" s="75"/>
      <c r="B64" s="214" t="s">
        <v>75</v>
      </c>
      <c r="C64" s="93">
        <v>1613.172292</v>
      </c>
      <c r="D64" s="93">
        <v>7.0839709999999991</v>
      </c>
      <c r="E64" s="215">
        <v>0.69470662281868656</v>
      </c>
      <c r="F64" s="215">
        <v>0.24350000000000002</v>
      </c>
      <c r="G64" s="215">
        <v>0.99997675441831191</v>
      </c>
    </row>
    <row r="65" spans="1:7" x14ac:dyDescent="0.2">
      <c r="A65" s="75"/>
      <c r="B65" s="214" t="s">
        <v>76</v>
      </c>
      <c r="C65" s="93">
        <v>1132.4555730000002</v>
      </c>
      <c r="D65" s="93">
        <v>8.1177010000000003</v>
      </c>
      <c r="E65" s="215">
        <v>0.96135386584388327</v>
      </c>
      <c r="F65" s="215">
        <v>0.23519999999999999</v>
      </c>
      <c r="G65" s="215">
        <v>0.99989890250260927</v>
      </c>
    </row>
    <row r="66" spans="1:7" x14ac:dyDescent="0.2">
      <c r="A66" s="75"/>
      <c r="B66" s="214" t="s">
        <v>77</v>
      </c>
      <c r="C66" s="93">
        <v>1589.2940129999999</v>
      </c>
      <c r="D66" s="93">
        <v>1.3797919999999999</v>
      </c>
      <c r="E66" s="215">
        <v>1.3294191651875302</v>
      </c>
      <c r="F66" s="215">
        <v>0.2329</v>
      </c>
      <c r="G66" s="215">
        <v>0.99991569294179794</v>
      </c>
    </row>
    <row r="67" spans="1:7" x14ac:dyDescent="0.2">
      <c r="A67" s="75"/>
      <c r="B67" s="214" t="s">
        <v>78</v>
      </c>
      <c r="C67" s="93">
        <v>181.79767999999999</v>
      </c>
      <c r="D67" s="93">
        <v>0.156804</v>
      </c>
      <c r="E67" s="215">
        <v>0.40577091522840114</v>
      </c>
      <c r="F67" s="215">
        <v>0.23170000000000002</v>
      </c>
      <c r="G67" s="215">
        <v>0.99982353824290793</v>
      </c>
    </row>
    <row r="68" spans="1:7" x14ac:dyDescent="0.2">
      <c r="A68" s="75"/>
      <c r="B68" s="214" t="s">
        <v>79</v>
      </c>
      <c r="C68" s="93">
        <v>173.385267</v>
      </c>
      <c r="D68" s="93">
        <v>0.98568</v>
      </c>
      <c r="E68" s="215">
        <v>1.6852693602853814</v>
      </c>
      <c r="F68" s="215">
        <v>0.22120000000000001</v>
      </c>
      <c r="G68" s="215">
        <v>0.9997780004398128</v>
      </c>
    </row>
    <row r="69" spans="1:7" ht="12" customHeight="1" x14ac:dyDescent="0.2">
      <c r="A69" s="216" t="s">
        <v>172</v>
      </c>
      <c r="B69" s="82"/>
      <c r="C69" s="220">
        <f>SUM(C58:C68)</f>
        <v>131560.61562799997</v>
      </c>
      <c r="D69" s="220">
        <f>SUM(D58:D68)</f>
        <v>13419.187337999998</v>
      </c>
      <c r="E69" s="221">
        <v>0.20542537862864854</v>
      </c>
      <c r="F69" s="221"/>
      <c r="G69" s="222">
        <v>0.9999587379367556</v>
      </c>
    </row>
    <row r="70" spans="1:7" x14ac:dyDescent="0.2">
      <c r="A70" s="75" t="s">
        <v>135</v>
      </c>
      <c r="B70" s="214" t="s">
        <v>69</v>
      </c>
      <c r="C70" s="93">
        <v>0</v>
      </c>
      <c r="D70" s="93">
        <v>0</v>
      </c>
      <c r="E70" s="215">
        <v>0</v>
      </c>
      <c r="F70" s="215">
        <v>0</v>
      </c>
      <c r="G70" s="215">
        <v>0</v>
      </c>
    </row>
    <row r="71" spans="1:7" x14ac:dyDescent="0.2">
      <c r="A71" s="75"/>
      <c r="B71" s="214" t="s">
        <v>70</v>
      </c>
      <c r="C71" s="93">
        <v>878.78376300000002</v>
      </c>
      <c r="D71" s="93">
        <v>447.83558600000003</v>
      </c>
      <c r="E71" s="215">
        <v>0.21557740934273495</v>
      </c>
      <c r="F71" s="215">
        <v>0.48917939840167479</v>
      </c>
      <c r="G71" s="215">
        <v>0.99677160969033296</v>
      </c>
    </row>
    <row r="72" spans="1:7" x14ac:dyDescent="0.2">
      <c r="A72" s="75"/>
      <c r="B72" s="214" t="s">
        <v>71</v>
      </c>
      <c r="C72" s="93">
        <v>1231.2793079999999</v>
      </c>
      <c r="D72" s="93">
        <v>290.709677</v>
      </c>
      <c r="E72" s="215">
        <v>0.31606573705208407</v>
      </c>
      <c r="F72" s="215">
        <v>0.49521114139441064</v>
      </c>
      <c r="G72" s="215">
        <v>0.99804605113844946</v>
      </c>
    </row>
    <row r="73" spans="1:7" x14ac:dyDescent="0.2">
      <c r="A73" s="75"/>
      <c r="B73" s="214" t="s">
        <v>72</v>
      </c>
      <c r="C73" s="93">
        <v>925.97205499999995</v>
      </c>
      <c r="D73" s="93">
        <v>84.256932000000006</v>
      </c>
      <c r="E73" s="215">
        <v>0.4273639661836231</v>
      </c>
      <c r="F73" s="215">
        <v>0.50208766541696548</v>
      </c>
      <c r="G73" s="215">
        <v>0.9980440186259556</v>
      </c>
    </row>
    <row r="74" spans="1:7" x14ac:dyDescent="0.2">
      <c r="A74" s="75"/>
      <c r="B74" s="214" t="s">
        <v>73</v>
      </c>
      <c r="C74" s="93">
        <v>764.95988899999998</v>
      </c>
      <c r="D74" s="93">
        <v>33.524175999999997</v>
      </c>
      <c r="E74" s="215">
        <v>0.5268698827161642</v>
      </c>
      <c r="F74" s="215">
        <v>0.50074847279489187</v>
      </c>
      <c r="G74" s="215">
        <v>0.99738232503954416</v>
      </c>
    </row>
    <row r="75" spans="1:7" x14ac:dyDescent="0.2">
      <c r="A75" s="75"/>
      <c r="B75" s="214" t="s">
        <v>74</v>
      </c>
      <c r="C75" s="93">
        <v>452.86972499999996</v>
      </c>
      <c r="D75" s="93">
        <v>49.217278000000007</v>
      </c>
      <c r="E75" s="215">
        <v>0.64029538296029842</v>
      </c>
      <c r="F75" s="215">
        <v>0.498776439705922</v>
      </c>
      <c r="G75" s="215">
        <v>0.9992575201356958</v>
      </c>
    </row>
    <row r="76" spans="1:7" x14ac:dyDescent="0.2">
      <c r="A76" s="75"/>
      <c r="B76" s="214" t="s">
        <v>75</v>
      </c>
      <c r="C76" s="93">
        <v>139.399261</v>
      </c>
      <c r="D76" s="93">
        <v>3.5516329999999998</v>
      </c>
      <c r="E76" s="215">
        <v>0.7612219264203991</v>
      </c>
      <c r="F76" s="215">
        <v>0.50758131948346552</v>
      </c>
      <c r="G76" s="215">
        <v>0.99753608512492442</v>
      </c>
    </row>
    <row r="77" spans="1:7" x14ac:dyDescent="0.2">
      <c r="A77" s="75"/>
      <c r="B77" s="214" t="s">
        <v>76</v>
      </c>
      <c r="C77" s="93">
        <v>55.938493000000001</v>
      </c>
      <c r="D77" s="93">
        <v>1.7789989999999998</v>
      </c>
      <c r="E77" s="215">
        <v>0.8039508679649271</v>
      </c>
      <c r="F77" s="215">
        <v>0.49213934186428659</v>
      </c>
      <c r="G77" s="215">
        <v>0.99663646205408285</v>
      </c>
    </row>
    <row r="78" spans="1:7" x14ac:dyDescent="0.2">
      <c r="A78" s="75"/>
      <c r="B78" s="214" t="s">
        <v>77</v>
      </c>
      <c r="C78" s="93">
        <v>104.12210899999999</v>
      </c>
      <c r="D78" s="93">
        <v>1.655165</v>
      </c>
      <c r="E78" s="215">
        <v>1.1535417612411212</v>
      </c>
      <c r="F78" s="215">
        <v>0.49708216641001773</v>
      </c>
      <c r="G78" s="215">
        <v>0.99745882884408821</v>
      </c>
    </row>
    <row r="79" spans="1:7" x14ac:dyDescent="0.2">
      <c r="A79" s="75"/>
      <c r="B79" s="214" t="s">
        <v>78</v>
      </c>
      <c r="C79" s="93">
        <v>9.2753189999999996</v>
      </c>
      <c r="D79" s="93">
        <v>0.22477799999999998</v>
      </c>
      <c r="E79" s="215">
        <v>1.249121458787563E-3</v>
      </c>
      <c r="F79" s="215">
        <v>0.49907444243157567</v>
      </c>
      <c r="G79" s="215">
        <v>1</v>
      </c>
    </row>
    <row r="80" spans="1:7" x14ac:dyDescent="0.2">
      <c r="A80" s="75"/>
      <c r="B80" s="214" t="s">
        <v>79</v>
      </c>
      <c r="C80" s="93">
        <v>29.995533000000002</v>
      </c>
      <c r="D80" s="93">
        <v>3.9204999999999997E-2</v>
      </c>
      <c r="E80" s="215">
        <v>0.1178405797956649</v>
      </c>
      <c r="F80" s="215">
        <v>0.84574898485384464</v>
      </c>
      <c r="G80" s="215">
        <v>0.99872615800189546</v>
      </c>
    </row>
    <row r="81" spans="1:9" x14ac:dyDescent="0.2">
      <c r="A81" s="216" t="s">
        <v>173</v>
      </c>
      <c r="B81" s="82"/>
      <c r="C81" s="220">
        <f>SUM(C70:C80)</f>
        <v>4592.5954549999988</v>
      </c>
      <c r="D81" s="220">
        <f>SUM(D70:D80)</f>
        <v>912.79342900000006</v>
      </c>
      <c r="E81" s="221">
        <v>0.42287286372798966</v>
      </c>
      <c r="F81" s="221"/>
      <c r="G81" s="222">
        <v>0.99777175828601217</v>
      </c>
    </row>
    <row r="82" spans="1:9" x14ac:dyDescent="0.2">
      <c r="A82" s="92"/>
      <c r="B82" s="89"/>
      <c r="C82" s="223"/>
      <c r="D82" s="223"/>
      <c r="E82" s="224"/>
      <c r="F82" s="224"/>
      <c r="G82" s="225"/>
    </row>
    <row r="83" spans="1:9" x14ac:dyDescent="0.2">
      <c r="A83" s="92"/>
      <c r="B83" s="89"/>
      <c r="C83" s="223"/>
      <c r="D83" s="223"/>
      <c r="E83" s="224"/>
      <c r="F83" s="224"/>
      <c r="G83" s="225"/>
    </row>
    <row r="84" spans="1:9" x14ac:dyDescent="0.2">
      <c r="A84" s="92"/>
      <c r="B84" s="89"/>
      <c r="C84" s="223"/>
      <c r="D84" s="223"/>
      <c r="E84" s="224"/>
      <c r="F84" s="224"/>
      <c r="G84" s="225"/>
    </row>
    <row r="85" spans="1:9" ht="48.75" thickBot="1" x14ac:dyDescent="0.25">
      <c r="A85" s="670" t="s">
        <v>779</v>
      </c>
      <c r="B85" s="213" t="s">
        <v>139</v>
      </c>
      <c r="C85" s="355" t="s">
        <v>67</v>
      </c>
      <c r="D85" s="355" t="s">
        <v>68</v>
      </c>
      <c r="E85" s="355" t="s">
        <v>157</v>
      </c>
      <c r="F85" s="355" t="s">
        <v>158</v>
      </c>
      <c r="G85" s="355" t="s">
        <v>159</v>
      </c>
    </row>
    <row r="86" spans="1:9" x14ac:dyDescent="0.2">
      <c r="A86" s="75" t="s">
        <v>289</v>
      </c>
      <c r="B86" s="85"/>
      <c r="C86" s="67"/>
      <c r="D86" s="67"/>
      <c r="E86" s="67"/>
      <c r="F86" s="67"/>
      <c r="G86" s="67"/>
    </row>
    <row r="87" spans="1:9" x14ac:dyDescent="0.2">
      <c r="A87" s="362"/>
      <c r="B87" s="214" t="s">
        <v>69</v>
      </c>
      <c r="C87" s="93">
        <v>0</v>
      </c>
      <c r="D87" s="93">
        <v>0</v>
      </c>
      <c r="E87" s="215">
        <v>0</v>
      </c>
      <c r="F87" s="215">
        <v>0</v>
      </c>
      <c r="G87" s="215">
        <v>0</v>
      </c>
      <c r="I87" s="27"/>
    </row>
    <row r="88" spans="1:9" x14ac:dyDescent="0.2">
      <c r="A88" s="75"/>
      <c r="B88" s="214" t="s">
        <v>70</v>
      </c>
      <c r="C88" s="93">
        <v>508.60250692</v>
      </c>
      <c r="D88" s="93">
        <v>49.742920689999998</v>
      </c>
      <c r="E88" s="215">
        <v>0.23159077059757643</v>
      </c>
      <c r="F88" s="215">
        <v>0.25229984525743743</v>
      </c>
      <c r="G88" s="215">
        <v>0.95577149016330776</v>
      </c>
    </row>
    <row r="89" spans="1:9" x14ac:dyDescent="0.2">
      <c r="A89" s="75"/>
      <c r="B89" s="214" t="s">
        <v>71</v>
      </c>
      <c r="C89" s="93">
        <v>3028.92287988</v>
      </c>
      <c r="D89" s="93">
        <v>805.30004779000001</v>
      </c>
      <c r="E89" s="215">
        <v>0.37853400453350639</v>
      </c>
      <c r="F89" s="215">
        <v>0.30968831548747494</v>
      </c>
      <c r="G89" s="215">
        <v>0.81541871449216852</v>
      </c>
    </row>
    <row r="90" spans="1:9" x14ac:dyDescent="0.2">
      <c r="A90" s="75"/>
      <c r="B90" s="214" t="s">
        <v>72</v>
      </c>
      <c r="C90" s="93">
        <v>2920.2697140599989</v>
      </c>
      <c r="D90" s="93">
        <v>778.15335274999995</v>
      </c>
      <c r="E90" s="215">
        <v>0.43903962632553184</v>
      </c>
      <c r="F90" s="215">
        <v>0.27195613925463197</v>
      </c>
      <c r="G90" s="215">
        <v>0.93275489774785991</v>
      </c>
    </row>
    <row r="91" spans="1:9" x14ac:dyDescent="0.2">
      <c r="A91" s="75"/>
      <c r="B91" s="214" t="s">
        <v>73</v>
      </c>
      <c r="C91" s="93">
        <v>4492.3656666999996</v>
      </c>
      <c r="D91" s="93">
        <v>699.16013213999997</v>
      </c>
      <c r="E91" s="215">
        <v>0.5269532052046727</v>
      </c>
      <c r="F91" s="215">
        <v>0.26909939956697893</v>
      </c>
      <c r="G91" s="215">
        <v>0.93092279916868648</v>
      </c>
    </row>
    <row r="92" spans="1:9" x14ac:dyDescent="0.2">
      <c r="A92" s="75"/>
      <c r="B92" s="214" t="s">
        <v>74</v>
      </c>
      <c r="C92" s="93">
        <v>5493.9312260699999</v>
      </c>
      <c r="D92" s="93">
        <v>1155.4618516999999</v>
      </c>
      <c r="E92" s="215">
        <v>0.66654266171438381</v>
      </c>
      <c r="F92" s="215">
        <v>0.31086171224633552</v>
      </c>
      <c r="G92" s="215">
        <v>0.9532090559330042</v>
      </c>
    </row>
    <row r="93" spans="1:9" x14ac:dyDescent="0.2">
      <c r="A93" s="75"/>
      <c r="B93" s="214" t="s">
        <v>75</v>
      </c>
      <c r="C93" s="93">
        <v>5564.7558269900001</v>
      </c>
      <c r="D93" s="93">
        <v>837.91424034000011</v>
      </c>
      <c r="E93" s="215">
        <v>0.84510255396160006</v>
      </c>
      <c r="F93" s="215">
        <v>0.32075310522311351</v>
      </c>
      <c r="G93" s="215">
        <v>0.85319978062715973</v>
      </c>
    </row>
    <row r="94" spans="1:9" x14ac:dyDescent="0.2">
      <c r="A94" s="75"/>
      <c r="B94" s="214" t="s">
        <v>76</v>
      </c>
      <c r="C94" s="93">
        <v>1423.8781184600002</v>
      </c>
      <c r="D94" s="93">
        <v>162.81131857</v>
      </c>
      <c r="E94" s="215">
        <v>1.2470136900770106</v>
      </c>
      <c r="F94" s="215">
        <v>0.39055466146884216</v>
      </c>
      <c r="G94" s="215">
        <v>0.8836286859307021</v>
      </c>
    </row>
    <row r="95" spans="1:9" x14ac:dyDescent="0.2">
      <c r="A95" s="75"/>
      <c r="B95" s="214" t="s">
        <v>77</v>
      </c>
      <c r="C95" s="93">
        <v>464.06926171999999</v>
      </c>
      <c r="D95" s="93">
        <v>65.079421569999994</v>
      </c>
      <c r="E95" s="215">
        <v>1.7671634341722136</v>
      </c>
      <c r="F95" s="215">
        <v>0.44689529086684704</v>
      </c>
      <c r="G95" s="215">
        <v>0.94549287258271641</v>
      </c>
    </row>
    <row r="96" spans="1:9" x14ac:dyDescent="0.2">
      <c r="A96" s="75"/>
      <c r="B96" s="214" t="s">
        <v>78</v>
      </c>
      <c r="C96" s="93">
        <v>6.6988161899999996</v>
      </c>
      <c r="D96" s="93">
        <v>1.3077576899999999</v>
      </c>
      <c r="E96" s="215">
        <v>9.8741300011099431E-2</v>
      </c>
      <c r="F96" s="215">
        <v>0.64357391981735801</v>
      </c>
      <c r="G96" s="215">
        <v>0.91882798213546935</v>
      </c>
    </row>
    <row r="97" spans="1:7" x14ac:dyDescent="0.2">
      <c r="A97" s="75"/>
      <c r="B97" s="214" t="s">
        <v>79</v>
      </c>
      <c r="C97" s="93">
        <v>746.44025621000003</v>
      </c>
      <c r="D97" s="93">
        <v>15.613126319999999</v>
      </c>
      <c r="E97" s="215">
        <v>1.8172239158592902</v>
      </c>
      <c r="F97" s="215">
        <v>0</v>
      </c>
      <c r="G97" s="215">
        <v>0.98868600556622321</v>
      </c>
    </row>
    <row r="98" spans="1:7" x14ac:dyDescent="0.2">
      <c r="A98" s="216" t="s">
        <v>290</v>
      </c>
      <c r="B98" s="217"/>
      <c r="C98" s="218">
        <f>SUM(C87:C97)</f>
        <v>24649.9342732</v>
      </c>
      <c r="D98" s="218">
        <f>SUM(D87:D97)</f>
        <v>4570.5441695600002</v>
      </c>
      <c r="E98" s="219">
        <v>0.69903795888882214</v>
      </c>
      <c r="F98" s="219"/>
      <c r="G98" s="219">
        <v>0.90116092856152685</v>
      </c>
    </row>
    <row r="99" spans="1:7" x14ac:dyDescent="0.2">
      <c r="A99" s="75" t="s">
        <v>106</v>
      </c>
      <c r="B99" s="397"/>
      <c r="C99" s="202"/>
      <c r="D99" s="202"/>
      <c r="E99" s="398"/>
      <c r="F99" s="398"/>
      <c r="G99" s="398"/>
    </row>
    <row r="100" spans="1:7" x14ac:dyDescent="0.2">
      <c r="A100" s="362"/>
      <c r="B100" s="214" t="s">
        <v>69</v>
      </c>
      <c r="C100" s="93">
        <v>8.9764529999999993</v>
      </c>
      <c r="D100" s="93">
        <v>0</v>
      </c>
      <c r="E100" s="215">
        <v>0.15801341409719408</v>
      </c>
      <c r="F100" s="215">
        <v>0.20843249909019418</v>
      </c>
      <c r="G100" s="215">
        <v>1</v>
      </c>
    </row>
    <row r="101" spans="1:7" x14ac:dyDescent="0.2">
      <c r="A101" s="75"/>
      <c r="B101" s="214" t="s">
        <v>70</v>
      </c>
      <c r="C101" s="93">
        <v>1292.3666882004984</v>
      </c>
      <c r="D101" s="93">
        <v>270.88636965262498</v>
      </c>
      <c r="E101" s="215">
        <v>0.23922667326690014</v>
      </c>
      <c r="F101" s="215">
        <v>0.29608513312390722</v>
      </c>
      <c r="G101" s="215">
        <v>0.87705952449236868</v>
      </c>
    </row>
    <row r="102" spans="1:7" x14ac:dyDescent="0.2">
      <c r="A102" s="75"/>
      <c r="B102" s="214" t="s">
        <v>71</v>
      </c>
      <c r="C102" s="93">
        <v>4519.4824354335142</v>
      </c>
      <c r="D102" s="93">
        <v>131.95995433000002</v>
      </c>
      <c r="E102" s="215">
        <v>0.36766232863346099</v>
      </c>
      <c r="F102" s="215">
        <v>0.24150892612053537</v>
      </c>
      <c r="G102" s="215">
        <v>0.99580650525077896</v>
      </c>
    </row>
    <row r="103" spans="1:7" x14ac:dyDescent="0.2">
      <c r="A103" s="75"/>
      <c r="B103" s="214" t="s">
        <v>72</v>
      </c>
      <c r="C103" s="93">
        <v>4478.2147807547344</v>
      </c>
      <c r="D103" s="93">
        <v>233.31361489</v>
      </c>
      <c r="E103" s="215">
        <v>0.41589382726694857</v>
      </c>
      <c r="F103" s="215">
        <v>0.26771362494098511</v>
      </c>
      <c r="G103" s="215">
        <v>0.96562806871062545</v>
      </c>
    </row>
    <row r="104" spans="1:7" x14ac:dyDescent="0.2">
      <c r="A104" s="75"/>
      <c r="B104" s="214" t="s">
        <v>73</v>
      </c>
      <c r="C104" s="93">
        <v>6189.1467061451249</v>
      </c>
      <c r="D104" s="93">
        <v>579.84556558000008</v>
      </c>
      <c r="E104" s="215">
        <v>0.53799966732104609</v>
      </c>
      <c r="F104" s="215">
        <v>0.27495928299422318</v>
      </c>
      <c r="G104" s="215">
        <v>0.90570957081017411</v>
      </c>
    </row>
    <row r="105" spans="1:7" x14ac:dyDescent="0.2">
      <c r="A105" s="75"/>
      <c r="B105" s="214" t="s">
        <v>74</v>
      </c>
      <c r="C105" s="93">
        <v>7174.8345009352906</v>
      </c>
      <c r="D105" s="93">
        <v>644.43759955025507</v>
      </c>
      <c r="E105" s="215">
        <v>0.62666789161737169</v>
      </c>
      <c r="F105" s="215">
        <v>0.28239247019303709</v>
      </c>
      <c r="G105" s="215">
        <v>0.97530445498552354</v>
      </c>
    </row>
    <row r="106" spans="1:7" x14ac:dyDescent="0.2">
      <c r="A106" s="75"/>
      <c r="B106" s="214" t="s">
        <v>75</v>
      </c>
      <c r="C106" s="93">
        <v>4526.009819120156</v>
      </c>
      <c r="D106" s="93">
        <v>585.03932242550002</v>
      </c>
      <c r="E106" s="215">
        <v>0.80614592396117468</v>
      </c>
      <c r="F106" s="215">
        <v>0.33104683484918701</v>
      </c>
      <c r="G106" s="215">
        <v>0.96335381780064289</v>
      </c>
    </row>
    <row r="107" spans="1:7" x14ac:dyDescent="0.2">
      <c r="A107" s="75"/>
      <c r="B107" s="214" t="s">
        <v>76</v>
      </c>
      <c r="C107" s="93">
        <v>2746.0493705574249</v>
      </c>
      <c r="D107" s="93">
        <v>223.00120984000003</v>
      </c>
      <c r="E107" s="215">
        <v>0.96791091064815793</v>
      </c>
      <c r="F107" s="215">
        <v>0.31525197842822178</v>
      </c>
      <c r="G107" s="215">
        <v>0.98408514016999016</v>
      </c>
    </row>
    <row r="108" spans="1:7" x14ac:dyDescent="0.2">
      <c r="A108" s="75"/>
      <c r="B108" s="214" t="s">
        <v>77</v>
      </c>
      <c r="C108" s="93">
        <v>623.97168369138501</v>
      </c>
      <c r="D108" s="93">
        <v>83.421689999999998</v>
      </c>
      <c r="E108" s="215">
        <v>1.3882846232058506</v>
      </c>
      <c r="F108" s="215">
        <v>0.36263647450544578</v>
      </c>
      <c r="G108" s="215">
        <v>0.93680574984205012</v>
      </c>
    </row>
    <row r="109" spans="1:7" x14ac:dyDescent="0.2">
      <c r="A109" s="75"/>
      <c r="B109" s="214" t="s">
        <v>78</v>
      </c>
      <c r="C109" s="93">
        <v>68.983615493894987</v>
      </c>
      <c r="D109" s="93">
        <v>0.41163877226999995</v>
      </c>
      <c r="E109" s="215">
        <v>0.698064727796055</v>
      </c>
      <c r="F109" s="215">
        <v>0.15564434644824457</v>
      </c>
      <c r="G109" s="215">
        <v>0.99793025675014058</v>
      </c>
    </row>
    <row r="110" spans="1:7" x14ac:dyDescent="0.2">
      <c r="A110" s="75"/>
      <c r="B110" s="214" t="s">
        <v>79</v>
      </c>
      <c r="C110" s="93">
        <v>547.85708327000009</v>
      </c>
      <c r="D110" s="93">
        <v>118.78812798</v>
      </c>
      <c r="E110" s="215">
        <v>1.0753569261316196</v>
      </c>
      <c r="F110" s="215">
        <v>8.9179777385500467E-2</v>
      </c>
      <c r="G110" s="215">
        <v>0.82314263096668916</v>
      </c>
    </row>
    <row r="111" spans="1:7" x14ac:dyDescent="0.2">
      <c r="A111" s="216" t="s">
        <v>293</v>
      </c>
      <c r="B111" s="217"/>
      <c r="C111" s="218">
        <f>SUM(C100:C110)</f>
        <v>32175.893136602026</v>
      </c>
      <c r="D111" s="218">
        <f>SUM(D100:D110)</f>
        <v>2871.1050930206507</v>
      </c>
      <c r="E111" s="219">
        <v>0.60513603293088813</v>
      </c>
      <c r="F111" s="219"/>
      <c r="G111" s="219">
        <v>0.95369848053549422</v>
      </c>
    </row>
    <row r="112" spans="1:7" x14ac:dyDescent="0.2">
      <c r="A112" s="75" t="s">
        <v>105</v>
      </c>
      <c r="B112" s="397"/>
      <c r="C112" s="202"/>
      <c r="D112" s="202"/>
      <c r="E112" s="398"/>
      <c r="F112" s="398"/>
      <c r="G112" s="398"/>
    </row>
    <row r="113" spans="1:7" x14ac:dyDescent="0.2">
      <c r="A113" s="362"/>
      <c r="B113" s="214" t="s">
        <v>69</v>
      </c>
      <c r="C113" s="93">
        <v>0</v>
      </c>
      <c r="D113" s="93">
        <v>0</v>
      </c>
      <c r="E113" s="215">
        <v>0</v>
      </c>
      <c r="F113" s="215">
        <v>0</v>
      </c>
      <c r="G113" s="215">
        <v>0</v>
      </c>
    </row>
    <row r="114" spans="1:7" x14ac:dyDescent="0.2">
      <c r="A114" s="75"/>
      <c r="B114" s="214" t="s">
        <v>70</v>
      </c>
      <c r="C114" s="93">
        <v>9.6795695516100011</v>
      </c>
      <c r="D114" s="93">
        <v>0</v>
      </c>
      <c r="E114" s="215">
        <v>0.13817296635005125</v>
      </c>
      <c r="F114" s="215">
        <v>0</v>
      </c>
      <c r="G114" s="215">
        <v>1</v>
      </c>
    </row>
    <row r="115" spans="1:7" x14ac:dyDescent="0.2">
      <c r="A115" s="75"/>
      <c r="B115" s="214" t="s">
        <v>71</v>
      </c>
      <c r="C115" s="93">
        <v>140.50654062705001</v>
      </c>
      <c r="D115" s="93">
        <v>98.528531389999998</v>
      </c>
      <c r="E115" s="215">
        <v>0.47730687646551129</v>
      </c>
      <c r="F115" s="215">
        <v>0.25489928142361817</v>
      </c>
      <c r="G115" s="215">
        <v>0.64460050955954362</v>
      </c>
    </row>
    <row r="116" spans="1:7" x14ac:dyDescent="0.2">
      <c r="A116" s="75"/>
      <c r="B116" s="214" t="s">
        <v>72</v>
      </c>
      <c r="C116" s="93">
        <v>1460.6017306441306</v>
      </c>
      <c r="D116" s="93">
        <v>963.2238807</v>
      </c>
      <c r="E116" s="215">
        <v>0.42325157118797213</v>
      </c>
      <c r="F116" s="215">
        <v>0.12729208794749336</v>
      </c>
      <c r="G116" s="215">
        <v>0.88754005485744347</v>
      </c>
    </row>
    <row r="117" spans="1:7" x14ac:dyDescent="0.2">
      <c r="A117" s="75"/>
      <c r="B117" s="214" t="s">
        <v>73</v>
      </c>
      <c r="C117" s="93">
        <v>1848.275679950518</v>
      </c>
      <c r="D117" s="93">
        <v>347.82047100949995</v>
      </c>
      <c r="E117" s="215">
        <v>0.6094744507541362</v>
      </c>
      <c r="F117" s="215">
        <v>5.5182557273047182E-2</v>
      </c>
      <c r="G117" s="215">
        <v>0.88812241850255869</v>
      </c>
    </row>
    <row r="118" spans="1:7" x14ac:dyDescent="0.2">
      <c r="A118" s="75"/>
      <c r="B118" s="214" t="s">
        <v>74</v>
      </c>
      <c r="C118" s="93">
        <v>3440.8170037539148</v>
      </c>
      <c r="D118" s="93">
        <v>863.50129737939005</v>
      </c>
      <c r="E118" s="215">
        <v>0.80299172542576769</v>
      </c>
      <c r="F118" s="215">
        <v>7.6255316812568391E-2</v>
      </c>
      <c r="G118" s="215">
        <v>0.76797216854914274</v>
      </c>
    </row>
    <row r="119" spans="1:7" x14ac:dyDescent="0.2">
      <c r="A119" s="75"/>
      <c r="B119" s="214" t="s">
        <v>75</v>
      </c>
      <c r="C119" s="93">
        <v>1117.0853648116126</v>
      </c>
      <c r="D119" s="93">
        <v>408.32991959000003</v>
      </c>
      <c r="E119" s="215">
        <v>1.2001133758699694</v>
      </c>
      <c r="F119" s="215">
        <v>0.15598602114787835</v>
      </c>
      <c r="G119" s="215">
        <v>0.76250437352968359</v>
      </c>
    </row>
    <row r="120" spans="1:7" x14ac:dyDescent="0.2">
      <c r="A120" s="75"/>
      <c r="B120" s="214" t="s">
        <v>76</v>
      </c>
      <c r="C120" s="93">
        <v>615.04830802697268</v>
      </c>
      <c r="D120" s="93">
        <v>37.521473400000005</v>
      </c>
      <c r="E120" s="215">
        <v>1.0586977411204357</v>
      </c>
      <c r="F120" s="215">
        <v>2.3572290100769975E-2</v>
      </c>
      <c r="G120" s="215">
        <v>0.98530517443365584</v>
      </c>
    </row>
    <row r="121" spans="1:7" x14ac:dyDescent="0.2">
      <c r="A121" s="75"/>
      <c r="B121" s="214" t="s">
        <v>77</v>
      </c>
      <c r="C121" s="93">
        <v>140.74805287826999</v>
      </c>
      <c r="D121" s="93">
        <v>56.907179999999997</v>
      </c>
      <c r="E121" s="215">
        <v>1.155500847709628</v>
      </c>
      <c r="F121" s="215">
        <v>8.6857035686429621E-2</v>
      </c>
      <c r="G121" s="215">
        <v>0.38207635019589065</v>
      </c>
    </row>
    <row r="122" spans="1:7" x14ac:dyDescent="0.2">
      <c r="A122" s="75"/>
      <c r="B122" s="214" t="s">
        <v>78</v>
      </c>
      <c r="C122" s="93">
        <v>41.348864849507663</v>
      </c>
      <c r="D122" s="93">
        <v>0</v>
      </c>
      <c r="E122" s="215">
        <v>0</v>
      </c>
      <c r="F122" s="215">
        <v>0</v>
      </c>
      <c r="G122" s="215">
        <v>0</v>
      </c>
    </row>
    <row r="123" spans="1:7" x14ac:dyDescent="0.2">
      <c r="A123" s="75"/>
      <c r="B123" s="214" t="s">
        <v>79</v>
      </c>
      <c r="C123" s="93">
        <v>374.19409467999992</v>
      </c>
      <c r="D123" s="93">
        <v>0</v>
      </c>
      <c r="E123" s="215">
        <v>0</v>
      </c>
      <c r="F123" s="215">
        <v>0</v>
      </c>
      <c r="G123" s="215">
        <v>0</v>
      </c>
    </row>
    <row r="124" spans="1:7" x14ac:dyDescent="0.2">
      <c r="A124" s="216" t="s">
        <v>291</v>
      </c>
      <c r="B124" s="217"/>
      <c r="C124" s="218">
        <f>SUM(C113:C123)</f>
        <v>9188.3052097735872</v>
      </c>
      <c r="D124" s="218">
        <f>SUM(D113:D123)</f>
        <v>2775.8327534688901</v>
      </c>
      <c r="E124" s="219">
        <v>0.73844257155882065</v>
      </c>
      <c r="F124" s="219"/>
      <c r="G124" s="219">
        <v>0.81254994351744403</v>
      </c>
    </row>
    <row r="125" spans="1:7" x14ac:dyDescent="0.2">
      <c r="A125" s="75" t="s">
        <v>292</v>
      </c>
      <c r="B125" s="397"/>
      <c r="C125" s="202"/>
      <c r="D125" s="202"/>
      <c r="E125" s="398"/>
      <c r="F125" s="398"/>
      <c r="G125" s="398"/>
    </row>
    <row r="126" spans="1:7" x14ac:dyDescent="0.2">
      <c r="A126" s="75"/>
      <c r="B126" s="214" t="s">
        <v>69</v>
      </c>
      <c r="C126" s="93">
        <v>0</v>
      </c>
      <c r="D126" s="93">
        <v>0</v>
      </c>
      <c r="E126" s="215">
        <v>0</v>
      </c>
      <c r="F126" s="215">
        <v>0</v>
      </c>
      <c r="G126" s="215">
        <v>0</v>
      </c>
    </row>
    <row r="127" spans="1:7" x14ac:dyDescent="0.2">
      <c r="A127" s="75"/>
      <c r="B127" s="214" t="s">
        <v>70</v>
      </c>
      <c r="C127" s="93">
        <v>1779.6147873657858</v>
      </c>
      <c r="D127" s="93">
        <v>570.7819279353879</v>
      </c>
      <c r="E127" s="215">
        <v>7.1726372854279588E-2</v>
      </c>
      <c r="F127" s="215">
        <v>0.16719164695696603</v>
      </c>
      <c r="G127" s="215">
        <v>0.99945568911006732</v>
      </c>
    </row>
    <row r="128" spans="1:7" x14ac:dyDescent="0.2">
      <c r="A128" s="75"/>
      <c r="B128" s="214" t="s">
        <v>71</v>
      </c>
      <c r="C128" s="93">
        <v>1545.20331090679</v>
      </c>
      <c r="D128" s="93">
        <v>129.453841450347</v>
      </c>
      <c r="E128" s="215">
        <v>0.13507507386841935</v>
      </c>
      <c r="F128" s="215">
        <v>0.21526286443721515</v>
      </c>
      <c r="G128" s="215">
        <v>0.99968387944023696</v>
      </c>
    </row>
    <row r="129" spans="1:7" x14ac:dyDescent="0.2">
      <c r="A129" s="75"/>
      <c r="B129" s="214" t="s">
        <v>72</v>
      </c>
      <c r="C129" s="93">
        <v>769.56911073675599</v>
      </c>
      <c r="D129" s="93">
        <v>15.676783214159</v>
      </c>
      <c r="E129" s="215">
        <v>0.21562003111069877</v>
      </c>
      <c r="F129" s="215">
        <v>0.23987518944175532</v>
      </c>
      <c r="G129" s="215">
        <v>0.99992691249162302</v>
      </c>
    </row>
    <row r="130" spans="1:7" x14ac:dyDescent="0.2">
      <c r="A130" s="75"/>
      <c r="B130" s="214" t="s">
        <v>73</v>
      </c>
      <c r="C130" s="93">
        <v>735.75436030588105</v>
      </c>
      <c r="D130" s="93">
        <v>6.7939215817350007</v>
      </c>
      <c r="E130" s="215">
        <v>0.30373677600304766</v>
      </c>
      <c r="F130" s="215">
        <v>0.24357811385424635</v>
      </c>
      <c r="G130" s="215">
        <v>0.99971262253943127</v>
      </c>
    </row>
    <row r="131" spans="1:7" x14ac:dyDescent="0.2">
      <c r="A131" s="75"/>
      <c r="B131" s="214" t="s">
        <v>74</v>
      </c>
      <c r="C131" s="93">
        <v>391.474390837822</v>
      </c>
      <c r="D131" s="93">
        <v>6.0417244081470001</v>
      </c>
      <c r="E131" s="215">
        <v>0.40746312595239259</v>
      </c>
      <c r="F131" s="215">
        <v>0.22997286062671818</v>
      </c>
      <c r="G131" s="215">
        <v>0.9999521064405883</v>
      </c>
    </row>
    <row r="132" spans="1:7" x14ac:dyDescent="0.2">
      <c r="A132" s="75"/>
      <c r="B132" s="214" t="s">
        <v>75</v>
      </c>
      <c r="C132" s="93">
        <v>92.181682247330997</v>
      </c>
      <c r="D132" s="93">
        <v>0.94871778436999998</v>
      </c>
      <c r="E132" s="215">
        <v>0.55642150252843658</v>
      </c>
      <c r="F132" s="215">
        <v>0.21243530474795222</v>
      </c>
      <c r="G132" s="215">
        <v>0.99911395015328663</v>
      </c>
    </row>
    <row r="133" spans="1:7" x14ac:dyDescent="0.2">
      <c r="A133" s="75"/>
      <c r="B133" s="214" t="s">
        <v>76</v>
      </c>
      <c r="C133" s="93">
        <v>75.280267518692014</v>
      </c>
      <c r="D133" s="93">
        <v>0.59024221365999996</v>
      </c>
      <c r="E133" s="215">
        <v>0.93994850320162648</v>
      </c>
      <c r="F133" s="215">
        <v>0.2324003487697385</v>
      </c>
      <c r="G133" s="215">
        <v>0.99920361312779893</v>
      </c>
    </row>
    <row r="134" spans="1:7" x14ac:dyDescent="0.2">
      <c r="A134" s="75"/>
      <c r="B134" s="214" t="s">
        <v>77</v>
      </c>
      <c r="C134" s="93">
        <v>151.60256365950002</v>
      </c>
      <c r="D134" s="93">
        <v>1.0309378617489999</v>
      </c>
      <c r="E134" s="215">
        <v>1.1690842248493711</v>
      </c>
      <c r="F134" s="215">
        <v>0.22223305210853145</v>
      </c>
      <c r="G134" s="215">
        <v>0.99951459091469341</v>
      </c>
    </row>
    <row r="135" spans="1:7" x14ac:dyDescent="0.2">
      <c r="A135" s="75"/>
      <c r="B135" s="214" t="s">
        <v>78</v>
      </c>
      <c r="C135" s="93">
        <v>7.7369912654000004</v>
      </c>
      <c r="D135" s="93">
        <v>0</v>
      </c>
      <c r="E135" s="215">
        <v>0.11700163493146308</v>
      </c>
      <c r="F135" s="215">
        <v>0.13130450894386447</v>
      </c>
      <c r="G135" s="215">
        <v>1</v>
      </c>
    </row>
    <row r="136" spans="1:7" x14ac:dyDescent="0.2">
      <c r="A136" s="75"/>
      <c r="B136" s="214" t="s">
        <v>79</v>
      </c>
      <c r="C136" s="93">
        <v>13.154860810000001</v>
      </c>
      <c r="D136" s="93">
        <v>7.0480050080000004E-3</v>
      </c>
      <c r="E136" s="215">
        <v>0.65876265073534157</v>
      </c>
      <c r="F136" s="215">
        <v>0.52774241661681598</v>
      </c>
      <c r="G136" s="215">
        <v>1</v>
      </c>
    </row>
    <row r="137" spans="1:7" x14ac:dyDescent="0.2">
      <c r="A137" s="216" t="s">
        <v>294</v>
      </c>
      <c r="B137" s="82"/>
      <c r="C137" s="220">
        <f>SUM(C126:C136)</f>
        <v>5561.5723256539595</v>
      </c>
      <c r="D137" s="220">
        <f>SUM(D126:D136)</f>
        <v>731.32514445456286</v>
      </c>
      <c r="E137" s="221">
        <v>0.21471339925249922</v>
      </c>
      <c r="F137" s="221"/>
      <c r="G137" s="222">
        <v>0.99964776130629862</v>
      </c>
    </row>
    <row r="138" spans="1:7" x14ac:dyDescent="0.2">
      <c r="A138" s="75" t="s">
        <v>295</v>
      </c>
      <c r="B138" s="397"/>
      <c r="C138" s="202"/>
      <c r="D138" s="202"/>
      <c r="E138" s="398"/>
      <c r="F138" s="398"/>
      <c r="G138" s="398"/>
    </row>
    <row r="139" spans="1:7" x14ac:dyDescent="0.2">
      <c r="A139" s="362"/>
      <c r="B139" s="214" t="s">
        <v>69</v>
      </c>
      <c r="C139" s="93">
        <v>0</v>
      </c>
      <c r="D139" s="93">
        <v>0</v>
      </c>
      <c r="E139" s="215">
        <v>0</v>
      </c>
      <c r="F139" s="215">
        <v>0</v>
      </c>
      <c r="G139" s="215">
        <v>0</v>
      </c>
    </row>
    <row r="140" spans="1:7" x14ac:dyDescent="0.2">
      <c r="A140" s="75"/>
      <c r="B140" s="214" t="s">
        <v>70</v>
      </c>
      <c r="C140" s="93">
        <v>37907.303700378492</v>
      </c>
      <c r="D140" s="93">
        <v>11046.698445915037</v>
      </c>
      <c r="E140" s="215">
        <v>7.071823575115864E-2</v>
      </c>
      <c r="F140" s="215">
        <v>0.16203691307002821</v>
      </c>
      <c r="G140" s="215">
        <v>0.99994037792803026</v>
      </c>
    </row>
    <row r="141" spans="1:7" x14ac:dyDescent="0.2">
      <c r="A141" s="75"/>
      <c r="B141" s="214" t="s">
        <v>71</v>
      </c>
      <c r="C141" s="93">
        <v>33392.920376401067</v>
      </c>
      <c r="D141" s="93">
        <v>1807.2190805655432</v>
      </c>
      <c r="E141" s="215">
        <v>0.13093019010371054</v>
      </c>
      <c r="F141" s="215">
        <v>0.19932418342382965</v>
      </c>
      <c r="G141" s="215">
        <v>0.99995874295681297</v>
      </c>
    </row>
    <row r="142" spans="1:7" x14ac:dyDescent="0.2">
      <c r="A142" s="75"/>
      <c r="B142" s="214" t="s">
        <v>72</v>
      </c>
      <c r="C142" s="93">
        <v>22701.684406333607</v>
      </c>
      <c r="D142" s="93">
        <v>267.19159227775503</v>
      </c>
      <c r="E142" s="215">
        <v>0.20759213077405991</v>
      </c>
      <c r="F142" s="215">
        <v>0.21900532194531785</v>
      </c>
      <c r="G142" s="215">
        <v>0.99998335186494869</v>
      </c>
    </row>
    <row r="143" spans="1:7" x14ac:dyDescent="0.2">
      <c r="A143" s="75"/>
      <c r="B143" s="214" t="s">
        <v>73</v>
      </c>
      <c r="C143" s="93">
        <v>20562.687941025746</v>
      </c>
      <c r="D143" s="93">
        <v>85.518704057882005</v>
      </c>
      <c r="E143" s="215">
        <v>0.29583703690256091</v>
      </c>
      <c r="F143" s="215">
        <v>0.23196598515454162</v>
      </c>
      <c r="G143" s="215">
        <v>0.99997136886261628</v>
      </c>
    </row>
    <row r="144" spans="1:7" x14ac:dyDescent="0.2">
      <c r="A144" s="75"/>
      <c r="B144" s="214" t="s">
        <v>74</v>
      </c>
      <c r="C144" s="93">
        <v>8289.7231052903117</v>
      </c>
      <c r="D144" s="93">
        <v>27.374211008190002</v>
      </c>
      <c r="E144" s="215">
        <v>0.41900836552407822</v>
      </c>
      <c r="F144" s="215">
        <v>0.23423819698674372</v>
      </c>
      <c r="G144" s="215">
        <v>0.99996439995765973</v>
      </c>
    </row>
    <row r="145" spans="1:7" x14ac:dyDescent="0.2">
      <c r="A145" s="75"/>
      <c r="B145" s="214" t="s">
        <v>75</v>
      </c>
      <c r="C145" s="93">
        <v>1968.9287908910298</v>
      </c>
      <c r="D145" s="93">
        <v>5.8576862653200008</v>
      </c>
      <c r="E145" s="215">
        <v>0.59040606305901044</v>
      </c>
      <c r="F145" s="215">
        <v>0.22312121367103793</v>
      </c>
      <c r="G145" s="215">
        <v>0.99992750390372542</v>
      </c>
    </row>
    <row r="146" spans="1:7" x14ac:dyDescent="0.2">
      <c r="A146" s="75"/>
      <c r="B146" s="214" t="s">
        <v>76</v>
      </c>
      <c r="C146" s="93">
        <v>1211.3643192763423</v>
      </c>
      <c r="D146" s="93">
        <v>11.084954367762</v>
      </c>
      <c r="E146" s="215">
        <v>0.86525240316133889</v>
      </c>
      <c r="F146" s="215">
        <v>0.21482571299042014</v>
      </c>
      <c r="G146" s="215">
        <v>0.99995831320601625</v>
      </c>
    </row>
    <row r="147" spans="1:7" x14ac:dyDescent="0.2">
      <c r="A147" s="75"/>
      <c r="B147" s="214" t="s">
        <v>77</v>
      </c>
      <c r="C147" s="93">
        <v>1625.5758071012638</v>
      </c>
      <c r="D147" s="93">
        <v>4.7454517134600005</v>
      </c>
      <c r="E147" s="215">
        <v>1.2681647216997329</v>
      </c>
      <c r="F147" s="215">
        <v>0.22345163670115029</v>
      </c>
      <c r="G147" s="215">
        <v>0.99989558636696962</v>
      </c>
    </row>
    <row r="148" spans="1:7" x14ac:dyDescent="0.2">
      <c r="A148" s="75"/>
      <c r="B148" s="214" t="s">
        <v>78</v>
      </c>
      <c r="C148" s="93">
        <v>186.15536439201352</v>
      </c>
      <c r="D148" s="93">
        <v>0.2394056772470001</v>
      </c>
      <c r="E148" s="215">
        <v>0.34544489441926796</v>
      </c>
      <c r="F148" s="215">
        <v>0.2437809582494965</v>
      </c>
      <c r="G148" s="215">
        <v>1</v>
      </c>
    </row>
    <row r="149" spans="1:7" x14ac:dyDescent="0.2">
      <c r="A149" s="75"/>
      <c r="B149" s="214" t="s">
        <v>79</v>
      </c>
      <c r="C149" s="93">
        <v>161.08930387152498</v>
      </c>
      <c r="D149" s="93">
        <v>4.6699173604359991</v>
      </c>
      <c r="E149" s="215">
        <v>1.4898649267444488</v>
      </c>
      <c r="F149" s="215">
        <v>0.26421828539620268</v>
      </c>
      <c r="G149" s="215">
        <v>0.99988051534485656</v>
      </c>
    </row>
    <row r="150" spans="1:7" x14ac:dyDescent="0.2">
      <c r="A150" s="216" t="s">
        <v>172</v>
      </c>
      <c r="B150" s="82"/>
      <c r="C150" s="220">
        <f>SUM(C139:C149)</f>
        <v>128007.4331149614</v>
      </c>
      <c r="D150" s="220">
        <f>SUM(D139:D149)</f>
        <v>13260.59944920863</v>
      </c>
      <c r="E150" s="221">
        <v>0.20232143134345756</v>
      </c>
      <c r="F150" s="221"/>
      <c r="G150" s="222">
        <v>0.9999587379367556</v>
      </c>
    </row>
    <row r="151" spans="1:7" x14ac:dyDescent="0.2">
      <c r="A151" s="75" t="s">
        <v>135</v>
      </c>
      <c r="B151" s="214" t="s">
        <v>69</v>
      </c>
      <c r="C151" s="93">
        <v>0</v>
      </c>
      <c r="D151" s="93">
        <v>0</v>
      </c>
      <c r="E151" s="215">
        <v>0</v>
      </c>
      <c r="F151" s="215">
        <v>0</v>
      </c>
      <c r="G151" s="215">
        <v>0</v>
      </c>
    </row>
    <row r="152" spans="1:7" x14ac:dyDescent="0.2">
      <c r="A152" s="75"/>
      <c r="B152" s="214" t="s">
        <v>70</v>
      </c>
      <c r="C152" s="93">
        <v>702.63676980736795</v>
      </c>
      <c r="D152" s="93">
        <v>363.68530286028397</v>
      </c>
      <c r="E152" s="215">
        <v>0.21442629293041005</v>
      </c>
      <c r="F152" s="215">
        <v>0.48354596937172284</v>
      </c>
      <c r="G152" s="215">
        <v>0.99826449291035202</v>
      </c>
    </row>
    <row r="153" spans="1:7" x14ac:dyDescent="0.2">
      <c r="A153" s="75"/>
      <c r="B153" s="214" t="s">
        <v>71</v>
      </c>
      <c r="C153" s="93">
        <v>1202.3192139043788</v>
      </c>
      <c r="D153" s="93">
        <v>285.54324535932199</v>
      </c>
      <c r="E153" s="215">
        <v>0.31259225886220487</v>
      </c>
      <c r="F153" s="215">
        <v>0.49260814649970841</v>
      </c>
      <c r="G153" s="215">
        <v>0.9984964004224719</v>
      </c>
    </row>
    <row r="154" spans="1:7" x14ac:dyDescent="0.2">
      <c r="A154" s="75"/>
      <c r="B154" s="214" t="s">
        <v>72</v>
      </c>
      <c r="C154" s="93">
        <v>952.77548797156498</v>
      </c>
      <c r="D154" s="93">
        <v>90.390450049395</v>
      </c>
      <c r="E154" s="215">
        <v>0.43039942018244931</v>
      </c>
      <c r="F154" s="215">
        <v>0.50373743081252986</v>
      </c>
      <c r="G154" s="215">
        <v>0.99901585666920456</v>
      </c>
    </row>
    <row r="155" spans="1:7" x14ac:dyDescent="0.2">
      <c r="A155" s="75"/>
      <c r="B155" s="214" t="s">
        <v>73</v>
      </c>
      <c r="C155" s="93">
        <v>1022.4087684410189</v>
      </c>
      <c r="D155" s="93">
        <v>55.124127132607001</v>
      </c>
      <c r="E155" s="215">
        <v>0.53195212277773019</v>
      </c>
      <c r="F155" s="215">
        <v>0.50320869131022394</v>
      </c>
      <c r="G155" s="215">
        <v>0.99915847814881198</v>
      </c>
    </row>
    <row r="156" spans="1:7" x14ac:dyDescent="0.2">
      <c r="A156" s="75"/>
      <c r="B156" s="214" t="s">
        <v>74</v>
      </c>
      <c r="C156" s="93">
        <v>433.631767039289</v>
      </c>
      <c r="D156" s="93">
        <v>20.218583217231</v>
      </c>
      <c r="E156" s="215">
        <v>0.65266551377896798</v>
      </c>
      <c r="F156" s="215">
        <v>0.50408971456278517</v>
      </c>
      <c r="G156" s="215">
        <v>0.99940048004710014</v>
      </c>
    </row>
    <row r="157" spans="1:7" x14ac:dyDescent="0.2">
      <c r="A157" s="75"/>
      <c r="B157" s="214" t="s">
        <v>75</v>
      </c>
      <c r="C157" s="93">
        <v>178.04938789251798</v>
      </c>
      <c r="D157" s="93">
        <v>3.902694020802</v>
      </c>
      <c r="E157" s="215">
        <v>0.74657172340653943</v>
      </c>
      <c r="F157" s="215">
        <v>0.49815128704924472</v>
      </c>
      <c r="G157" s="215">
        <v>0.9992826686009193</v>
      </c>
    </row>
    <row r="158" spans="1:7" x14ac:dyDescent="0.2">
      <c r="A158" s="75"/>
      <c r="B158" s="214" t="s">
        <v>76</v>
      </c>
      <c r="C158" s="93">
        <v>59.441548461103999</v>
      </c>
      <c r="D158" s="93">
        <v>1.5095639342</v>
      </c>
      <c r="E158" s="215">
        <v>0.82505694372796456</v>
      </c>
      <c r="F158" s="215">
        <v>0.50345980972164717</v>
      </c>
      <c r="G158" s="215">
        <v>0.99717396279629178</v>
      </c>
    </row>
    <row r="159" spans="1:7" x14ac:dyDescent="0.2">
      <c r="A159" s="75"/>
      <c r="B159" s="214" t="s">
        <v>77</v>
      </c>
      <c r="C159" s="93">
        <v>72.219556932000003</v>
      </c>
      <c r="D159" s="93">
        <v>2.4415072200000001</v>
      </c>
      <c r="E159" s="215">
        <v>1.1122311855690972</v>
      </c>
      <c r="F159" s="215">
        <v>0.49390285955840613</v>
      </c>
      <c r="G159" s="215">
        <v>0.99385866061806882</v>
      </c>
    </row>
    <row r="160" spans="1:7" x14ac:dyDescent="0.2">
      <c r="A160" s="75"/>
      <c r="B160" s="214" t="s">
        <v>78</v>
      </c>
      <c r="C160" s="93">
        <v>7.8519054399999986</v>
      </c>
      <c r="D160" s="93">
        <v>0.13826966999999998</v>
      </c>
      <c r="E160" s="215">
        <v>1.848109180744286E-3</v>
      </c>
      <c r="F160" s="215">
        <v>0.50595117011080981</v>
      </c>
      <c r="G160" s="215">
        <v>0.99755445821531108</v>
      </c>
    </row>
    <row r="161" spans="1:7" x14ac:dyDescent="0.2">
      <c r="A161" s="75"/>
      <c r="B161" s="214" t="s">
        <v>79</v>
      </c>
      <c r="C161" s="93">
        <v>28.282117769999999</v>
      </c>
      <c r="D161" s="93">
        <v>0</v>
      </c>
      <c r="E161" s="215">
        <v>6.62045835054169E-2</v>
      </c>
      <c r="F161" s="215">
        <v>0.88220373696971599</v>
      </c>
      <c r="G161" s="215">
        <v>1</v>
      </c>
    </row>
    <row r="162" spans="1:7" x14ac:dyDescent="0.2">
      <c r="A162" s="216" t="s">
        <v>173</v>
      </c>
      <c r="B162" s="82"/>
      <c r="C162" s="220">
        <f>SUM(C151:C161)</f>
        <v>4659.6165236592415</v>
      </c>
      <c r="D162" s="220">
        <f>SUM(D151:D161)</f>
        <v>822.95374346384074</v>
      </c>
      <c r="E162" s="221">
        <v>0.4351524551254895</v>
      </c>
      <c r="F162" s="221"/>
      <c r="G162" s="222">
        <v>0.99874412675784507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Footer>&amp;R&amp;A</oddFooter>
  </headerFooter>
  <rowBreaks count="3" manualBreakCount="3">
    <brk id="43" max="6" man="1"/>
    <brk id="84" max="6" man="1"/>
    <brk id="124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7"/>
  <sheetViews>
    <sheetView showGridLines="0" zoomScaleNormal="100" workbookViewId="0"/>
  </sheetViews>
  <sheetFormatPr baseColWidth="10" defaultColWidth="11" defaultRowHeight="12" x14ac:dyDescent="0.2"/>
  <cols>
    <col min="1" max="1" width="12.5" style="227" customWidth="1"/>
    <col min="2" max="3" width="12.75" style="227" customWidth="1"/>
    <col min="4" max="4" width="3.75" style="227" customWidth="1"/>
    <col min="5" max="5" width="12.5" style="227" customWidth="1"/>
    <col min="6" max="7" width="12.75" style="227" customWidth="1"/>
    <col min="8" max="8" width="3.75" style="227" customWidth="1"/>
    <col min="9" max="9" width="12.5" style="227" customWidth="1"/>
    <col min="10" max="11" width="12.75" style="227" customWidth="1"/>
    <col min="12" max="16384" width="11" style="227"/>
  </cols>
  <sheetData>
    <row r="1" spans="1:11" x14ac:dyDescent="0.2">
      <c r="A1" s="226" t="s">
        <v>663</v>
      </c>
      <c r="C1" s="228"/>
      <c r="F1" s="21"/>
    </row>
    <row r="2" spans="1:11" x14ac:dyDescent="0.2">
      <c r="A2" s="226"/>
      <c r="C2" s="228"/>
      <c r="F2" s="362"/>
    </row>
    <row r="3" spans="1:11" ht="12.75" x14ac:dyDescent="0.2">
      <c r="A3" s="577" t="s">
        <v>658</v>
      </c>
      <c r="B3"/>
      <c r="C3"/>
      <c r="D3"/>
      <c r="E3" s="577" t="s">
        <v>135</v>
      </c>
      <c r="F3"/>
      <c r="G3"/>
      <c r="I3" s="577" t="s">
        <v>23</v>
      </c>
      <c r="J3"/>
      <c r="K3"/>
    </row>
    <row r="4" spans="1:11" ht="12.75" x14ac:dyDescent="0.2">
      <c r="A4"/>
      <c r="B4"/>
      <c r="C4"/>
      <c r="D4"/>
      <c r="E4"/>
      <c r="F4"/>
      <c r="G4"/>
      <c r="I4"/>
      <c r="J4"/>
      <c r="K4"/>
    </row>
    <row r="5" spans="1:11" ht="24.75" thickBot="1" x14ac:dyDescent="0.25">
      <c r="A5" s="564" t="s">
        <v>769</v>
      </c>
      <c r="B5" s="578" t="s">
        <v>771</v>
      </c>
      <c r="C5" s="578" t="s">
        <v>772</v>
      </c>
      <c r="D5"/>
      <c r="E5" s="564" t="s">
        <v>769</v>
      </c>
      <c r="F5" s="578" t="s">
        <v>771</v>
      </c>
      <c r="G5" s="578" t="s">
        <v>772</v>
      </c>
      <c r="I5" s="564" t="s">
        <v>769</v>
      </c>
      <c r="J5" s="578" t="s">
        <v>771</v>
      </c>
      <c r="K5" s="578" t="s">
        <v>772</v>
      </c>
    </row>
    <row r="6" spans="1:11" ht="14.1" customHeight="1" thickTop="1" x14ac:dyDescent="0.2">
      <c r="A6" s="673">
        <v>2007</v>
      </c>
      <c r="B6" s="580">
        <v>7.9000000000000025E-3</v>
      </c>
      <c r="C6" s="580">
        <v>4.1333333333333335E-3</v>
      </c>
      <c r="D6" s="581"/>
      <c r="E6" s="673">
        <v>2007</v>
      </c>
      <c r="F6" s="580">
        <v>3.9225000000000003E-2</v>
      </c>
      <c r="G6" s="580">
        <v>2.2608333333333331E-2</v>
      </c>
      <c r="I6" s="673">
        <v>2007</v>
      </c>
      <c r="J6" s="580">
        <v>2.9275000000000006E-2</v>
      </c>
      <c r="K6" s="580">
        <v>1.675833333333333E-2</v>
      </c>
    </row>
    <row r="7" spans="1:11" ht="14.1" customHeight="1" x14ac:dyDescent="0.2">
      <c r="A7" s="673">
        <v>2008</v>
      </c>
      <c r="B7" s="580">
        <v>7.9250000000000015E-3</v>
      </c>
      <c r="C7" s="580">
        <v>4.0499999999999998E-3</v>
      </c>
      <c r="D7" s="581"/>
      <c r="E7" s="673">
        <v>2008</v>
      </c>
      <c r="F7" s="580">
        <v>3.6441666666666664E-2</v>
      </c>
      <c r="G7" s="580">
        <v>1.9958333333333331E-2</v>
      </c>
      <c r="I7" s="673">
        <v>2008</v>
      </c>
      <c r="J7" s="580">
        <v>2.9149999999999995E-2</v>
      </c>
      <c r="K7" s="580">
        <v>1.7824999999999997E-2</v>
      </c>
    </row>
    <row r="8" spans="1:11" ht="14.1" customHeight="1" x14ac:dyDescent="0.2">
      <c r="A8" s="673">
        <v>2009</v>
      </c>
      <c r="B8" s="580">
        <v>8.7666666666666657E-3</v>
      </c>
      <c r="C8" s="580">
        <v>4.3E-3</v>
      </c>
      <c r="D8" s="581"/>
      <c r="E8" s="673">
        <v>2009</v>
      </c>
      <c r="F8" s="580">
        <v>3.9050000000000001E-2</v>
      </c>
      <c r="G8" s="580">
        <v>2.5816666666666665E-2</v>
      </c>
      <c r="I8" s="673">
        <v>2009</v>
      </c>
      <c r="J8" s="580">
        <v>2.985833333333333E-2</v>
      </c>
      <c r="K8" s="580">
        <v>2.8208333333333332E-2</v>
      </c>
    </row>
    <row r="9" spans="1:11" ht="14.1" customHeight="1" x14ac:dyDescent="0.2">
      <c r="A9" s="673">
        <v>2010</v>
      </c>
      <c r="B9" s="580">
        <v>1.0741666666666665E-2</v>
      </c>
      <c r="C9" s="580">
        <v>4.1583333333333333E-3</v>
      </c>
      <c r="D9" s="581"/>
      <c r="E9" s="673">
        <v>2010</v>
      </c>
      <c r="F9" s="580">
        <v>4.2916666666666665E-2</v>
      </c>
      <c r="G9" s="580">
        <v>2.6633333333333332E-2</v>
      </c>
      <c r="I9" s="673">
        <v>2010</v>
      </c>
      <c r="J9" s="580">
        <v>3.3791666666666664E-2</v>
      </c>
      <c r="K9" s="580">
        <v>2.7066666666666659E-2</v>
      </c>
    </row>
    <row r="10" spans="1:11" ht="14.1" customHeight="1" x14ac:dyDescent="0.2">
      <c r="A10" s="673">
        <v>2011</v>
      </c>
      <c r="B10" s="580">
        <v>1.0491666666666668E-2</v>
      </c>
      <c r="C10" s="580">
        <v>3.2166666666666667E-3</v>
      </c>
      <c r="D10" s="581"/>
      <c r="E10" s="673">
        <v>2011</v>
      </c>
      <c r="F10" s="580">
        <v>3.7841666666666669E-2</v>
      </c>
      <c r="G10" s="580">
        <v>1.9066666666666666E-2</v>
      </c>
      <c r="I10" s="673">
        <v>2011</v>
      </c>
      <c r="J10" s="580">
        <v>3.6466666666666668E-2</v>
      </c>
      <c r="K10" s="580">
        <v>2.4041666666666666E-2</v>
      </c>
    </row>
    <row r="11" spans="1:11" ht="14.1" customHeight="1" x14ac:dyDescent="0.2">
      <c r="A11" s="673">
        <v>2012</v>
      </c>
      <c r="B11" s="580">
        <v>9.6333333333333323E-3</v>
      </c>
      <c r="C11" s="580">
        <v>2.6083333333333327E-3</v>
      </c>
      <c r="D11" s="581"/>
      <c r="E11" s="673">
        <v>2012</v>
      </c>
      <c r="F11" s="580">
        <v>3.3816666666666668E-2</v>
      </c>
      <c r="G11" s="580">
        <v>1.4341666666666667E-2</v>
      </c>
      <c r="I11" s="673">
        <v>2012</v>
      </c>
      <c r="J11" s="580">
        <v>3.4374999999999996E-2</v>
      </c>
      <c r="K11" s="580">
        <v>1.9041666666666669E-2</v>
      </c>
    </row>
    <row r="12" spans="1:11" ht="14.1" customHeight="1" x14ac:dyDescent="0.2">
      <c r="A12" s="673">
        <v>2013</v>
      </c>
      <c r="B12" s="580">
        <v>9.4083333333333345E-3</v>
      </c>
      <c r="C12" s="580">
        <v>2.3833333333333332E-3</v>
      </c>
      <c r="D12" s="581"/>
      <c r="E12" s="673">
        <v>2013</v>
      </c>
      <c r="F12" s="580">
        <v>3.1174999999999998E-2</v>
      </c>
      <c r="G12" s="580">
        <v>1.5675000000000005E-2</v>
      </c>
      <c r="I12" s="673">
        <v>2013</v>
      </c>
      <c r="J12" s="580">
        <v>3.3183333333333336E-2</v>
      </c>
      <c r="K12" s="580">
        <v>2.0874999999999994E-2</v>
      </c>
    </row>
    <row r="13" spans="1:11" ht="14.1" customHeight="1" x14ac:dyDescent="0.2">
      <c r="A13" s="673">
        <v>2014</v>
      </c>
      <c r="B13" s="580">
        <v>9.2750000000000003E-3</v>
      </c>
      <c r="C13" s="580">
        <v>2.3583333333333334E-3</v>
      </c>
      <c r="D13" s="581"/>
      <c r="E13" s="673">
        <v>2014</v>
      </c>
      <c r="F13" s="580">
        <v>3.0108333333333334E-2</v>
      </c>
      <c r="G13" s="580">
        <v>1.5316666666666666E-2</v>
      </c>
      <c r="I13" s="673">
        <v>2014</v>
      </c>
      <c r="J13" s="580">
        <v>3.2199999999999999E-2</v>
      </c>
      <c r="K13" s="580">
        <v>2.1158333333333335E-2</v>
      </c>
    </row>
    <row r="14" spans="1:11" ht="14.1" customHeight="1" x14ac:dyDescent="0.2">
      <c r="A14" s="673">
        <v>2015</v>
      </c>
      <c r="B14" s="580">
        <v>9.166666666666665E-3</v>
      </c>
      <c r="C14" s="580">
        <v>2.4083333333333331E-3</v>
      </c>
      <c r="D14" s="581"/>
      <c r="E14" s="673">
        <v>2015</v>
      </c>
      <c r="F14" s="580">
        <v>2.7591666666666667E-2</v>
      </c>
      <c r="G14" s="580">
        <v>1.3183333333333332E-2</v>
      </c>
      <c r="I14" s="673">
        <v>2015</v>
      </c>
      <c r="J14" s="580">
        <v>3.1041666666666665E-2</v>
      </c>
      <c r="K14" s="580">
        <v>1.9775000000000001E-2</v>
      </c>
    </row>
    <row r="15" spans="1:11" ht="14.1" customHeight="1" x14ac:dyDescent="0.2">
      <c r="A15" s="673">
        <v>2016</v>
      </c>
      <c r="B15" s="580">
        <v>8.3000000000000001E-3</v>
      </c>
      <c r="C15" s="580">
        <v>1.7500000000000005E-3</v>
      </c>
      <c r="D15" s="581"/>
      <c r="E15" s="673">
        <v>2016</v>
      </c>
      <c r="F15" s="580">
        <v>2.3908333333333334E-2</v>
      </c>
      <c r="G15" s="580">
        <v>8.4250000000000019E-3</v>
      </c>
      <c r="I15" s="673">
        <v>2016</v>
      </c>
      <c r="J15" s="580">
        <v>2.9966666666666666E-2</v>
      </c>
      <c r="K15" s="580">
        <v>1.7258333333333334E-2</v>
      </c>
    </row>
    <row r="16" spans="1:11" ht="14.1" customHeight="1" x14ac:dyDescent="0.2">
      <c r="A16" s="673">
        <v>2017</v>
      </c>
      <c r="B16" s="580">
        <v>8.0000000000000002E-3</v>
      </c>
      <c r="C16" s="580">
        <v>2.0999999999999999E-3</v>
      </c>
      <c r="D16" s="581"/>
      <c r="E16" s="673">
        <v>2017</v>
      </c>
      <c r="F16" s="580">
        <v>2.1841666666666665E-2</v>
      </c>
      <c r="G16" s="580">
        <v>1.0141666666666665E-2</v>
      </c>
      <c r="I16" s="673">
        <v>2017</v>
      </c>
      <c r="J16" s="580">
        <v>2.900833333333333E-2</v>
      </c>
      <c r="K16" s="580">
        <v>1.8008333333333331E-2</v>
      </c>
    </row>
    <row r="17" spans="1:11" ht="14.1" customHeight="1" x14ac:dyDescent="0.2">
      <c r="A17" s="582" t="s">
        <v>770</v>
      </c>
      <c r="B17" s="583">
        <v>9.0553030303030281E-3</v>
      </c>
      <c r="C17" s="583">
        <v>3.0424242424242453E-3</v>
      </c>
      <c r="D17" s="584"/>
      <c r="E17" s="582" t="s">
        <v>770</v>
      </c>
      <c r="F17" s="583">
        <v>3.3083333333333347E-2</v>
      </c>
      <c r="G17" s="583">
        <v>1.7378787878787872E-2</v>
      </c>
      <c r="I17" s="582" t="s">
        <v>770</v>
      </c>
      <c r="J17" s="583">
        <v>3.1665151515151514E-2</v>
      </c>
      <c r="K17" s="583">
        <v>2.0910606060606067E-2</v>
      </c>
    </row>
    <row r="18" spans="1:11" x14ac:dyDescent="0.2">
      <c r="I18" s="229"/>
      <c r="J18" s="229"/>
      <c r="K18" s="231"/>
    </row>
    <row r="19" spans="1:11" ht="12.75" x14ac:dyDescent="0.2">
      <c r="A19"/>
      <c r="I19" s="476"/>
      <c r="J19"/>
      <c r="K19"/>
    </row>
    <row r="21" spans="1:11" x14ac:dyDescent="0.2">
      <c r="A21" s="226" t="s">
        <v>775</v>
      </c>
    </row>
    <row r="23" spans="1:11" ht="12.75" x14ac:dyDescent="0.2">
      <c r="A23" s="577" t="s">
        <v>658</v>
      </c>
      <c r="B23"/>
      <c r="C23"/>
      <c r="D23"/>
      <c r="E23" s="577" t="s">
        <v>135</v>
      </c>
      <c r="F23"/>
      <c r="G23"/>
      <c r="I23" s="577" t="s">
        <v>23</v>
      </c>
      <c r="J23"/>
      <c r="K23"/>
    </row>
    <row r="24" spans="1:11" ht="12.75" x14ac:dyDescent="0.2">
      <c r="A24"/>
      <c r="B24"/>
      <c r="C24"/>
      <c r="D24"/>
      <c r="E24"/>
      <c r="F24"/>
      <c r="G24"/>
      <c r="I24"/>
      <c r="J24"/>
      <c r="K24"/>
    </row>
    <row r="25" spans="1:11" ht="24.75" thickBot="1" x14ac:dyDescent="0.25">
      <c r="A25" s="564" t="s">
        <v>769</v>
      </c>
      <c r="B25" s="578" t="s">
        <v>771</v>
      </c>
      <c r="C25" s="578" t="s">
        <v>772</v>
      </c>
      <c r="D25"/>
      <c r="E25" s="564" t="s">
        <v>769</v>
      </c>
      <c r="F25" s="578" t="s">
        <v>771</v>
      </c>
      <c r="G25" s="578" t="s">
        <v>772</v>
      </c>
      <c r="I25" s="564" t="s">
        <v>769</v>
      </c>
      <c r="J25" s="578" t="s">
        <v>771</v>
      </c>
      <c r="K25" s="578" t="s">
        <v>772</v>
      </c>
    </row>
    <row r="26" spans="1:11" ht="14.1" customHeight="1" thickTop="1" x14ac:dyDescent="0.2">
      <c r="A26" s="673">
        <v>2007</v>
      </c>
      <c r="B26" s="580">
        <v>9.4333333333333335E-3</v>
      </c>
      <c r="C26" s="580">
        <v>4.9249999999999997E-3</v>
      </c>
      <c r="D26" s="581"/>
      <c r="E26" s="673">
        <v>2007</v>
      </c>
      <c r="F26" s="580">
        <v>3.4416666666666665E-2</v>
      </c>
      <c r="G26" s="580">
        <v>1.6366666666666668E-2</v>
      </c>
      <c r="I26" s="673">
        <v>2007</v>
      </c>
      <c r="J26" s="580">
        <v>2.2991666666666664E-2</v>
      </c>
      <c r="K26" s="580">
        <v>1.7841666666666669E-2</v>
      </c>
    </row>
    <row r="27" spans="1:11" ht="14.1" customHeight="1" x14ac:dyDescent="0.2">
      <c r="A27" s="673">
        <v>2008</v>
      </c>
      <c r="B27" s="580">
        <v>9.3833333333333338E-3</v>
      </c>
      <c r="C27" s="580">
        <v>5.3750000000000004E-3</v>
      </c>
      <c r="D27" s="581"/>
      <c r="E27" s="673">
        <v>2008</v>
      </c>
      <c r="F27" s="580">
        <v>3.1049999999999994E-2</v>
      </c>
      <c r="G27" s="580">
        <v>9.5000000000000015E-3</v>
      </c>
      <c r="I27" s="673">
        <v>2008</v>
      </c>
      <c r="J27" s="580">
        <v>2.6008333333333338E-2</v>
      </c>
      <c r="K27" s="580">
        <v>2.7275000000000004E-2</v>
      </c>
    </row>
    <row r="28" spans="1:11" ht="14.1" customHeight="1" x14ac:dyDescent="0.2">
      <c r="A28" s="673">
        <v>2009</v>
      </c>
      <c r="B28" s="580">
        <v>1.0791666666666666E-2</v>
      </c>
      <c r="C28" s="580">
        <v>6.1166666666666661E-3</v>
      </c>
      <c r="D28" s="581"/>
      <c r="E28" s="673">
        <v>2009</v>
      </c>
      <c r="F28" s="580">
        <v>3.5716666666666667E-2</v>
      </c>
      <c r="G28" s="580">
        <v>3.9016666666666665E-2</v>
      </c>
      <c r="I28" s="673">
        <v>2009</v>
      </c>
      <c r="J28" s="580">
        <v>2.6624999999999999E-2</v>
      </c>
      <c r="K28" s="580">
        <v>3.4333333333333334E-2</v>
      </c>
    </row>
    <row r="29" spans="1:11" ht="14.1" customHeight="1" x14ac:dyDescent="0.2">
      <c r="A29" s="673">
        <v>2010</v>
      </c>
      <c r="B29" s="580">
        <v>1.3066666666666666E-2</v>
      </c>
      <c r="C29" s="580">
        <v>6.0666666666666655E-3</v>
      </c>
      <c r="D29" s="581"/>
      <c r="E29" s="673">
        <v>2010</v>
      </c>
      <c r="F29" s="580">
        <v>4.1033333333333331E-2</v>
      </c>
      <c r="G29" s="580">
        <v>1.2724999999999995E-2</v>
      </c>
      <c r="I29" s="673">
        <v>2010</v>
      </c>
      <c r="J29" s="580">
        <v>2.9141666666666666E-2</v>
      </c>
      <c r="K29" s="580">
        <v>1.3975000000000001E-2</v>
      </c>
    </row>
    <row r="30" spans="1:11" ht="14.1" customHeight="1" x14ac:dyDescent="0.2">
      <c r="A30" s="673">
        <v>2011</v>
      </c>
      <c r="B30" s="580">
        <v>1.2716666666666668E-2</v>
      </c>
      <c r="C30" s="580">
        <v>4.783333333333333E-3</v>
      </c>
      <c r="D30" s="581"/>
      <c r="E30" s="673">
        <v>2011</v>
      </c>
      <c r="F30" s="580">
        <v>4.0875000000000002E-2</v>
      </c>
      <c r="G30" s="580">
        <v>1.1108333333333331E-2</v>
      </c>
      <c r="I30" s="673">
        <v>2011</v>
      </c>
      <c r="J30" s="580">
        <v>2.9383333333333334E-2</v>
      </c>
      <c r="K30" s="580">
        <v>1.2541666666666665E-2</v>
      </c>
    </row>
    <row r="31" spans="1:11" ht="14.1" customHeight="1" x14ac:dyDescent="0.2">
      <c r="A31" s="673">
        <v>2012</v>
      </c>
      <c r="B31" s="580">
        <v>1.1274999999999999E-2</v>
      </c>
      <c r="C31" s="580">
        <v>3.8083333333333333E-3</v>
      </c>
      <c r="D31" s="581"/>
      <c r="E31" s="673">
        <v>2012</v>
      </c>
      <c r="F31" s="580">
        <v>3.7175000000000007E-2</v>
      </c>
      <c r="G31" s="580">
        <v>9.6333333333333323E-3</v>
      </c>
      <c r="I31" s="673">
        <v>2012</v>
      </c>
      <c r="J31" s="580">
        <v>2.6458333333333337E-2</v>
      </c>
      <c r="K31" s="580">
        <v>1.7124999999999998E-2</v>
      </c>
    </row>
    <row r="32" spans="1:11" ht="14.1" customHeight="1" x14ac:dyDescent="0.2">
      <c r="A32" s="673">
        <v>2013</v>
      </c>
      <c r="B32" s="580">
        <v>1.0791666666666666E-2</v>
      </c>
      <c r="C32" s="580">
        <v>2.8333333333333331E-3</v>
      </c>
      <c r="D32" s="581"/>
      <c r="E32" s="673">
        <v>2013</v>
      </c>
      <c r="F32" s="580">
        <v>3.4141666666666674E-2</v>
      </c>
      <c r="G32" s="580">
        <v>7.9583333333333329E-3</v>
      </c>
      <c r="I32" s="673">
        <v>2013</v>
      </c>
      <c r="J32" s="580">
        <v>2.6275000000000003E-2</v>
      </c>
      <c r="K32" s="580">
        <v>1.2783333333333334E-2</v>
      </c>
    </row>
    <row r="33" spans="1:11" ht="14.1" customHeight="1" x14ac:dyDescent="0.2">
      <c r="A33" s="673">
        <v>2014</v>
      </c>
      <c r="B33" s="580">
        <v>1.0758333333333333E-2</v>
      </c>
      <c r="C33" s="580">
        <v>3.7500000000000012E-3</v>
      </c>
      <c r="D33" s="581"/>
      <c r="E33" s="673">
        <v>2014</v>
      </c>
      <c r="F33" s="580">
        <v>3.3774999999999993E-2</v>
      </c>
      <c r="G33" s="580">
        <v>1.2191666666666668E-2</v>
      </c>
      <c r="I33" s="673">
        <v>2014</v>
      </c>
      <c r="J33" s="580">
        <v>2.3833333333333331E-2</v>
      </c>
      <c r="K33" s="580">
        <v>1.7441666666666664E-2</v>
      </c>
    </row>
    <row r="34" spans="1:11" ht="14.1" customHeight="1" x14ac:dyDescent="0.2">
      <c r="A34" s="673">
        <v>2015</v>
      </c>
      <c r="B34" s="580">
        <v>1.0666666666666666E-2</v>
      </c>
      <c r="C34" s="580">
        <v>2.725E-3</v>
      </c>
      <c r="D34" s="581"/>
      <c r="E34" s="673">
        <v>2015</v>
      </c>
      <c r="F34" s="580">
        <v>2.9149999999999995E-2</v>
      </c>
      <c r="G34" s="580">
        <v>1.0116666666666668E-2</v>
      </c>
      <c r="I34" s="673">
        <v>2015</v>
      </c>
      <c r="J34" s="580">
        <v>2.2000000000000002E-2</v>
      </c>
      <c r="K34" s="580">
        <v>8.2083333333333331E-3</v>
      </c>
    </row>
    <row r="35" spans="1:11" ht="14.1" customHeight="1" x14ac:dyDescent="0.2">
      <c r="A35" s="673">
        <v>2016</v>
      </c>
      <c r="B35" s="580">
        <v>9.4083333333333328E-3</v>
      </c>
      <c r="C35" s="580">
        <v>2.4166666666666672E-3</v>
      </c>
      <c r="D35" s="581"/>
      <c r="E35" s="673">
        <v>2016</v>
      </c>
      <c r="F35" s="580">
        <v>2.8891666666666663E-2</v>
      </c>
      <c r="G35" s="580">
        <v>4.6749999999999995E-3</v>
      </c>
      <c r="I35" s="673">
        <v>2016</v>
      </c>
      <c r="J35" s="580">
        <v>2.0858333333333336E-2</v>
      </c>
      <c r="K35" s="580">
        <v>1.6375000000000001E-2</v>
      </c>
    </row>
    <row r="36" spans="1:11" ht="14.1" customHeight="1" x14ac:dyDescent="0.2">
      <c r="A36" s="673">
        <v>2017</v>
      </c>
      <c r="B36" s="580">
        <v>8.9333333333333331E-3</v>
      </c>
      <c r="C36" s="580">
        <v>2.2000000000000001E-3</v>
      </c>
      <c r="D36" s="581"/>
      <c r="E36" s="673">
        <v>2017</v>
      </c>
      <c r="F36" s="580">
        <v>2.6566666666666669E-2</v>
      </c>
      <c r="G36" s="580">
        <v>1.0391666666666665E-2</v>
      </c>
      <c r="I36" s="673">
        <v>2017</v>
      </c>
      <c r="J36" s="580">
        <v>2.1150000000000002E-2</v>
      </c>
      <c r="K36" s="580">
        <v>1.4566666666666665E-2</v>
      </c>
    </row>
    <row r="37" spans="1:11" ht="14.1" customHeight="1" x14ac:dyDescent="0.2">
      <c r="A37" s="582" t="s">
        <v>770</v>
      </c>
      <c r="B37" s="583">
        <v>1.0656818181818177E-2</v>
      </c>
      <c r="C37" s="583">
        <v>4.0909090909090886E-3</v>
      </c>
      <c r="D37" s="584"/>
      <c r="E37" s="582" t="s">
        <v>770</v>
      </c>
      <c r="F37" s="583">
        <v>3.3890151515151512E-2</v>
      </c>
      <c r="G37" s="583">
        <v>1.3062121212121211E-2</v>
      </c>
      <c r="I37" s="582" t="s">
        <v>770</v>
      </c>
      <c r="J37" s="583">
        <v>2.4975000000000004E-2</v>
      </c>
      <c r="K37" s="583">
        <v>1.7496969696969698E-2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36" max="16383" man="1"/>
  </rowBreaks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4"/>
  <sheetViews>
    <sheetView showGridLines="0" zoomScaleNormal="100" workbookViewId="0"/>
  </sheetViews>
  <sheetFormatPr baseColWidth="10" defaultColWidth="11" defaultRowHeight="12" x14ac:dyDescent="0.2"/>
  <cols>
    <col min="1" max="1" width="31.75" style="227" customWidth="1"/>
    <col min="2" max="5" width="14.875" style="227" customWidth="1"/>
    <col min="6" max="16384" width="11" style="227"/>
  </cols>
  <sheetData>
    <row r="1" spans="1:5" x14ac:dyDescent="0.2">
      <c r="A1" s="226" t="s">
        <v>661</v>
      </c>
      <c r="B1" s="228"/>
      <c r="C1" s="228"/>
    </row>
    <row r="3" spans="1:5" ht="12.75" customHeight="1" x14ac:dyDescent="0.2">
      <c r="A3" s="230"/>
      <c r="B3" s="486"/>
      <c r="C3" s="231"/>
      <c r="D3" s="231"/>
    </row>
    <row r="4" spans="1:5" ht="12" customHeight="1" x14ac:dyDescent="0.2">
      <c r="A4" s="487"/>
      <c r="B4" s="488" t="s">
        <v>656</v>
      </c>
      <c r="C4" s="488" t="s">
        <v>657</v>
      </c>
      <c r="D4" s="488" t="s">
        <v>656</v>
      </c>
      <c r="E4" s="488" t="s">
        <v>657</v>
      </c>
    </row>
    <row r="5" spans="1:5" ht="12.75" thickBot="1" x14ac:dyDescent="0.25">
      <c r="A5" s="489" t="s">
        <v>658</v>
      </c>
      <c r="B5" s="489">
        <v>2017</v>
      </c>
      <c r="C5" s="490">
        <v>2017</v>
      </c>
      <c r="D5" s="490" t="s">
        <v>902</v>
      </c>
      <c r="E5" s="490" t="s">
        <v>902</v>
      </c>
    </row>
    <row r="6" spans="1:5" ht="14.1" customHeight="1" thickTop="1" x14ac:dyDescent="0.2">
      <c r="A6" s="491" t="s">
        <v>69</v>
      </c>
      <c r="B6" s="525">
        <v>0</v>
      </c>
      <c r="C6" s="526">
        <v>0</v>
      </c>
      <c r="D6" s="525">
        <v>0</v>
      </c>
      <c r="E6" s="526">
        <v>0</v>
      </c>
    </row>
    <row r="7" spans="1:5" ht="14.1" customHeight="1" x14ac:dyDescent="0.2">
      <c r="A7" s="491" t="s">
        <v>70</v>
      </c>
      <c r="B7" s="585">
        <v>2.0083333333333338E-3</v>
      </c>
      <c r="C7" s="585">
        <v>4.1666666666666665E-5</v>
      </c>
      <c r="D7" s="585">
        <v>2.0742424242424216E-3</v>
      </c>
      <c r="E7" s="585">
        <v>1.9242424242424204E-4</v>
      </c>
    </row>
    <row r="8" spans="1:5" ht="14.1" customHeight="1" x14ac:dyDescent="0.2">
      <c r="A8" s="492" t="s">
        <v>71</v>
      </c>
      <c r="B8" s="585">
        <v>3.5999999999999995E-3</v>
      </c>
      <c r="C8" s="585">
        <v>1E-4</v>
      </c>
      <c r="D8" s="585">
        <v>3.5999999999999951E-3</v>
      </c>
      <c r="E8" s="585">
        <v>6.5833333333333325E-4</v>
      </c>
    </row>
    <row r="9" spans="1:5" ht="14.1" customHeight="1" x14ac:dyDescent="0.2">
      <c r="A9" s="492" t="s">
        <v>72</v>
      </c>
      <c r="B9" s="585">
        <v>6.1000000000000004E-3</v>
      </c>
      <c r="C9" s="585">
        <v>1.75E-4</v>
      </c>
      <c r="D9" s="585">
        <v>6.1272727272727191E-3</v>
      </c>
      <c r="E9" s="585">
        <v>1.0916666666666672E-3</v>
      </c>
    </row>
    <row r="10" spans="1:5" ht="14.1" customHeight="1" x14ac:dyDescent="0.2">
      <c r="A10" s="491" t="s">
        <v>73</v>
      </c>
      <c r="B10" s="585">
        <v>9.4000000000000021E-3</v>
      </c>
      <c r="C10" s="585">
        <v>1.1083333333333333E-3</v>
      </c>
      <c r="D10" s="585">
        <v>9.5053030303030427E-3</v>
      </c>
      <c r="E10" s="585">
        <v>2.4681818181818186E-3</v>
      </c>
    </row>
    <row r="11" spans="1:5" ht="14.1" customHeight="1" x14ac:dyDescent="0.2">
      <c r="A11" s="492" t="s">
        <v>74</v>
      </c>
      <c r="B11" s="585">
        <v>1.6424999999999999E-2</v>
      </c>
      <c r="C11" s="585">
        <v>3.2499999999999999E-3</v>
      </c>
      <c r="D11" s="585">
        <v>1.6730303030303015E-2</v>
      </c>
      <c r="E11" s="585">
        <v>5.7681818181818147E-3</v>
      </c>
    </row>
    <row r="12" spans="1:5" ht="14.1" customHeight="1" x14ac:dyDescent="0.2">
      <c r="A12" s="492" t="s">
        <v>75</v>
      </c>
      <c r="B12" s="527">
        <v>3.5166666666666672E-2</v>
      </c>
      <c r="C12" s="585">
        <v>1.3258333333333332E-2</v>
      </c>
      <c r="D12" s="585">
        <v>3.4853030303030309E-2</v>
      </c>
      <c r="E12" s="585">
        <v>1.4247727272727273E-2</v>
      </c>
    </row>
    <row r="13" spans="1:5" ht="14.1" customHeight="1" x14ac:dyDescent="0.2">
      <c r="A13" s="491" t="s">
        <v>76</v>
      </c>
      <c r="B13" s="585">
        <v>7.0900000000000005E-2</v>
      </c>
      <c r="C13" s="585">
        <v>2.6483333333333331E-2</v>
      </c>
      <c r="D13" s="585">
        <v>7.0074999999999957E-2</v>
      </c>
      <c r="E13" s="585">
        <v>3.0462121212121204E-2</v>
      </c>
    </row>
    <row r="14" spans="1:5" ht="14.1" customHeight="1" x14ac:dyDescent="0.2">
      <c r="A14" s="492" t="s">
        <v>77</v>
      </c>
      <c r="B14" s="585">
        <v>0.22897499999999996</v>
      </c>
      <c r="C14" s="585">
        <v>0.121575</v>
      </c>
      <c r="D14" s="585">
        <v>0.22015606060606066</v>
      </c>
      <c r="E14" s="585">
        <v>0.10665075757575759</v>
      </c>
    </row>
    <row r="15" spans="1:5" ht="14.1" customHeight="1" x14ac:dyDescent="0.2">
      <c r="A15" s="523" t="s">
        <v>709</v>
      </c>
      <c r="B15" s="674">
        <v>8.0000000000000002E-3</v>
      </c>
      <c r="C15" s="675">
        <v>2.0999999999999999E-3</v>
      </c>
      <c r="D15" s="676">
        <v>9.0553030303030281E-3</v>
      </c>
      <c r="E15" s="676">
        <v>3.0424242424242453E-3</v>
      </c>
    </row>
    <row r="18" spans="1:5" x14ac:dyDescent="0.2">
      <c r="B18" s="488" t="s">
        <v>656</v>
      </c>
      <c r="C18" s="488" t="s">
        <v>657</v>
      </c>
      <c r="D18" s="488" t="s">
        <v>656</v>
      </c>
      <c r="E18" s="488" t="s">
        <v>657</v>
      </c>
    </row>
    <row r="19" spans="1:5" ht="12.75" thickBot="1" x14ac:dyDescent="0.25">
      <c r="A19" s="489" t="s">
        <v>135</v>
      </c>
      <c r="B19" s="489">
        <v>2017</v>
      </c>
      <c r="C19" s="490">
        <v>2017</v>
      </c>
      <c r="D19" s="490" t="s">
        <v>902</v>
      </c>
      <c r="E19" s="490" t="s">
        <v>902</v>
      </c>
    </row>
    <row r="20" spans="1:5" ht="14.1" customHeight="1" thickTop="1" x14ac:dyDescent="0.2">
      <c r="A20" s="492" t="s">
        <v>69</v>
      </c>
      <c r="B20" s="527">
        <v>0</v>
      </c>
      <c r="C20" s="526">
        <v>0</v>
      </c>
      <c r="D20" s="528">
        <v>0</v>
      </c>
      <c r="E20" s="528">
        <v>0</v>
      </c>
    </row>
    <row r="21" spans="1:5" ht="14.1" customHeight="1" x14ac:dyDescent="0.2">
      <c r="A21" s="492" t="s">
        <v>70</v>
      </c>
      <c r="B21" s="527">
        <v>0</v>
      </c>
      <c r="C21" s="526">
        <v>0</v>
      </c>
      <c r="D21" s="585">
        <v>2.4490909090909107E-3</v>
      </c>
      <c r="E21" s="585">
        <v>0</v>
      </c>
    </row>
    <row r="22" spans="1:5" ht="14.1" customHeight="1" x14ac:dyDescent="0.2">
      <c r="A22" s="492" t="s">
        <v>71</v>
      </c>
      <c r="B22" s="585">
        <v>4.1000000000000003E-3</v>
      </c>
      <c r="C22" s="585">
        <v>7.4999999999999993E-5</v>
      </c>
      <c r="D22" s="585">
        <v>4.0901515151515119E-3</v>
      </c>
      <c r="E22" s="585">
        <v>2.5075757575757567E-4</v>
      </c>
    </row>
    <row r="23" spans="1:5" ht="14.1" customHeight="1" x14ac:dyDescent="0.2">
      <c r="A23" s="492" t="s">
        <v>72</v>
      </c>
      <c r="B23" s="585">
        <v>6.0750000000000005E-3</v>
      </c>
      <c r="C23" s="585">
        <v>1.1666666666666668E-3</v>
      </c>
      <c r="D23" s="585">
        <v>6.1553030303030248E-3</v>
      </c>
      <c r="E23" s="585">
        <v>8.4621212121212058E-4</v>
      </c>
    </row>
    <row r="24" spans="1:5" ht="14.1" customHeight="1" x14ac:dyDescent="0.2">
      <c r="A24" s="491" t="s">
        <v>73</v>
      </c>
      <c r="B24" s="585">
        <v>9.6249999999999981E-3</v>
      </c>
      <c r="C24" s="585">
        <v>1.1333333333333334E-3</v>
      </c>
      <c r="D24" s="585">
        <v>9.7106060606060845E-3</v>
      </c>
      <c r="E24" s="585">
        <v>2.3234848484848477E-3</v>
      </c>
    </row>
    <row r="25" spans="1:5" ht="14.1" customHeight="1" x14ac:dyDescent="0.2">
      <c r="A25" s="492" t="s">
        <v>74</v>
      </c>
      <c r="B25" s="585">
        <v>1.7275000000000002E-2</v>
      </c>
      <c r="C25" s="585">
        <v>9.7916666666666655E-3</v>
      </c>
      <c r="D25" s="585">
        <v>1.7659848484848518E-2</v>
      </c>
      <c r="E25" s="585">
        <v>7.6772727272727244E-3</v>
      </c>
    </row>
    <row r="26" spans="1:5" ht="14.1" customHeight="1" x14ac:dyDescent="0.2">
      <c r="A26" s="492" t="s">
        <v>75</v>
      </c>
      <c r="B26" s="585">
        <v>3.4541666666666672E-2</v>
      </c>
      <c r="C26" s="585">
        <v>1.8974999999999999E-2</v>
      </c>
      <c r="D26" s="585">
        <v>3.4891666666666682E-2</v>
      </c>
      <c r="E26" s="585">
        <v>1.8137121212121212E-2</v>
      </c>
    </row>
    <row r="27" spans="1:5" ht="14.1" customHeight="1" x14ac:dyDescent="0.2">
      <c r="A27" s="491" t="s">
        <v>76</v>
      </c>
      <c r="B27" s="585">
        <v>6.9608333333333341E-2</v>
      </c>
      <c r="C27" s="585">
        <v>4.9449999999999994E-2</v>
      </c>
      <c r="D27" s="585">
        <v>6.943787878787884E-2</v>
      </c>
      <c r="E27" s="585">
        <v>3.7624242424242456E-2</v>
      </c>
    </row>
    <row r="28" spans="1:5" ht="14.1" customHeight="1" x14ac:dyDescent="0.2">
      <c r="A28" s="492" t="s">
        <v>77</v>
      </c>
      <c r="B28" s="585">
        <v>0.23264166666666666</v>
      </c>
      <c r="C28" s="585">
        <v>0.12340000000000001</v>
      </c>
      <c r="D28" s="585">
        <v>0.22200378787878788</v>
      </c>
      <c r="E28" s="585">
        <v>0.13310227272727274</v>
      </c>
    </row>
    <row r="29" spans="1:5" ht="14.1" customHeight="1" x14ac:dyDescent="0.2">
      <c r="A29" s="524" t="s">
        <v>173</v>
      </c>
      <c r="B29" s="674">
        <v>2.1841666666666665E-2</v>
      </c>
      <c r="C29" s="675">
        <v>1.0141666666666665E-2</v>
      </c>
      <c r="D29" s="676">
        <v>3.3083333333333347E-2</v>
      </c>
      <c r="E29" s="676">
        <v>1.7378787878787872E-2</v>
      </c>
    </row>
    <row r="33" spans="1:5" x14ac:dyDescent="0.2">
      <c r="B33" s="488" t="s">
        <v>656</v>
      </c>
      <c r="C33" s="488" t="s">
        <v>657</v>
      </c>
      <c r="D33" s="488" t="s">
        <v>656</v>
      </c>
      <c r="E33" s="488" t="s">
        <v>657</v>
      </c>
    </row>
    <row r="34" spans="1:5" ht="12.75" thickBot="1" x14ac:dyDescent="0.25">
      <c r="A34" s="489" t="s">
        <v>23</v>
      </c>
      <c r="B34" s="489">
        <v>2017</v>
      </c>
      <c r="C34" s="490">
        <v>2017</v>
      </c>
      <c r="D34" s="490" t="s">
        <v>902</v>
      </c>
      <c r="E34" s="490" t="s">
        <v>902</v>
      </c>
    </row>
    <row r="35" spans="1:5" ht="14.1" customHeight="1" thickTop="1" x14ac:dyDescent="0.2">
      <c r="A35" s="491" t="s">
        <v>69</v>
      </c>
      <c r="B35" s="585">
        <v>7.7999999999999999E-4</v>
      </c>
      <c r="C35" s="585">
        <v>0</v>
      </c>
      <c r="D35" s="585">
        <v>7.8787878787878781E-4</v>
      </c>
      <c r="E35" s="585">
        <v>0</v>
      </c>
    </row>
    <row r="36" spans="1:5" ht="14.1" customHeight="1" x14ac:dyDescent="0.2">
      <c r="A36" s="491" t="s">
        <v>70</v>
      </c>
      <c r="B36" s="585">
        <v>2.2333333333333333E-3</v>
      </c>
      <c r="C36" s="585">
        <v>1.9749999999999998E-3</v>
      </c>
      <c r="D36" s="585">
        <v>2.2492424242424249E-3</v>
      </c>
      <c r="E36" s="585">
        <v>1.7954545454545453E-4</v>
      </c>
    </row>
    <row r="37" spans="1:5" ht="14.1" customHeight="1" x14ac:dyDescent="0.2">
      <c r="A37" s="492" t="s">
        <v>71</v>
      </c>
      <c r="B37" s="585">
        <v>3.6916666666666677E-3</v>
      </c>
      <c r="C37" s="585">
        <v>3.1583333333333329E-3</v>
      </c>
      <c r="D37" s="585">
        <v>3.7128787878787802E-3</v>
      </c>
      <c r="E37" s="585">
        <v>1.1053030303030307E-3</v>
      </c>
    </row>
    <row r="38" spans="1:5" ht="14.1" customHeight="1" x14ac:dyDescent="0.2">
      <c r="A38" s="492" t="s">
        <v>72</v>
      </c>
      <c r="B38" s="585">
        <v>6.1749999999999991E-3</v>
      </c>
      <c r="C38" s="585">
        <v>1.3750000000000001E-3</v>
      </c>
      <c r="D38" s="585">
        <v>6.1840909090909004E-3</v>
      </c>
      <c r="E38" s="585">
        <v>2.7265151515151525E-3</v>
      </c>
    </row>
    <row r="39" spans="1:5" ht="14.1" customHeight="1" x14ac:dyDescent="0.2">
      <c r="A39" s="491" t="s">
        <v>73</v>
      </c>
      <c r="B39" s="585">
        <v>9.8333333333333363E-3</v>
      </c>
      <c r="C39" s="585">
        <v>4.0166666666666675E-3</v>
      </c>
      <c r="D39" s="585">
        <v>9.7492424242424398E-3</v>
      </c>
      <c r="E39" s="585">
        <v>5.9856060606060585E-3</v>
      </c>
    </row>
    <row r="40" spans="1:5" ht="14.1" customHeight="1" x14ac:dyDescent="0.2">
      <c r="A40" s="492" t="s">
        <v>74</v>
      </c>
      <c r="B40" s="585">
        <v>1.7741666666666666E-2</v>
      </c>
      <c r="C40" s="585">
        <v>1.6075000000000002E-2</v>
      </c>
      <c r="D40" s="585">
        <v>1.7742424242424254E-2</v>
      </c>
      <c r="E40" s="585">
        <v>1.1304545454545446E-2</v>
      </c>
    </row>
    <row r="41" spans="1:5" ht="14.1" customHeight="1" x14ac:dyDescent="0.2">
      <c r="A41" s="492" t="s">
        <v>75</v>
      </c>
      <c r="B41" s="585">
        <v>3.518333333333333E-2</v>
      </c>
      <c r="C41" s="585">
        <v>1.9833333333333331E-2</v>
      </c>
      <c r="D41" s="585">
        <v>3.545454545454544E-2</v>
      </c>
      <c r="E41" s="585">
        <v>2.2018939393939389E-2</v>
      </c>
    </row>
    <row r="42" spans="1:5" ht="14.1" customHeight="1" x14ac:dyDescent="0.2">
      <c r="A42" s="491" t="s">
        <v>76</v>
      </c>
      <c r="B42" s="585">
        <v>7.0375000000000007E-2</v>
      </c>
      <c r="C42" s="585">
        <v>3.4216666666666666E-2</v>
      </c>
      <c r="D42" s="585">
        <v>7.0389393939393904E-2</v>
      </c>
      <c r="E42" s="585">
        <v>3.8410606060606069E-2</v>
      </c>
    </row>
    <row r="43" spans="1:5" ht="14.1" customHeight="1" x14ac:dyDescent="0.2">
      <c r="A43" s="492" t="s">
        <v>77</v>
      </c>
      <c r="B43" s="585">
        <v>0.15709166666666666</v>
      </c>
      <c r="C43" s="585">
        <v>0.10809166666666666</v>
      </c>
      <c r="D43" s="585">
        <v>0.1606318181818181</v>
      </c>
      <c r="E43" s="585">
        <v>0.12413484848484843</v>
      </c>
    </row>
    <row r="44" spans="1:5" ht="14.1" customHeight="1" x14ac:dyDescent="0.2">
      <c r="A44" s="524" t="s">
        <v>49</v>
      </c>
      <c r="B44" s="674">
        <v>2.900833333333333E-2</v>
      </c>
      <c r="C44" s="675">
        <v>1.8008333333333331E-2</v>
      </c>
      <c r="D44" s="676">
        <v>3.1665151515151514E-2</v>
      </c>
      <c r="E44" s="676">
        <v>2.0910606060606067E-2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4"/>
  <sheetViews>
    <sheetView zoomScaleNormal="100" workbookViewId="0"/>
  </sheetViews>
  <sheetFormatPr baseColWidth="10" defaultColWidth="11" defaultRowHeight="12" x14ac:dyDescent="0.2"/>
  <cols>
    <col min="1" max="1" width="25.625" style="21" customWidth="1"/>
    <col min="2" max="4" width="10.625" style="21" customWidth="1"/>
    <col min="5" max="5" width="15.625" style="21" customWidth="1"/>
    <col min="6" max="6" width="10.625" style="21" customWidth="1"/>
    <col min="7" max="7" width="10.875" style="21" customWidth="1"/>
    <col min="8" max="16384" width="11" style="21"/>
  </cols>
  <sheetData>
    <row r="1" spans="1:6" x14ac:dyDescent="0.2">
      <c r="A1" s="84" t="s">
        <v>186</v>
      </c>
    </row>
    <row r="2" spans="1:6" x14ac:dyDescent="0.2">
      <c r="A2" s="76" t="s">
        <v>156</v>
      </c>
    </row>
    <row r="3" spans="1:6" s="302" customFormat="1" x14ac:dyDescent="0.2">
      <c r="A3" s="76"/>
    </row>
    <row r="4" spans="1:6" s="361" customFormat="1" x14ac:dyDescent="0.2">
      <c r="A4" s="85" t="s">
        <v>155</v>
      </c>
      <c r="B4" s="362"/>
      <c r="C4" s="362"/>
      <c r="D4" s="362"/>
      <c r="E4" s="362"/>
      <c r="F4" s="362"/>
    </row>
    <row r="5" spans="1:6" s="361" customFormat="1" ht="12.75" thickBot="1" x14ac:dyDescent="0.25">
      <c r="A5" s="86" t="s">
        <v>847</v>
      </c>
      <c r="B5" s="87" t="s">
        <v>0</v>
      </c>
      <c r="C5" s="87" t="s">
        <v>1</v>
      </c>
      <c r="D5" s="87" t="s">
        <v>2</v>
      </c>
      <c r="E5" s="88" t="s">
        <v>152</v>
      </c>
      <c r="F5" s="362"/>
    </row>
    <row r="6" spans="1:6" s="361" customFormat="1" x14ac:dyDescent="0.2">
      <c r="A6" s="89" t="s">
        <v>3</v>
      </c>
      <c r="B6" s="89"/>
      <c r="C6" s="89"/>
      <c r="D6" s="89"/>
      <c r="E6" s="89"/>
      <c r="F6" s="362"/>
    </row>
    <row r="7" spans="1:6" s="361" customFormat="1" x14ac:dyDescent="0.2">
      <c r="A7" s="76" t="s">
        <v>109</v>
      </c>
      <c r="B7" s="81">
        <v>150</v>
      </c>
      <c r="C7" s="81">
        <v>97205</v>
      </c>
      <c r="D7" s="90">
        <v>1</v>
      </c>
      <c r="E7" s="91" t="s">
        <v>5</v>
      </c>
      <c r="F7" s="362"/>
    </row>
    <row r="8" spans="1:6" s="361" customFormat="1" x14ac:dyDescent="0.2">
      <c r="A8" s="17" t="s">
        <v>848</v>
      </c>
      <c r="B8" s="81">
        <v>4700</v>
      </c>
      <c r="C8" s="81">
        <v>224225</v>
      </c>
      <c r="D8" s="90">
        <v>1</v>
      </c>
      <c r="E8" s="91" t="s">
        <v>5</v>
      </c>
      <c r="F8" s="362"/>
    </row>
    <row r="9" spans="1:6" s="361" customFormat="1" x14ac:dyDescent="0.2">
      <c r="A9" s="17" t="s">
        <v>145</v>
      </c>
      <c r="B9" s="81">
        <v>6000</v>
      </c>
      <c r="C9" s="81">
        <v>29018</v>
      </c>
      <c r="D9" s="90">
        <v>1</v>
      </c>
      <c r="E9" s="91" t="s">
        <v>5</v>
      </c>
      <c r="F9" s="362"/>
    </row>
    <row r="10" spans="1:6" s="361" customFormat="1" x14ac:dyDescent="0.2">
      <c r="A10" s="17" t="s">
        <v>667</v>
      </c>
      <c r="B10" s="324">
        <v>9000</v>
      </c>
      <c r="C10" s="81">
        <v>80125</v>
      </c>
      <c r="D10" s="90">
        <v>1</v>
      </c>
      <c r="E10" s="91" t="s">
        <v>5</v>
      </c>
      <c r="F10" s="362"/>
    </row>
    <row r="11" spans="1:6" s="361" customFormat="1" x14ac:dyDescent="0.2">
      <c r="A11" s="17" t="s">
        <v>163</v>
      </c>
      <c r="B11" s="81">
        <v>90000</v>
      </c>
      <c r="C11" s="81">
        <v>164382</v>
      </c>
      <c r="D11" s="90">
        <v>1</v>
      </c>
      <c r="E11" s="91" t="s">
        <v>5</v>
      </c>
      <c r="F11" s="362"/>
    </row>
    <row r="12" spans="1:6" s="362" customFormat="1" x14ac:dyDescent="0.2">
      <c r="A12" s="17" t="s">
        <v>223</v>
      </c>
      <c r="B12" s="81">
        <v>8000</v>
      </c>
      <c r="C12" s="81">
        <v>258016</v>
      </c>
      <c r="D12" s="90">
        <v>1</v>
      </c>
      <c r="E12" s="91" t="s">
        <v>5</v>
      </c>
    </row>
    <row r="13" spans="1:6" s="361" customFormat="1" x14ac:dyDescent="0.2">
      <c r="A13" s="17" t="s">
        <v>668</v>
      </c>
      <c r="B13" s="324">
        <v>4000000</v>
      </c>
      <c r="C13" s="81">
        <v>4000150</v>
      </c>
      <c r="D13" s="90">
        <v>1</v>
      </c>
      <c r="E13" s="91" t="s">
        <v>5</v>
      </c>
      <c r="F13" s="362"/>
    </row>
    <row r="14" spans="1:6" s="361" customFormat="1" x14ac:dyDescent="0.2">
      <c r="A14" s="94" t="s">
        <v>7</v>
      </c>
      <c r="B14" s="95"/>
      <c r="C14" s="95">
        <f>SUM(C7:C13)</f>
        <v>4853121</v>
      </c>
      <c r="D14" s="96"/>
      <c r="E14" s="97"/>
      <c r="F14" s="362"/>
    </row>
    <row r="15" spans="1:6" s="361" customFormat="1" x14ac:dyDescent="0.2">
      <c r="A15" s="76"/>
      <c r="B15" s="362"/>
      <c r="C15" s="362"/>
      <c r="D15" s="362"/>
      <c r="E15" s="362"/>
      <c r="F15" s="362"/>
    </row>
    <row r="16" spans="1:6" s="302" customFormat="1" x14ac:dyDescent="0.2">
      <c r="A16" s="85" t="s">
        <v>155</v>
      </c>
      <c r="B16" s="362"/>
      <c r="C16" s="362"/>
      <c r="D16" s="362"/>
      <c r="E16" s="362"/>
      <c r="F16" s="362"/>
    </row>
    <row r="17" spans="1:10" s="302" customFormat="1" ht="12.75" thickBot="1" x14ac:dyDescent="0.25">
      <c r="A17" s="86" t="s">
        <v>760</v>
      </c>
      <c r="B17" s="87" t="s">
        <v>0</v>
      </c>
      <c r="C17" s="87" t="s">
        <v>1</v>
      </c>
      <c r="D17" s="87" t="s">
        <v>2</v>
      </c>
      <c r="E17" s="88" t="s">
        <v>152</v>
      </c>
      <c r="F17" s="362"/>
    </row>
    <row r="18" spans="1:10" s="302" customFormat="1" x14ac:dyDescent="0.2">
      <c r="A18" s="89" t="s">
        <v>3</v>
      </c>
      <c r="B18" s="89"/>
      <c r="C18" s="89"/>
      <c r="D18" s="89"/>
      <c r="E18" s="89"/>
      <c r="F18" s="362"/>
    </row>
    <row r="19" spans="1:10" s="302" customFormat="1" ht="12" customHeight="1" x14ac:dyDescent="0.2">
      <c r="A19" s="17" t="s">
        <v>4</v>
      </c>
      <c r="B19" s="81">
        <v>334000</v>
      </c>
      <c r="C19" s="81">
        <v>883228</v>
      </c>
      <c r="D19" s="90">
        <v>1</v>
      </c>
      <c r="E19" s="91" t="s">
        <v>5</v>
      </c>
      <c r="F19" s="362"/>
    </row>
    <row r="20" spans="1:10" s="302" customFormat="1" ht="12" customHeight="1" x14ac:dyDescent="0.2">
      <c r="A20" s="76" t="s">
        <v>109</v>
      </c>
      <c r="B20" s="81">
        <v>150</v>
      </c>
      <c r="C20" s="81">
        <v>97205</v>
      </c>
      <c r="D20" s="90">
        <v>1</v>
      </c>
      <c r="E20" s="91" t="s">
        <v>5</v>
      </c>
      <c r="F20" s="362"/>
    </row>
    <row r="21" spans="1:10" s="302" customFormat="1" x14ac:dyDescent="0.2">
      <c r="A21" s="17" t="s">
        <v>6</v>
      </c>
      <c r="B21" s="81">
        <v>3500</v>
      </c>
      <c r="C21" s="81">
        <v>164225</v>
      </c>
      <c r="D21" s="90">
        <v>1</v>
      </c>
      <c r="E21" s="91" t="s">
        <v>5</v>
      </c>
      <c r="F21" s="362"/>
    </row>
    <row r="22" spans="1:10" s="302" customFormat="1" x14ac:dyDescent="0.2">
      <c r="A22" s="17" t="s">
        <v>145</v>
      </c>
      <c r="B22" s="81">
        <v>6000</v>
      </c>
      <c r="C22" s="81">
        <v>29018</v>
      </c>
      <c r="D22" s="90">
        <v>1</v>
      </c>
      <c r="E22" s="91" t="s">
        <v>5</v>
      </c>
      <c r="F22" s="362"/>
    </row>
    <row r="23" spans="1:10" s="302" customFormat="1" x14ac:dyDescent="0.2">
      <c r="A23" s="17" t="s">
        <v>667</v>
      </c>
      <c r="B23" s="324">
        <v>8000</v>
      </c>
      <c r="C23" s="81">
        <v>70125</v>
      </c>
      <c r="D23" s="90">
        <v>1</v>
      </c>
      <c r="E23" s="91" t="s">
        <v>5</v>
      </c>
      <c r="F23" s="362"/>
    </row>
    <row r="24" spans="1:10" s="302" customFormat="1" x14ac:dyDescent="0.2">
      <c r="A24" s="17" t="s">
        <v>163</v>
      </c>
      <c r="B24" s="81">
        <v>90000</v>
      </c>
      <c r="C24" s="81">
        <v>186246</v>
      </c>
      <c r="D24" s="90">
        <v>1</v>
      </c>
      <c r="E24" s="91" t="s">
        <v>5</v>
      </c>
      <c r="F24" s="362"/>
    </row>
    <row r="25" spans="1:10" s="302" customFormat="1" x14ac:dyDescent="0.2">
      <c r="A25" s="17" t="s">
        <v>223</v>
      </c>
      <c r="B25" s="81">
        <v>8000</v>
      </c>
      <c r="C25" s="81">
        <v>258016</v>
      </c>
      <c r="D25" s="90">
        <v>1</v>
      </c>
      <c r="E25" s="91" t="s">
        <v>5</v>
      </c>
      <c r="F25" s="362"/>
    </row>
    <row r="26" spans="1:10" s="302" customFormat="1" x14ac:dyDescent="0.2">
      <c r="A26" s="17" t="s">
        <v>668</v>
      </c>
      <c r="B26" s="324">
        <v>3025000</v>
      </c>
      <c r="C26" s="81">
        <v>2025150</v>
      </c>
      <c r="D26" s="90">
        <v>1</v>
      </c>
      <c r="E26" s="91" t="s">
        <v>5</v>
      </c>
      <c r="F26" s="362"/>
    </row>
    <row r="27" spans="1:10" s="328" customFormat="1" x14ac:dyDescent="0.2">
      <c r="A27" s="94" t="s">
        <v>7</v>
      </c>
      <c r="B27" s="95"/>
      <c r="C27" s="95">
        <f>SUM(C19:C26)</f>
        <v>3713213</v>
      </c>
      <c r="D27" s="96"/>
      <c r="E27" s="97"/>
      <c r="F27" s="362"/>
    </row>
    <row r="28" spans="1:10" ht="12" hidden="1" customHeight="1" x14ac:dyDescent="0.2">
      <c r="A28" s="17"/>
      <c r="B28" s="80"/>
      <c r="C28" s="80"/>
      <c r="D28" s="90"/>
      <c r="E28" s="17"/>
      <c r="F28" s="17"/>
    </row>
    <row r="29" spans="1:10" ht="12" hidden="1" customHeight="1" x14ac:dyDescent="0.2">
      <c r="A29" s="17"/>
      <c r="B29" s="80"/>
      <c r="C29" s="80"/>
      <c r="D29" s="90"/>
      <c r="E29" s="17"/>
      <c r="F29" s="17"/>
      <c r="J29" s="17"/>
    </row>
    <row r="30" spans="1:10" ht="12" hidden="1" customHeight="1" x14ac:dyDescent="0.2">
      <c r="A30" s="362"/>
      <c r="B30" s="362"/>
      <c r="C30" s="362"/>
      <c r="D30" s="362"/>
      <c r="E30" s="362"/>
      <c r="F30" s="17"/>
    </row>
    <row r="31" spans="1:10" x14ac:dyDescent="0.2">
      <c r="A31" s="362"/>
      <c r="B31" s="362"/>
      <c r="C31" s="362"/>
      <c r="D31" s="362"/>
      <c r="E31" s="362"/>
      <c r="F31" s="17"/>
    </row>
    <row r="32" spans="1:10" x14ac:dyDescent="0.2">
      <c r="A32" s="17" t="s">
        <v>8</v>
      </c>
      <c r="B32" s="80"/>
      <c r="C32" s="80"/>
      <c r="D32" s="90"/>
      <c r="E32" s="17"/>
      <c r="F32" s="17"/>
    </row>
    <row r="33" spans="1:7" s="362" customFormat="1" x14ac:dyDescent="0.2">
      <c r="A33" s="17"/>
      <c r="B33" s="80"/>
      <c r="C33" s="80"/>
      <c r="D33" s="90"/>
      <c r="E33" s="17"/>
      <c r="F33" s="17"/>
    </row>
    <row r="34" spans="1:7" s="362" customFormat="1" x14ac:dyDescent="0.2">
      <c r="A34" s="17" t="s">
        <v>849</v>
      </c>
      <c r="B34" s="80"/>
      <c r="C34" s="80"/>
      <c r="D34" s="90"/>
      <c r="E34" s="17"/>
      <c r="F34" s="17"/>
    </row>
    <row r="35" spans="1:7" s="362" customFormat="1" x14ac:dyDescent="0.2">
      <c r="A35" s="17"/>
      <c r="B35" s="80"/>
      <c r="C35" s="80"/>
      <c r="D35" s="90"/>
      <c r="E35" s="17"/>
      <c r="F35" s="17"/>
    </row>
    <row r="36" spans="1:7" x14ac:dyDescent="0.2">
      <c r="A36" s="362"/>
      <c r="B36" s="362"/>
      <c r="C36" s="80"/>
      <c r="D36" s="90"/>
      <c r="E36" s="17"/>
      <c r="F36" s="17"/>
    </row>
    <row r="37" spans="1:7" x14ac:dyDescent="0.2">
      <c r="A37" s="16" t="s">
        <v>147</v>
      </c>
      <c r="B37" s="80"/>
      <c r="C37" s="80"/>
      <c r="D37" s="90"/>
      <c r="E37" s="17"/>
      <c r="F37" s="17"/>
    </row>
    <row r="38" spans="1:7" x14ac:dyDescent="0.2">
      <c r="A38" s="362"/>
      <c r="B38" s="80"/>
      <c r="C38" s="80"/>
      <c r="D38" s="90"/>
      <c r="E38" s="17"/>
      <c r="F38" s="17"/>
    </row>
    <row r="39" spans="1:7" s="362" customFormat="1" ht="12.75" x14ac:dyDescent="0.2">
      <c r="B39" s="678">
        <v>43100</v>
      </c>
      <c r="C39" s="679"/>
      <c r="D39" s="680">
        <v>42735</v>
      </c>
      <c r="E39" s="681"/>
      <c r="F39" s="504"/>
    </row>
    <row r="40" spans="1:7" ht="12.75" thickBot="1" x14ac:dyDescent="0.25">
      <c r="A40" s="1" t="s">
        <v>136</v>
      </c>
      <c r="B40" s="650" t="s">
        <v>270</v>
      </c>
      <c r="C40" s="650"/>
      <c r="D40" s="587" t="s">
        <v>838</v>
      </c>
      <c r="E40" s="641" t="s">
        <v>270</v>
      </c>
      <c r="F40" s="362"/>
    </row>
    <row r="41" spans="1:7" x14ac:dyDescent="0.2">
      <c r="A41" s="362" t="s">
        <v>18</v>
      </c>
      <c r="B41" s="375">
        <v>19</v>
      </c>
      <c r="C41" s="553"/>
      <c r="D41" s="79">
        <v>1078</v>
      </c>
      <c r="E41" s="638">
        <v>17</v>
      </c>
      <c r="F41" s="362"/>
    </row>
    <row r="42" spans="1:7" x14ac:dyDescent="0.2">
      <c r="A42" s="17" t="s">
        <v>259</v>
      </c>
      <c r="B42" s="375">
        <v>83</v>
      </c>
      <c r="C42" s="357"/>
      <c r="D42" s="79">
        <v>6553</v>
      </c>
      <c r="E42" s="22">
        <v>71</v>
      </c>
      <c r="F42" s="362"/>
    </row>
    <row r="43" spans="1:7" x14ac:dyDescent="0.2">
      <c r="A43" s="376" t="s">
        <v>148</v>
      </c>
      <c r="B43" s="500">
        <v>23.29</v>
      </c>
      <c r="C43" s="500"/>
      <c r="D43" s="496">
        <v>16.45</v>
      </c>
      <c r="E43" s="496">
        <v>24.71</v>
      </c>
      <c r="F43" s="362"/>
    </row>
    <row r="44" spans="1:7" x14ac:dyDescent="0.2">
      <c r="A44" s="17"/>
      <c r="B44" s="80"/>
      <c r="C44" s="80"/>
      <c r="D44" s="90"/>
      <c r="E44" s="17"/>
      <c r="F44" s="17"/>
    </row>
    <row r="45" spans="1:7" s="362" customFormat="1" x14ac:dyDescent="0.2">
      <c r="A45" s="17"/>
      <c r="B45" s="80"/>
      <c r="C45" s="80"/>
      <c r="D45" s="90"/>
      <c r="E45" s="17"/>
      <c r="F45" s="17"/>
    </row>
    <row r="46" spans="1:7" x14ac:dyDescent="0.2">
      <c r="A46" s="16" t="s">
        <v>684</v>
      </c>
      <c r="B46" s="80"/>
      <c r="C46" s="80"/>
      <c r="D46" s="90"/>
      <c r="E46" s="17"/>
      <c r="F46" s="17"/>
    </row>
    <row r="47" spans="1:7" x14ac:dyDescent="0.2">
      <c r="A47" s="362"/>
      <c r="B47" s="80"/>
      <c r="C47" s="80"/>
      <c r="D47" s="90"/>
      <c r="E47" s="17"/>
      <c r="F47" s="17"/>
    </row>
    <row r="48" spans="1:7" x14ac:dyDescent="0.2">
      <c r="A48" s="362"/>
      <c r="B48" s="505">
        <v>43100</v>
      </c>
      <c r="C48" s="72">
        <v>42735</v>
      </c>
      <c r="D48" s="362"/>
      <c r="E48" s="362"/>
      <c r="F48" s="362"/>
      <c r="G48" s="362"/>
    </row>
    <row r="49" spans="1:7" ht="13.5" thickBot="1" x14ac:dyDescent="0.25">
      <c r="A49" s="1" t="s">
        <v>136</v>
      </c>
      <c r="B49" s="682" t="s">
        <v>839</v>
      </c>
      <c r="C49" s="683"/>
      <c r="D49" s="362"/>
      <c r="E49" s="362"/>
      <c r="F49" s="362"/>
      <c r="G49" s="362"/>
    </row>
    <row r="50" spans="1:7" x14ac:dyDescent="0.2">
      <c r="A50" s="362" t="s">
        <v>18</v>
      </c>
      <c r="B50" s="375">
        <v>3934</v>
      </c>
      <c r="C50" s="79">
        <v>1974</v>
      </c>
      <c r="D50" s="362"/>
      <c r="E50" s="362"/>
      <c r="F50" s="362"/>
      <c r="G50" s="362"/>
    </row>
    <row r="51" spans="1:7" x14ac:dyDescent="0.2">
      <c r="A51" s="17" t="s">
        <v>259</v>
      </c>
      <c r="B51" s="375">
        <v>16925</v>
      </c>
      <c r="C51" s="79">
        <v>12089</v>
      </c>
      <c r="D51" s="362"/>
      <c r="E51" s="362"/>
      <c r="F51" s="362"/>
      <c r="G51" s="362"/>
    </row>
    <row r="52" spans="1:7" x14ac:dyDescent="0.2">
      <c r="A52" s="376" t="s">
        <v>148</v>
      </c>
      <c r="B52" s="377">
        <v>23.24</v>
      </c>
      <c r="C52" s="376">
        <v>16.329999999999998</v>
      </c>
      <c r="D52" s="362"/>
      <c r="E52" s="362"/>
      <c r="F52" s="362"/>
      <c r="G52" s="362"/>
    </row>
    <row r="53" spans="1:7" x14ac:dyDescent="0.2">
      <c r="A53" s="362"/>
      <c r="B53" s="362"/>
      <c r="C53" s="362"/>
      <c r="D53" s="362"/>
      <c r="E53" s="362"/>
      <c r="F53" s="362"/>
      <c r="G53" s="362"/>
    </row>
    <row r="54" spans="1:7" x14ac:dyDescent="0.2">
      <c r="A54" s="362"/>
      <c r="B54" s="362"/>
      <c r="C54" s="362"/>
      <c r="D54" s="362"/>
      <c r="E54" s="362"/>
      <c r="F54" s="362"/>
    </row>
  </sheetData>
  <mergeCells count="3">
    <mergeCell ref="B39:C39"/>
    <mergeCell ref="D39:E39"/>
    <mergeCell ref="B49:C49"/>
  </mergeCells>
  <pageMargins left="0.74803149606299213" right="0.74803149606299213" top="0.98425196850393704" bottom="0.98425196850393704" header="0.51181102362204722" footer="0.51181102362204722"/>
  <pageSetup paperSize="9" scale="80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4"/>
  <sheetViews>
    <sheetView showGridLines="0" zoomScaleNormal="100" workbookViewId="0"/>
  </sheetViews>
  <sheetFormatPr baseColWidth="10" defaultColWidth="11" defaultRowHeight="12" x14ac:dyDescent="0.2"/>
  <cols>
    <col min="1" max="1" width="32.75" style="227" bestFit="1" customWidth="1"/>
    <col min="2" max="2" width="11.875" style="227" bestFit="1" customWidth="1"/>
    <col min="3" max="3" width="11.125" style="227" bestFit="1" customWidth="1"/>
    <col min="4" max="4" width="11.875" style="227" bestFit="1" customWidth="1"/>
    <col min="5" max="5" width="11.125" style="227" bestFit="1" customWidth="1"/>
    <col min="6" max="16384" width="11" style="227"/>
  </cols>
  <sheetData>
    <row r="1" spans="1:7" x14ac:dyDescent="0.2">
      <c r="A1" s="226" t="s">
        <v>666</v>
      </c>
      <c r="B1" s="228"/>
      <c r="C1" s="228"/>
      <c r="E1" s="362"/>
      <c r="G1" s="21"/>
    </row>
    <row r="2" spans="1:7" x14ac:dyDescent="0.2">
      <c r="E2" s="362"/>
      <c r="G2" s="21"/>
    </row>
    <row r="3" spans="1:7" ht="12.75" customHeight="1" x14ac:dyDescent="0.2">
      <c r="A3" s="230"/>
      <c r="B3" s="233"/>
      <c r="C3" s="231"/>
      <c r="D3" s="231"/>
    </row>
    <row r="4" spans="1:7" ht="12" customHeight="1" x14ac:dyDescent="0.2">
      <c r="B4" s="479" t="s">
        <v>659</v>
      </c>
      <c r="C4" s="479" t="s">
        <v>660</v>
      </c>
      <c r="D4" s="479" t="s">
        <v>659</v>
      </c>
      <c r="E4" s="479" t="s">
        <v>660</v>
      </c>
    </row>
    <row r="5" spans="1:7" ht="12" customHeight="1" thickBot="1" x14ac:dyDescent="0.25">
      <c r="A5" s="478" t="s">
        <v>655</v>
      </c>
      <c r="B5" s="478">
        <v>2016</v>
      </c>
      <c r="C5" s="477">
        <v>2016</v>
      </c>
      <c r="D5" s="477" t="s">
        <v>903</v>
      </c>
      <c r="E5" s="477" t="s">
        <v>903</v>
      </c>
    </row>
    <row r="6" spans="1:7" ht="12.95" customHeight="1" thickTop="1" x14ac:dyDescent="0.2">
      <c r="A6" s="480" t="s">
        <v>658</v>
      </c>
      <c r="B6" s="481">
        <v>0.24199999999999999</v>
      </c>
      <c r="C6" s="482">
        <v>7.0999999999999994E-2</v>
      </c>
      <c r="D6" s="481">
        <v>0.27</v>
      </c>
      <c r="E6" s="482">
        <v>9.8000000000000004E-2</v>
      </c>
    </row>
    <row r="7" spans="1:7" ht="12.95" customHeight="1" x14ac:dyDescent="0.2">
      <c r="A7" s="483" t="s">
        <v>135</v>
      </c>
      <c r="B7" s="484">
        <v>0</v>
      </c>
      <c r="C7" s="482">
        <v>0</v>
      </c>
      <c r="D7" s="485">
        <v>0.19900000000000001</v>
      </c>
      <c r="E7" s="485">
        <v>2.5999999999999999E-2</v>
      </c>
    </row>
    <row r="8" spans="1:7" ht="12.95" customHeight="1" x14ac:dyDescent="0.2">
      <c r="A8" s="483" t="s">
        <v>23</v>
      </c>
      <c r="B8" s="484">
        <v>0.47599999999999998</v>
      </c>
      <c r="C8" s="482">
        <v>0.29599999999999999</v>
      </c>
      <c r="D8" s="485">
        <v>0.52300000000000002</v>
      </c>
      <c r="E8" s="485">
        <v>0.29699999999999999</v>
      </c>
    </row>
    <row r="10" spans="1:7" x14ac:dyDescent="0.2">
      <c r="A10" s="227" t="s">
        <v>904</v>
      </c>
    </row>
    <row r="13" spans="1:7" x14ac:dyDescent="0.2">
      <c r="A13" s="226" t="s">
        <v>774</v>
      </c>
      <c r="B13" s="228"/>
      <c r="C13" s="228"/>
      <c r="E13" s="362"/>
    </row>
    <row r="14" spans="1:7" x14ac:dyDescent="0.2">
      <c r="E14" s="362"/>
    </row>
    <row r="15" spans="1:7" x14ac:dyDescent="0.2">
      <c r="A15" s="230"/>
      <c r="B15" s="233"/>
      <c r="C15" s="231"/>
      <c r="D15" s="231"/>
    </row>
    <row r="16" spans="1:7" x14ac:dyDescent="0.2">
      <c r="B16" s="479" t="s">
        <v>659</v>
      </c>
      <c r="C16" s="479" t="s">
        <v>660</v>
      </c>
      <c r="D16" s="479" t="s">
        <v>659</v>
      </c>
      <c r="E16" s="479" t="s">
        <v>660</v>
      </c>
    </row>
    <row r="17" spans="1:5" ht="12.75" thickBot="1" x14ac:dyDescent="0.25">
      <c r="A17" s="478" t="s">
        <v>655</v>
      </c>
      <c r="B17" s="478">
        <v>2016</v>
      </c>
      <c r="C17" s="477">
        <v>2016</v>
      </c>
      <c r="D17" s="477" t="s">
        <v>903</v>
      </c>
      <c r="E17" s="477" t="s">
        <v>903</v>
      </c>
    </row>
    <row r="18" spans="1:5" ht="12.95" customHeight="1" thickTop="1" x14ac:dyDescent="0.2">
      <c r="A18" s="480" t="s">
        <v>658</v>
      </c>
      <c r="B18" s="481">
        <v>0.25600000000000001</v>
      </c>
      <c r="C18" s="482">
        <v>6.8000000000000005E-2</v>
      </c>
      <c r="D18" s="481">
        <v>0.28899999999999998</v>
      </c>
      <c r="E18" s="482">
        <v>5.0999999999999997E-2</v>
      </c>
    </row>
    <row r="19" spans="1:5" ht="12.95" customHeight="1" x14ac:dyDescent="0.2">
      <c r="A19" s="483" t="s">
        <v>135</v>
      </c>
      <c r="B19" s="484">
        <v>0</v>
      </c>
      <c r="C19" s="482">
        <v>0</v>
      </c>
      <c r="D19" s="485">
        <v>0.17299999999999999</v>
      </c>
      <c r="E19" s="485">
        <v>2.8000000000000001E-2</v>
      </c>
    </row>
    <row r="20" spans="1:5" ht="12.95" customHeight="1" x14ac:dyDescent="0.2">
      <c r="A20" s="483" t="s">
        <v>23</v>
      </c>
      <c r="B20" s="484">
        <v>0.39900000000000002</v>
      </c>
      <c r="C20" s="482">
        <v>0.27</v>
      </c>
      <c r="D20" s="485">
        <v>0.46400000000000002</v>
      </c>
      <c r="E20" s="485">
        <v>0.184</v>
      </c>
    </row>
    <row r="22" spans="1:5" x14ac:dyDescent="0.2">
      <c r="A22" s="227" t="s">
        <v>905</v>
      </c>
    </row>
    <row r="24" spans="1:5" x14ac:dyDescent="0.2">
      <c r="A24" s="227" t="s">
        <v>773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3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"/>
  <sheetViews>
    <sheetView showGridLines="0" workbookViewId="0"/>
  </sheetViews>
  <sheetFormatPr baseColWidth="10" defaultColWidth="11" defaultRowHeight="12" x14ac:dyDescent="0.2"/>
  <cols>
    <col min="1" max="3" width="11" style="35"/>
    <col min="4" max="4" width="5.125" style="35" customWidth="1"/>
    <col min="5" max="16384" width="11" style="35"/>
  </cols>
  <sheetData>
    <row r="1" spans="1:7" x14ac:dyDescent="0.2">
      <c r="A1" s="226" t="s">
        <v>783</v>
      </c>
      <c r="B1" s="227"/>
      <c r="C1" s="228"/>
      <c r="D1" s="227"/>
      <c r="E1" s="227"/>
    </row>
    <row r="2" spans="1:7" x14ac:dyDescent="0.2">
      <c r="A2" s="227"/>
      <c r="B2" s="227"/>
      <c r="C2" s="227"/>
      <c r="D2" s="227"/>
      <c r="E2" s="227"/>
    </row>
    <row r="3" spans="1:7" x14ac:dyDescent="0.2">
      <c r="A3" s="591" t="s">
        <v>780</v>
      </c>
      <c r="E3" s="591" t="s">
        <v>23</v>
      </c>
    </row>
    <row r="5" spans="1:7" ht="12.75" thickBot="1" x14ac:dyDescent="0.25">
      <c r="A5" s="592" t="s">
        <v>769</v>
      </c>
      <c r="B5" s="594" t="s">
        <v>781</v>
      </c>
      <c r="C5" s="594" t="s">
        <v>782</v>
      </c>
      <c r="E5" s="592" t="s">
        <v>769</v>
      </c>
      <c r="F5" s="594" t="s">
        <v>781</v>
      </c>
      <c r="G5" s="594" t="s">
        <v>782</v>
      </c>
    </row>
    <row r="6" spans="1:7" ht="13.5" customHeight="1" thickTop="1" x14ac:dyDescent="0.2">
      <c r="A6" s="579">
        <v>2015</v>
      </c>
      <c r="B6" s="593">
        <v>2.1698704751408303E-3</v>
      </c>
      <c r="C6" s="593">
        <v>1.1489137380899986E-4</v>
      </c>
      <c r="E6" s="579">
        <v>2015</v>
      </c>
      <c r="F6" s="593">
        <v>9.4678367002797321E-3</v>
      </c>
      <c r="G6" s="593">
        <v>3.5547298983219719E-3</v>
      </c>
    </row>
    <row r="7" spans="1:7" ht="13.5" customHeight="1" x14ac:dyDescent="0.2">
      <c r="A7" s="579">
        <v>2016</v>
      </c>
      <c r="B7" s="593">
        <v>2.7804258962259511E-3</v>
      </c>
      <c r="C7" s="593">
        <v>2.0747506412048902E-4</v>
      </c>
      <c r="E7" s="579">
        <v>2016</v>
      </c>
      <c r="F7" s="593">
        <v>1.1059053007654591E-2</v>
      </c>
      <c r="G7" s="593">
        <v>7.7754867599068621E-3</v>
      </c>
    </row>
    <row r="8" spans="1:7" ht="13.5" customHeight="1" x14ac:dyDescent="0.2">
      <c r="A8" s="579">
        <v>2017</v>
      </c>
      <c r="B8" s="593">
        <v>2.5566634336990899E-3</v>
      </c>
      <c r="C8" s="593">
        <v>4.256805422729337E-4</v>
      </c>
      <c r="E8" s="579">
        <v>2017</v>
      </c>
      <c r="F8" s="593">
        <v>1.3838391011895233E-2</v>
      </c>
      <c r="G8" s="593">
        <v>6.7880389534714283E-3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>
    <tabColor rgb="FF00B050"/>
    <pageSetUpPr fitToPage="1"/>
  </sheetPr>
  <dimension ref="A1:M21"/>
  <sheetViews>
    <sheetView showGridLines="0" zoomScaleNormal="100" workbookViewId="0"/>
  </sheetViews>
  <sheetFormatPr baseColWidth="10" defaultColWidth="11" defaultRowHeight="12" x14ac:dyDescent="0.2"/>
  <cols>
    <col min="1" max="1" width="21.25" style="21" customWidth="1"/>
    <col min="2" max="2" width="9.875" style="21" customWidth="1"/>
    <col min="3" max="3" width="14.125" style="21" customWidth="1"/>
    <col min="4" max="4" width="11.125" style="21" customWidth="1"/>
    <col min="5" max="5" width="2.125" style="21" customWidth="1"/>
    <col min="6" max="6" width="15.125" style="21" customWidth="1"/>
    <col min="7" max="7" width="11.125" style="21" customWidth="1"/>
    <col min="8" max="8" width="2.125" style="21" customWidth="1"/>
    <col min="9" max="9" width="15.625" style="21" customWidth="1"/>
    <col min="10" max="11" width="16.125" style="21" customWidth="1"/>
    <col min="12" max="12" width="11" style="21" customWidth="1"/>
    <col min="13" max="16384" width="11" style="21"/>
  </cols>
  <sheetData>
    <row r="1" spans="1:13" x14ac:dyDescent="0.2">
      <c r="A1" s="84" t="s">
        <v>706</v>
      </c>
      <c r="F1" s="17"/>
      <c r="G1" s="17"/>
      <c r="H1" s="17"/>
      <c r="I1" s="17"/>
    </row>
    <row r="3" spans="1:13" x14ac:dyDescent="0.2">
      <c r="A3" s="234"/>
    </row>
    <row r="4" spans="1:13" ht="12.75" x14ac:dyDescent="0.2">
      <c r="A4" s="235"/>
      <c r="C4" s="703">
        <v>2017</v>
      </c>
      <c r="D4" s="704"/>
      <c r="E4" s="236"/>
      <c r="F4" s="705">
        <v>2016</v>
      </c>
      <c r="G4" s="704"/>
    </row>
    <row r="5" spans="1:13" ht="39" thickBot="1" x14ac:dyDescent="0.25">
      <c r="A5" s="702" t="s">
        <v>161</v>
      </c>
      <c r="B5" s="702"/>
      <c r="C5" s="88" t="s">
        <v>160</v>
      </c>
      <c r="D5" s="208" t="s">
        <v>200</v>
      </c>
      <c r="E5" s="208"/>
      <c r="F5" s="237" t="s">
        <v>160</v>
      </c>
      <c r="G5" s="238" t="s">
        <v>201</v>
      </c>
      <c r="H5" s="1"/>
      <c r="L5" s="239"/>
      <c r="M5" s="239"/>
    </row>
    <row r="6" spans="1:13" s="362" customFormat="1" x14ac:dyDescent="0.2">
      <c r="A6" s="529" t="s">
        <v>710</v>
      </c>
      <c r="B6" s="529"/>
      <c r="C6" s="70"/>
      <c r="D6" s="530"/>
      <c r="E6" s="530"/>
      <c r="F6" s="515"/>
      <c r="G6" s="516"/>
      <c r="H6" s="17"/>
      <c r="L6" s="239"/>
      <c r="M6" s="239"/>
    </row>
    <row r="7" spans="1:13" s="362" customFormat="1" x14ac:dyDescent="0.2">
      <c r="A7" s="66" t="s">
        <v>106</v>
      </c>
      <c r="B7" s="66"/>
      <c r="C7" s="209">
        <v>36733.525999999998</v>
      </c>
      <c r="D7" s="240">
        <f>20222.484/C7</f>
        <v>0.55051845553840928</v>
      </c>
      <c r="E7" s="516"/>
      <c r="F7" s="209">
        <v>33738</v>
      </c>
      <c r="G7" s="240">
        <v>0.53</v>
      </c>
      <c r="H7" s="17"/>
      <c r="L7" s="239"/>
      <c r="M7" s="239"/>
    </row>
    <row r="8" spans="1:13" s="362" customFormat="1" x14ac:dyDescent="0.2">
      <c r="A8" s="66" t="s">
        <v>289</v>
      </c>
      <c r="B8" s="66"/>
      <c r="C8" s="209">
        <f>26902.374+1.888</f>
        <v>26904.261999999999</v>
      </c>
      <c r="D8" s="240">
        <f>4642.56/C8</f>
        <v>0.17255853366280779</v>
      </c>
      <c r="E8" s="516"/>
      <c r="F8" s="209">
        <v>27353</v>
      </c>
      <c r="G8" s="240">
        <v>0.18</v>
      </c>
      <c r="H8" s="17"/>
      <c r="L8" s="239"/>
      <c r="M8" s="239"/>
    </row>
    <row r="9" spans="1:13" s="362" customFormat="1" x14ac:dyDescent="0.2">
      <c r="A9" s="517" t="s">
        <v>105</v>
      </c>
      <c r="B9" s="517"/>
      <c r="C9" s="519">
        <v>9886.982</v>
      </c>
      <c r="D9" s="518">
        <f>638.793/C9</f>
        <v>6.4609503688789968E-2</v>
      </c>
      <c r="E9" s="519"/>
      <c r="F9" s="519">
        <v>11308</v>
      </c>
      <c r="G9" s="518">
        <v>0.05</v>
      </c>
      <c r="H9" s="24"/>
      <c r="L9" s="239"/>
      <c r="M9" s="239"/>
    </row>
    <row r="10" spans="1:13" x14ac:dyDescent="0.2">
      <c r="A10" s="111" t="s">
        <v>24</v>
      </c>
      <c r="B10" s="68"/>
      <c r="C10" s="68"/>
      <c r="D10" s="560"/>
      <c r="E10" s="68"/>
      <c r="F10" s="68"/>
      <c r="G10" s="560"/>
      <c r="L10" s="241"/>
    </row>
    <row r="11" spans="1:13" x14ac:dyDescent="0.2">
      <c r="A11" s="73" t="s">
        <v>94</v>
      </c>
      <c r="B11" s="73"/>
      <c r="C11" s="209">
        <v>131569.682</v>
      </c>
      <c r="D11" s="240">
        <f>116382.48/C11</f>
        <v>0.88456913652797298</v>
      </c>
      <c r="E11" s="240"/>
      <c r="F11" s="209">
        <v>128013</v>
      </c>
      <c r="G11" s="240">
        <v>0.87</v>
      </c>
      <c r="L11" s="241"/>
    </row>
    <row r="12" spans="1:13" x14ac:dyDescent="0.2">
      <c r="A12" s="73" t="s">
        <v>63</v>
      </c>
      <c r="B12" s="68"/>
      <c r="C12" s="209">
        <v>5924.4380000000001</v>
      </c>
      <c r="D12" s="240">
        <f>5052.245/C12</f>
        <v>0.85278046626532333</v>
      </c>
      <c r="E12" s="240"/>
      <c r="F12" s="209">
        <v>5563</v>
      </c>
      <c r="G12" s="240">
        <v>0.85</v>
      </c>
      <c r="L12" s="241"/>
    </row>
    <row r="13" spans="1:13" ht="12" customHeight="1" x14ac:dyDescent="0.2">
      <c r="A13" s="73" t="s">
        <v>95</v>
      </c>
      <c r="B13" s="68"/>
      <c r="C13" s="209">
        <f>366.603+4236.264</f>
        <v>4602.8670000000002</v>
      </c>
      <c r="D13" s="240">
        <f>(15.636+178.266)/C13</f>
        <v>4.21263529882571E-2</v>
      </c>
      <c r="E13" s="232" t="s">
        <v>97</v>
      </c>
      <c r="F13" s="209">
        <v>4666</v>
      </c>
      <c r="G13" s="240">
        <v>0.03</v>
      </c>
      <c r="H13" s="232" t="s">
        <v>97</v>
      </c>
      <c r="L13" s="241"/>
    </row>
    <row r="14" spans="1:13" x14ac:dyDescent="0.2">
      <c r="A14" s="112" t="s">
        <v>93</v>
      </c>
      <c r="B14" s="242"/>
      <c r="C14" s="243">
        <f>SUM(C7:C13)</f>
        <v>215621.75699999998</v>
      </c>
      <c r="D14" s="244"/>
      <c r="E14" s="244"/>
      <c r="F14" s="244">
        <f>SUM(F7:F13)</f>
        <v>210641</v>
      </c>
      <c r="G14" s="244"/>
      <c r="H14" s="245"/>
      <c r="L14" s="79"/>
    </row>
    <row r="15" spans="1:13" ht="13.5" customHeight="1" x14ac:dyDescent="0.2">
      <c r="A15" s="246"/>
      <c r="B15" s="246"/>
      <c r="C15" s="247"/>
      <c r="D15" s="248"/>
      <c r="E15" s="248"/>
      <c r="F15" s="248"/>
      <c r="G15" s="248"/>
      <c r="H15" s="248"/>
      <c r="I15" s="248"/>
      <c r="J15" s="248"/>
      <c r="K15" s="248"/>
    </row>
    <row r="17" spans="1:1" ht="14.25" x14ac:dyDescent="0.2">
      <c r="A17" s="21" t="s">
        <v>202</v>
      </c>
    </row>
    <row r="18" spans="1:1" ht="14.25" x14ac:dyDescent="0.2">
      <c r="A18" s="21" t="s">
        <v>203</v>
      </c>
    </row>
    <row r="19" spans="1:1" x14ac:dyDescent="0.2">
      <c r="A19" s="21" t="s">
        <v>96</v>
      </c>
    </row>
    <row r="21" spans="1:1" x14ac:dyDescent="0.2">
      <c r="A21" s="21" t="s">
        <v>700</v>
      </c>
    </row>
  </sheetData>
  <mergeCells count="3">
    <mergeCell ref="A5:B5"/>
    <mergeCell ref="C4:D4"/>
    <mergeCell ref="F4:G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Footer>&amp;R&amp;A</oddFooter>
  </headerFooter>
  <rowBreaks count="1" manualBreakCount="1">
    <brk id="47" max="16383" man="1"/>
  </rowBreaks>
  <colBreaks count="1" manualBreakCount="1">
    <brk id="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>
    <tabColor rgb="FF00B050"/>
    <pageSetUpPr fitToPage="1"/>
  </sheetPr>
  <dimension ref="A1:K13"/>
  <sheetViews>
    <sheetView zoomScaleNormal="100" workbookViewId="0"/>
  </sheetViews>
  <sheetFormatPr baseColWidth="10" defaultColWidth="11" defaultRowHeight="12" x14ac:dyDescent="0.2"/>
  <cols>
    <col min="1" max="1" width="20" style="21" customWidth="1"/>
    <col min="2" max="2" width="14.75" style="21" customWidth="1"/>
    <col min="3" max="3" width="10.25" style="21" customWidth="1"/>
    <col min="4" max="4" width="11.875" style="21" customWidth="1"/>
    <col min="5" max="5" width="10.375" style="21" customWidth="1"/>
    <col min="6" max="6" width="11.875" style="21" customWidth="1"/>
    <col min="7" max="7" width="9.875" style="21" bestFit="1" customWidth="1"/>
    <col min="8" max="8" width="11.375" style="21" customWidth="1"/>
    <col min="9" max="9" width="9.375" style="21" customWidth="1"/>
    <col min="10" max="16384" width="11" style="21"/>
  </cols>
  <sheetData>
    <row r="1" spans="1:11" x14ac:dyDescent="0.2">
      <c r="A1" s="84" t="s">
        <v>195</v>
      </c>
      <c r="B1" s="211"/>
      <c r="C1" s="211"/>
      <c r="D1" s="211"/>
      <c r="E1" s="211"/>
      <c r="F1" s="211"/>
      <c r="G1" s="211"/>
      <c r="H1" s="211"/>
      <c r="I1" s="211"/>
    </row>
    <row r="2" spans="1:11" x14ac:dyDescent="0.2">
      <c r="B2" s="17"/>
      <c r="C2" s="17"/>
      <c r="D2" s="17"/>
      <c r="E2" s="17"/>
      <c r="F2" s="17"/>
      <c r="G2" s="17"/>
      <c r="H2" s="17"/>
      <c r="I2" s="17"/>
    </row>
    <row r="3" spans="1:11" ht="24.75" thickBot="1" x14ac:dyDescent="0.25">
      <c r="A3" s="708" t="s">
        <v>136</v>
      </c>
      <c r="B3" s="708"/>
      <c r="C3" s="249" t="s">
        <v>865</v>
      </c>
      <c r="D3" s="170" t="s">
        <v>864</v>
      </c>
      <c r="E3" s="249" t="s">
        <v>766</v>
      </c>
      <c r="F3" s="654" t="s">
        <v>767</v>
      </c>
      <c r="G3" s="249" t="s">
        <v>689</v>
      </c>
      <c r="H3" s="654" t="s">
        <v>690</v>
      </c>
      <c r="I3" s="249" t="s">
        <v>269</v>
      </c>
    </row>
    <row r="4" spans="1:11" ht="12" customHeight="1" x14ac:dyDescent="0.2">
      <c r="A4" s="709" t="s">
        <v>80</v>
      </c>
      <c r="B4" s="709"/>
      <c r="C4" s="169">
        <f>SUM(C5:C7)</f>
        <v>142096.98699999999</v>
      </c>
      <c r="D4" s="250">
        <f>(C4-E4)/E4</f>
        <v>2.7885787242661376E-2</v>
      </c>
      <c r="E4" s="169">
        <f>SUM(E5:E7)</f>
        <v>138242</v>
      </c>
      <c r="F4" s="334">
        <f>(E4-G4)/G4</f>
        <v>1.7390472405596154E-2</v>
      </c>
      <c r="G4" s="171">
        <f>SUM(G5:G7)</f>
        <v>135879</v>
      </c>
      <c r="H4" s="334">
        <f>(G4-I4)/I4</f>
        <v>7.0992811652689322E-2</v>
      </c>
      <c r="I4" s="171">
        <v>126872</v>
      </c>
      <c r="K4" s="27"/>
    </row>
    <row r="5" spans="1:11" ht="12" customHeight="1" x14ac:dyDescent="0.2">
      <c r="A5" s="710" t="s">
        <v>81</v>
      </c>
      <c r="B5" s="711"/>
      <c r="C5" s="248">
        <v>5924.4380000000001</v>
      </c>
      <c r="D5" s="250">
        <f t="shared" ref="D5:F8" si="0">(C5-E5)/E5</f>
        <v>6.4971777817724272E-2</v>
      </c>
      <c r="E5" s="248">
        <v>5563</v>
      </c>
      <c r="F5" s="334">
        <f t="shared" si="0"/>
        <v>-3.0667363652204217E-2</v>
      </c>
      <c r="G5" s="194">
        <v>5739</v>
      </c>
      <c r="H5" s="334">
        <f>(G5-I5)/I5</f>
        <v>-1.1199172984148863E-2</v>
      </c>
      <c r="I5" s="194">
        <v>5804</v>
      </c>
      <c r="K5" s="27"/>
    </row>
    <row r="6" spans="1:11" ht="12" customHeight="1" x14ac:dyDescent="0.2">
      <c r="A6" s="710" t="s">
        <v>164</v>
      </c>
      <c r="B6" s="711"/>
      <c r="C6" s="248">
        <v>131569.682</v>
      </c>
      <c r="D6" s="250">
        <f>(C6-E6)/E6</f>
        <v>2.7783756337247004E-2</v>
      </c>
      <c r="E6" s="248">
        <v>128013</v>
      </c>
      <c r="F6" s="334">
        <f>(E6-G6)/G6</f>
        <v>-4.3726428722017037E-4</v>
      </c>
      <c r="G6" s="194">
        <v>128069</v>
      </c>
      <c r="H6" s="334">
        <f>(G6-I6)/I6</f>
        <v>7.4674834270370055E-2</v>
      </c>
      <c r="I6" s="194">
        <v>119170</v>
      </c>
    </row>
    <row r="7" spans="1:11" ht="12" customHeight="1" x14ac:dyDescent="0.2">
      <c r="A7" s="710" t="s">
        <v>165</v>
      </c>
      <c r="B7" s="711"/>
      <c r="C7" s="248">
        <f>366.603+4236.264</f>
        <v>4602.8670000000002</v>
      </c>
      <c r="D7" s="250">
        <f t="shared" si="0"/>
        <v>-1.3530432918988386E-2</v>
      </c>
      <c r="E7" s="248">
        <v>4666</v>
      </c>
      <c r="F7" s="334">
        <f t="shared" si="0"/>
        <v>1.2530178657653308</v>
      </c>
      <c r="G7" s="194">
        <f>383+1688</f>
        <v>2071</v>
      </c>
      <c r="H7" s="334">
        <f>(G7-I7)/I7</f>
        <v>9.114857744994731E-2</v>
      </c>
      <c r="I7" s="194">
        <v>1898</v>
      </c>
    </row>
    <row r="8" spans="1:11" ht="12" customHeight="1" x14ac:dyDescent="0.2">
      <c r="A8" s="712" t="s">
        <v>106</v>
      </c>
      <c r="B8" s="712"/>
      <c r="C8" s="248">
        <v>36733.525999999998</v>
      </c>
      <c r="D8" s="250">
        <f t="shared" si="0"/>
        <v>8.8787894955243293E-2</v>
      </c>
      <c r="E8" s="248">
        <v>33738</v>
      </c>
      <c r="F8" s="334">
        <f t="shared" si="0"/>
        <v>-0.11348766324197913</v>
      </c>
      <c r="G8" s="194">
        <v>38057</v>
      </c>
      <c r="H8" s="334">
        <f>(G8-I8)/I8</f>
        <v>-5.314358221580872E-2</v>
      </c>
      <c r="I8" s="194">
        <v>40193</v>
      </c>
    </row>
    <row r="9" spans="1:11" s="362" customFormat="1" ht="12" customHeight="1" x14ac:dyDescent="0.2">
      <c r="A9" s="396" t="s">
        <v>866</v>
      </c>
      <c r="B9" s="396"/>
      <c r="C9" s="248">
        <f>26902.374+1.888</f>
        <v>26904.261999999999</v>
      </c>
      <c r="D9" s="250">
        <f>(C9-E9)/E9</f>
        <v>-1.6405439988301143E-2</v>
      </c>
      <c r="E9" s="248">
        <v>27353</v>
      </c>
      <c r="F9" s="334">
        <f>(E9-G9)/G9</f>
        <v>-9.0928850891175191E-3</v>
      </c>
      <c r="G9" s="194">
        <v>27604</v>
      </c>
      <c r="H9" s="334">
        <f t="shared" ref="H9:H10" si="1">(G9-I9)/I9</f>
        <v>4.3274500170074455E-2</v>
      </c>
      <c r="I9" s="194">
        <v>26459</v>
      </c>
    </row>
    <row r="10" spans="1:11" x14ac:dyDescent="0.2">
      <c r="A10" s="709" t="s">
        <v>166</v>
      </c>
      <c r="B10" s="709"/>
      <c r="C10" s="251">
        <v>9886.982</v>
      </c>
      <c r="D10" s="250">
        <f>(C10-E10)/E10</f>
        <v>-0.1256648390519986</v>
      </c>
      <c r="E10" s="251">
        <v>11308</v>
      </c>
      <c r="F10" s="334">
        <f>(E10-G10)/G10</f>
        <v>-3.9660297239915071E-2</v>
      </c>
      <c r="G10" s="335">
        <v>11775</v>
      </c>
      <c r="H10" s="334">
        <f t="shared" si="1"/>
        <v>0.14721356196414653</v>
      </c>
      <c r="I10" s="335">
        <v>10264</v>
      </c>
    </row>
    <row r="11" spans="1:11" x14ac:dyDescent="0.2">
      <c r="A11" s="94" t="s">
        <v>7</v>
      </c>
      <c r="B11" s="245"/>
      <c r="C11" s="218">
        <f>C4+C8+C9+C10</f>
        <v>215621.75699999995</v>
      </c>
      <c r="D11" s="252">
        <f>(C11-E11)/E11</f>
        <v>2.3645714746891412E-2</v>
      </c>
      <c r="E11" s="218">
        <f>E4+E8+E9+E10</f>
        <v>210641</v>
      </c>
      <c r="F11" s="252">
        <f>(E11-G11)/G11</f>
        <v>-1.253545226542906E-2</v>
      </c>
      <c r="G11" s="218">
        <f>G4+G8+G9+G10</f>
        <v>213315</v>
      </c>
      <c r="H11" s="252">
        <f>(G11-I11)/I11</f>
        <v>4.6749563271635229E-2</v>
      </c>
      <c r="I11" s="218">
        <f>I4+I8+I9+I10</f>
        <v>203788</v>
      </c>
    </row>
    <row r="12" spans="1:11" x14ac:dyDescent="0.2">
      <c r="A12" s="65"/>
      <c r="B12" s="65"/>
      <c r="C12" s="65"/>
      <c r="D12" s="65"/>
      <c r="E12" s="247"/>
      <c r="F12" s="65"/>
      <c r="G12" s="253"/>
      <c r="H12" s="254"/>
      <c r="I12" s="253"/>
    </row>
    <row r="13" spans="1:11" x14ac:dyDescent="0.2">
      <c r="A13" s="706"/>
      <c r="B13" s="707"/>
      <c r="C13" s="707"/>
      <c r="D13" s="707"/>
      <c r="E13" s="707"/>
      <c r="F13" s="707"/>
      <c r="G13" s="707"/>
      <c r="H13" s="707"/>
      <c r="I13" s="707"/>
    </row>
  </sheetData>
  <mergeCells count="8">
    <mergeCell ref="A13:I13"/>
    <mergeCell ref="A3:B3"/>
    <mergeCell ref="A4:B4"/>
    <mergeCell ref="A5:B5"/>
    <mergeCell ref="A6:B6"/>
    <mergeCell ref="A7:B7"/>
    <mergeCell ref="A8:B8"/>
    <mergeCell ref="A10:B10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>
    <oddFooter>&amp;R&amp;A</oddFooter>
  </headerFooter>
  <rowBreaks count="1" manualBreakCount="1">
    <brk id="18" max="16383" man="1"/>
  </rowBreaks>
  <colBreaks count="1" manualBreakCount="1">
    <brk id="1" max="1048575" man="1"/>
  </colBreaks>
  <ignoredErrors>
    <ignoredError sqref="C12 C4" formulaRange="1"/>
    <ignoredError sqref="D12:I12 E4" formula="1" formulaRange="1"/>
    <ignoredError sqref="D11:G11 H11 D7 D4 G7 G4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>
    <tabColor rgb="FF00B050"/>
    <pageSetUpPr fitToPage="1"/>
  </sheetPr>
  <dimension ref="A1:I32"/>
  <sheetViews>
    <sheetView zoomScaleNormal="100" workbookViewId="0">
      <selection sqref="A1:B10"/>
    </sheetView>
  </sheetViews>
  <sheetFormatPr baseColWidth="10" defaultColWidth="11" defaultRowHeight="12" x14ac:dyDescent="0.2"/>
  <cols>
    <col min="1" max="1" width="39.75" style="21" customWidth="1"/>
    <col min="2" max="2" width="33.875" style="21" bestFit="1" customWidth="1"/>
    <col min="3" max="4" width="10" style="21" customWidth="1"/>
    <col min="5" max="5" width="11" style="21" customWidth="1"/>
    <col min="6" max="16384" width="11" style="21"/>
  </cols>
  <sheetData>
    <row r="1" spans="1:9" x14ac:dyDescent="0.2">
      <c r="A1" s="255" t="s">
        <v>196</v>
      </c>
      <c r="B1" s="256"/>
      <c r="C1" s="211"/>
      <c r="D1" s="17"/>
    </row>
    <row r="2" spans="1:9" x14ac:dyDescent="0.2">
      <c r="A2" s="17"/>
      <c r="B2" s="17"/>
      <c r="C2" s="17"/>
      <c r="D2" s="17"/>
    </row>
    <row r="3" spans="1:9" x14ac:dyDescent="0.2">
      <c r="A3" s="17"/>
      <c r="B3" s="17"/>
    </row>
    <row r="4" spans="1:9" ht="12.75" thickBot="1" x14ac:dyDescent="0.25">
      <c r="A4" s="1"/>
      <c r="B4" s="86" t="s">
        <v>86</v>
      </c>
      <c r="C4" s="2">
        <v>43100</v>
      </c>
      <c r="D4" s="2">
        <v>42735</v>
      </c>
    </row>
    <row r="5" spans="1:9" s="362" customFormat="1" x14ac:dyDescent="0.2">
      <c r="A5" s="257" t="s">
        <v>711</v>
      </c>
      <c r="B5" s="258" t="s">
        <v>763</v>
      </c>
      <c r="C5" s="22">
        <v>37</v>
      </c>
      <c r="D5" s="22">
        <v>32</v>
      </c>
      <c r="G5" s="258"/>
      <c r="H5" s="22"/>
      <c r="I5" s="22"/>
    </row>
    <row r="6" spans="1:9" s="362" customFormat="1" x14ac:dyDescent="0.2">
      <c r="A6" s="257"/>
      <c r="B6" s="362" t="s">
        <v>268</v>
      </c>
      <c r="C6" s="378">
        <v>24</v>
      </c>
      <c r="D6" s="378">
        <v>19</v>
      </c>
      <c r="G6" s="258"/>
      <c r="H6" s="22"/>
      <c r="I6" s="22"/>
    </row>
    <row r="7" spans="1:9" s="362" customFormat="1" x14ac:dyDescent="0.2">
      <c r="A7" s="17"/>
      <c r="B7" s="17" t="s">
        <v>869</v>
      </c>
      <c r="C7" s="22">
        <v>24</v>
      </c>
      <c r="D7" s="22">
        <v>24</v>
      </c>
      <c r="G7" s="17"/>
      <c r="H7" s="22"/>
      <c r="I7" s="22"/>
    </row>
    <row r="8" spans="1:9" s="362" customFormat="1" x14ac:dyDescent="0.2">
      <c r="A8" s="17"/>
      <c r="B8" s="258" t="s">
        <v>867</v>
      </c>
      <c r="C8" s="22">
        <v>23</v>
      </c>
      <c r="D8" s="22">
        <v>0</v>
      </c>
      <c r="H8" s="378"/>
      <c r="I8" s="378"/>
    </row>
    <row r="9" spans="1:9" x14ac:dyDescent="0.2">
      <c r="B9" s="258" t="s">
        <v>125</v>
      </c>
      <c r="C9" s="22">
        <v>15</v>
      </c>
      <c r="D9" s="22">
        <v>10</v>
      </c>
      <c r="G9" s="258"/>
      <c r="H9" s="22"/>
      <c r="I9" s="22"/>
    </row>
    <row r="10" spans="1:9" s="362" customFormat="1" x14ac:dyDescent="0.2">
      <c r="B10" s="258" t="s">
        <v>870</v>
      </c>
      <c r="C10" s="22">
        <v>14</v>
      </c>
      <c r="D10" s="22">
        <v>7</v>
      </c>
      <c r="G10" s="258"/>
      <c r="H10" s="22"/>
      <c r="I10" s="22"/>
    </row>
    <row r="11" spans="1:9" s="362" customFormat="1" x14ac:dyDescent="0.2">
      <c r="B11" s="258" t="s">
        <v>868</v>
      </c>
      <c r="C11" s="22">
        <v>13</v>
      </c>
      <c r="D11" s="22">
        <v>9</v>
      </c>
      <c r="G11" s="258"/>
      <c r="H11" s="22"/>
      <c r="I11" s="22"/>
    </row>
    <row r="12" spans="1:9" s="362" customFormat="1" x14ac:dyDescent="0.2">
      <c r="B12" s="362" t="s">
        <v>691</v>
      </c>
      <c r="C12" s="378">
        <v>12</v>
      </c>
      <c r="D12" s="378">
        <v>9</v>
      </c>
      <c r="G12" s="258"/>
      <c r="H12" s="22"/>
      <c r="I12" s="22"/>
    </row>
    <row r="13" spans="1:9" x14ac:dyDescent="0.2">
      <c r="A13" s="257"/>
      <c r="B13" s="259" t="s">
        <v>88</v>
      </c>
      <c r="C13" s="379">
        <v>47</v>
      </c>
      <c r="D13" s="379">
        <v>51</v>
      </c>
      <c r="G13" s="259"/>
      <c r="H13" s="379"/>
      <c r="I13" s="379"/>
    </row>
    <row r="14" spans="1:9" x14ac:dyDescent="0.2">
      <c r="A14" s="260"/>
      <c r="B14" s="261"/>
      <c r="C14" s="262"/>
      <c r="D14" s="262"/>
      <c r="G14" s="258"/>
      <c r="H14" s="22"/>
      <c r="I14" s="22"/>
    </row>
    <row r="15" spans="1:9" x14ac:dyDescent="0.2">
      <c r="A15" s="263" t="s">
        <v>101</v>
      </c>
      <c r="B15" s="264"/>
      <c r="C15" s="265">
        <f>SUM(C5:C14)</f>
        <v>209</v>
      </c>
      <c r="D15" s="265">
        <f>SUM(D5:D14)</f>
        <v>161</v>
      </c>
      <c r="G15" s="258"/>
      <c r="H15" s="22"/>
      <c r="I15" s="22"/>
    </row>
    <row r="16" spans="1:9" x14ac:dyDescent="0.2">
      <c r="A16" s="257" t="s">
        <v>89</v>
      </c>
      <c r="B16" s="17" t="s">
        <v>906</v>
      </c>
      <c r="C16" s="203">
        <v>0</v>
      </c>
      <c r="D16" s="203">
        <v>127</v>
      </c>
      <c r="G16" s="258"/>
      <c r="H16" s="22"/>
      <c r="I16" s="22"/>
    </row>
    <row r="17" spans="1:6" x14ac:dyDescent="0.2">
      <c r="A17" s="257"/>
      <c r="B17" s="99" t="s">
        <v>871</v>
      </c>
      <c r="C17" s="378">
        <v>20</v>
      </c>
      <c r="D17" s="378">
        <v>0</v>
      </c>
    </row>
    <row r="18" spans="1:6" x14ac:dyDescent="0.2">
      <c r="A18" s="263" t="s">
        <v>134</v>
      </c>
      <c r="B18" s="245"/>
      <c r="C18" s="218">
        <f>SUM(C16:C17)</f>
        <v>20</v>
      </c>
      <c r="D18" s="218">
        <f>SUM(D16:D17)</f>
        <v>127</v>
      </c>
    </row>
    <row r="19" spans="1:6" s="362" customFormat="1" x14ac:dyDescent="0.2">
      <c r="A19" s="257" t="s">
        <v>102</v>
      </c>
      <c r="B19" s="17" t="s">
        <v>692</v>
      </c>
      <c r="C19" s="203">
        <v>60</v>
      </c>
      <c r="D19" s="203">
        <v>33</v>
      </c>
    </row>
    <row r="20" spans="1:6" x14ac:dyDescent="0.2">
      <c r="A20" s="257"/>
      <c r="B20" s="17" t="s">
        <v>90</v>
      </c>
      <c r="C20" s="203">
        <v>2</v>
      </c>
      <c r="D20" s="203">
        <v>2</v>
      </c>
    </row>
    <row r="21" spans="1:6" x14ac:dyDescent="0.2">
      <c r="A21" s="266" t="s">
        <v>712</v>
      </c>
      <c r="B21" s="245"/>
      <c r="C21" s="218">
        <f>C19+C20</f>
        <v>62</v>
      </c>
      <c r="D21" s="218">
        <f>D19+D20</f>
        <v>35</v>
      </c>
    </row>
    <row r="22" spans="1:6" s="362" customFormat="1" x14ac:dyDescent="0.2">
      <c r="A22" s="509" t="s">
        <v>93</v>
      </c>
      <c r="B22" s="510"/>
      <c r="C22" s="511">
        <f>C15+C18+C21</f>
        <v>291</v>
      </c>
      <c r="D22" s="511">
        <f>D15+D18+D21</f>
        <v>323</v>
      </c>
    </row>
    <row r="23" spans="1:6" s="362" customFormat="1" x14ac:dyDescent="0.2">
      <c r="A23" s="508"/>
      <c r="B23" s="17"/>
      <c r="C23" s="202"/>
      <c r="D23" s="202"/>
    </row>
    <row r="24" spans="1:6" s="362" customFormat="1" x14ac:dyDescent="0.2">
      <c r="A24" s="267" t="s">
        <v>872</v>
      </c>
      <c r="B24" s="163"/>
      <c r="C24" s="163"/>
      <c r="D24" s="184"/>
      <c r="E24" s="184"/>
      <c r="F24" s="184"/>
    </row>
    <row r="25" spans="1:6" x14ac:dyDescent="0.2">
      <c r="A25" s="267"/>
      <c r="C25" s="79"/>
      <c r="D25" s="79"/>
      <c r="F25" s="27"/>
    </row>
    <row r="26" spans="1:6" x14ac:dyDescent="0.2">
      <c r="A26" s="566" t="s">
        <v>776</v>
      </c>
      <c r="B26" s="65"/>
      <c r="C26" s="65"/>
      <c r="D26" s="65"/>
    </row>
    <row r="27" spans="1:6" x14ac:dyDescent="0.2">
      <c r="A27" s="21" t="s">
        <v>777</v>
      </c>
    </row>
    <row r="32" spans="1:6" x14ac:dyDescent="0.2">
      <c r="A32" s="17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2" fitToHeight="0" orientation="portrait" r:id="rId1"/>
  <headerFooter alignWithMargins="0">
    <oddFooter>&amp;R&amp;A</oddFooter>
  </headerFooter>
  <ignoredErrors>
    <ignoredError sqref="C15:D15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>
    <tabColor rgb="FF00B050"/>
    <pageSetUpPr fitToPage="1"/>
  </sheetPr>
  <dimension ref="A1:F17"/>
  <sheetViews>
    <sheetView zoomScaleNormal="100" workbookViewId="0"/>
  </sheetViews>
  <sheetFormatPr baseColWidth="10" defaultColWidth="11" defaultRowHeight="12" x14ac:dyDescent="0.2"/>
  <cols>
    <col min="1" max="1" width="38.75" style="21" bestFit="1" customWidth="1"/>
    <col min="2" max="2" width="6.75" style="21" customWidth="1"/>
    <col min="3" max="3" width="6.625" style="21" customWidth="1"/>
    <col min="4" max="4" width="10.25" style="21" customWidth="1"/>
    <col min="5" max="5" width="8.5" style="21" customWidth="1"/>
    <col min="6" max="6" width="11.5" style="21" customWidth="1"/>
    <col min="7" max="16384" width="11" style="21"/>
  </cols>
  <sheetData>
    <row r="1" spans="1:6" x14ac:dyDescent="0.2">
      <c r="A1" s="256" t="s">
        <v>618</v>
      </c>
      <c r="B1" s="256"/>
      <c r="C1" s="211"/>
    </row>
    <row r="2" spans="1:6" x14ac:dyDescent="0.2">
      <c r="A2" s="17" t="s">
        <v>154</v>
      </c>
      <c r="B2" s="210"/>
      <c r="C2" s="17"/>
    </row>
    <row r="3" spans="1:6" x14ac:dyDescent="0.2">
      <c r="A3" s="268"/>
      <c r="B3" s="210"/>
      <c r="C3" s="17"/>
    </row>
    <row r="4" spans="1:6" ht="60.75" customHeight="1" thickBot="1" x14ac:dyDescent="0.25">
      <c r="A4" s="71">
        <v>2017</v>
      </c>
      <c r="B4" s="114" t="s">
        <v>140</v>
      </c>
      <c r="C4" s="114" t="s">
        <v>141</v>
      </c>
      <c r="D4" s="114" t="s">
        <v>273</v>
      </c>
      <c r="E4" s="114" t="s">
        <v>274</v>
      </c>
      <c r="F4" s="114" t="s">
        <v>91</v>
      </c>
    </row>
    <row r="5" spans="1:6" x14ac:dyDescent="0.2">
      <c r="A5" s="100" t="s">
        <v>87</v>
      </c>
      <c r="B5" s="183">
        <v>209</v>
      </c>
      <c r="C5" s="183">
        <v>209</v>
      </c>
      <c r="D5" s="183">
        <v>-15</v>
      </c>
      <c r="E5" s="669">
        <v>-18</v>
      </c>
      <c r="F5" s="269">
        <v>0</v>
      </c>
    </row>
    <row r="6" spans="1:6" x14ac:dyDescent="0.2">
      <c r="A6" s="100" t="s">
        <v>764</v>
      </c>
      <c r="B6" s="183">
        <v>20</v>
      </c>
      <c r="C6" s="183">
        <v>20</v>
      </c>
      <c r="D6" s="270">
        <v>19</v>
      </c>
      <c r="E6" s="270">
        <v>-17</v>
      </c>
      <c r="F6" s="270">
        <v>-17</v>
      </c>
    </row>
    <row r="7" spans="1:6" x14ac:dyDescent="0.2">
      <c r="A7" s="101" t="s">
        <v>102</v>
      </c>
      <c r="B7" s="183">
        <v>62</v>
      </c>
      <c r="C7" s="183">
        <v>62</v>
      </c>
      <c r="D7" s="183">
        <v>0</v>
      </c>
      <c r="E7" s="183">
        <v>60</v>
      </c>
      <c r="F7" s="183">
        <v>60</v>
      </c>
    </row>
    <row r="8" spans="1:6" x14ac:dyDescent="0.2">
      <c r="A8" s="82" t="s">
        <v>7</v>
      </c>
      <c r="B8" s="164">
        <f>SUM(B5:B7)</f>
        <v>291</v>
      </c>
      <c r="C8" s="164">
        <f>SUM(C5:C7)</f>
        <v>291</v>
      </c>
      <c r="D8" s="359">
        <f>SUM(D5:D7)</f>
        <v>4</v>
      </c>
      <c r="E8" s="359">
        <f>SUM(E5:E7)</f>
        <v>25</v>
      </c>
      <c r="F8" s="359">
        <f>SUM(F5:F7)</f>
        <v>43</v>
      </c>
    </row>
    <row r="9" spans="1:6" s="362" customFormat="1" x14ac:dyDescent="0.2">
      <c r="A9" s="89"/>
      <c r="B9" s="163"/>
      <c r="C9" s="163"/>
      <c r="D9" s="184"/>
      <c r="E9" s="184"/>
      <c r="F9" s="184"/>
    </row>
    <row r="10" spans="1:6" s="362" customFormat="1" x14ac:dyDescent="0.2">
      <c r="A10" s="89"/>
      <c r="B10" s="163"/>
      <c r="C10" s="163"/>
      <c r="D10" s="184"/>
      <c r="E10" s="184"/>
      <c r="F10" s="184"/>
    </row>
    <row r="11" spans="1:6" ht="60.75" thickBot="1" x14ac:dyDescent="0.25">
      <c r="A11" s="655">
        <v>2016</v>
      </c>
      <c r="B11" s="355" t="s">
        <v>140</v>
      </c>
      <c r="C11" s="355" t="s">
        <v>141</v>
      </c>
      <c r="D11" s="355" t="s">
        <v>273</v>
      </c>
      <c r="E11" s="355" t="s">
        <v>274</v>
      </c>
      <c r="F11" s="355" t="s">
        <v>91</v>
      </c>
    </row>
    <row r="12" spans="1:6" x14ac:dyDescent="0.2">
      <c r="A12" s="100" t="s">
        <v>87</v>
      </c>
      <c r="B12" s="183">
        <v>161</v>
      </c>
      <c r="C12" s="183">
        <v>161</v>
      </c>
      <c r="D12" s="183">
        <v>0</v>
      </c>
      <c r="E12" s="183">
        <v>-39</v>
      </c>
      <c r="F12" s="269">
        <v>0</v>
      </c>
    </row>
    <row r="13" spans="1:6" x14ac:dyDescent="0.2">
      <c r="A13" s="100" t="s">
        <v>764</v>
      </c>
      <c r="B13" s="183">
        <v>127</v>
      </c>
      <c r="C13" s="183">
        <v>127</v>
      </c>
      <c r="D13" s="270">
        <v>0</v>
      </c>
      <c r="E13" s="270">
        <v>19</v>
      </c>
      <c r="F13" s="270">
        <v>19</v>
      </c>
    </row>
    <row r="14" spans="1:6" x14ac:dyDescent="0.2">
      <c r="A14" s="101" t="s">
        <v>102</v>
      </c>
      <c r="B14" s="183">
        <v>35</v>
      </c>
      <c r="C14" s="183">
        <v>35</v>
      </c>
      <c r="D14" s="183">
        <v>62</v>
      </c>
      <c r="E14" s="183">
        <v>0</v>
      </c>
      <c r="F14" s="183">
        <v>33</v>
      </c>
    </row>
    <row r="15" spans="1:6" x14ac:dyDescent="0.2">
      <c r="A15" s="82" t="s">
        <v>7</v>
      </c>
      <c r="B15" s="164">
        <f>SUM(B12:B14)</f>
        <v>323</v>
      </c>
      <c r="C15" s="164">
        <f>SUM(C12:C14)</f>
        <v>323</v>
      </c>
      <c r="D15" s="359">
        <f>SUM(D12:D14)</f>
        <v>62</v>
      </c>
      <c r="E15" s="359">
        <f>SUM(E12:E14)</f>
        <v>-20</v>
      </c>
      <c r="F15" s="359">
        <f>SUM(F12:F14)</f>
        <v>52</v>
      </c>
    </row>
    <row r="16" spans="1:6" x14ac:dyDescent="0.2">
      <c r="A16" s="89"/>
      <c r="B16" s="163"/>
      <c r="C16" s="163"/>
      <c r="D16" s="184"/>
      <c r="E16" s="184"/>
      <c r="F16" s="184"/>
    </row>
    <row r="17" spans="1:6" x14ac:dyDescent="0.2">
      <c r="A17" s="267" t="s">
        <v>778</v>
      </c>
      <c r="B17" s="163"/>
      <c r="C17" s="163"/>
      <c r="D17" s="184"/>
      <c r="E17" s="184"/>
      <c r="F17" s="184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2" fitToHeight="0" orientation="portrait" r:id="rId1"/>
  <headerFooter alignWithMargins="0"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tabColor rgb="FF00B050"/>
    <pageSetUpPr fitToPage="1"/>
  </sheetPr>
  <dimension ref="A1:D8"/>
  <sheetViews>
    <sheetView zoomScaleNormal="100" workbookViewId="0"/>
  </sheetViews>
  <sheetFormatPr baseColWidth="10" defaultColWidth="11" defaultRowHeight="12" x14ac:dyDescent="0.2"/>
  <cols>
    <col min="1" max="1" width="36" style="21" customWidth="1"/>
    <col min="2" max="2" width="12.625" style="21" customWidth="1"/>
    <col min="3" max="16384" width="11" style="21"/>
  </cols>
  <sheetData>
    <row r="1" spans="1:4" x14ac:dyDescent="0.2">
      <c r="A1" s="210" t="s">
        <v>198</v>
      </c>
      <c r="B1" s="210"/>
      <c r="C1" s="17"/>
      <c r="D1" s="17"/>
    </row>
    <row r="2" spans="1:4" x14ac:dyDescent="0.2">
      <c r="A2" s="210"/>
      <c r="B2" s="210"/>
      <c r="C2" s="17"/>
      <c r="D2" s="17"/>
    </row>
    <row r="3" spans="1:4" ht="24.75" thickBot="1" x14ac:dyDescent="0.25">
      <c r="A3" s="290" t="s">
        <v>136</v>
      </c>
      <c r="B3" s="271" t="s">
        <v>873</v>
      </c>
      <c r="C3" s="512" t="s">
        <v>765</v>
      </c>
      <c r="D3" s="17"/>
    </row>
    <row r="4" spans="1:4" x14ac:dyDescent="0.2">
      <c r="A4" s="17" t="s">
        <v>64</v>
      </c>
      <c r="B4" s="184">
        <v>229</v>
      </c>
      <c r="C4" s="183">
        <v>288</v>
      </c>
      <c r="D4" s="99"/>
    </row>
    <row r="5" spans="1:4" x14ac:dyDescent="0.2">
      <c r="A5" s="17" t="s">
        <v>65</v>
      </c>
      <c r="B5" s="184">
        <v>0</v>
      </c>
      <c r="C5" s="183">
        <v>0</v>
      </c>
      <c r="D5" s="99"/>
    </row>
    <row r="6" spans="1:4" x14ac:dyDescent="0.2">
      <c r="A6" s="17" t="s">
        <v>35</v>
      </c>
      <c r="B6" s="184">
        <v>62</v>
      </c>
      <c r="C6" s="183">
        <v>35</v>
      </c>
      <c r="D6" s="99"/>
    </row>
    <row r="7" spans="1:4" x14ac:dyDescent="0.2">
      <c r="A7" s="94" t="s">
        <v>7</v>
      </c>
      <c r="B7" s="272">
        <f>SUM(B4:B6)</f>
        <v>291</v>
      </c>
      <c r="C7" s="273">
        <f>SUM(C4:C6)</f>
        <v>323</v>
      </c>
      <c r="D7" s="99"/>
    </row>
    <row r="8" spans="1:4" x14ac:dyDescent="0.2">
      <c r="D8" s="99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>
    <tabColor rgb="FF00B050"/>
    <pageSetUpPr fitToPage="1"/>
  </sheetPr>
  <dimension ref="A1:E10"/>
  <sheetViews>
    <sheetView zoomScaleNormal="100" workbookViewId="0"/>
  </sheetViews>
  <sheetFormatPr baseColWidth="10" defaultColWidth="11" defaultRowHeight="12" x14ac:dyDescent="0.2"/>
  <cols>
    <col min="1" max="1" width="4.625" style="21" customWidth="1"/>
    <col min="2" max="2" width="29.125" style="21" customWidth="1"/>
    <col min="3" max="5" width="11.625" style="21" customWidth="1"/>
    <col min="6" max="16384" width="11" style="21"/>
  </cols>
  <sheetData>
    <row r="1" spans="1:5" x14ac:dyDescent="0.2">
      <c r="A1" s="84" t="s">
        <v>275</v>
      </c>
    </row>
    <row r="3" spans="1:5" ht="26.25" x14ac:dyDescent="0.2">
      <c r="A3" s="714" t="s">
        <v>136</v>
      </c>
      <c r="B3" s="714"/>
      <c r="C3" s="716" t="s">
        <v>92</v>
      </c>
      <c r="D3" s="384" t="s">
        <v>875</v>
      </c>
      <c r="E3" s="385" t="s">
        <v>874</v>
      </c>
    </row>
    <row r="4" spans="1:5" ht="12.75" thickBot="1" x14ac:dyDescent="0.25">
      <c r="A4" s="715"/>
      <c r="B4" s="715"/>
      <c r="C4" s="717"/>
      <c r="D4" s="274"/>
      <c r="E4" s="275"/>
    </row>
    <row r="5" spans="1:5" ht="14.25" x14ac:dyDescent="0.2">
      <c r="A5" s="713" t="s">
        <v>276</v>
      </c>
      <c r="B5" s="713"/>
      <c r="C5" s="79">
        <v>206949</v>
      </c>
      <c r="D5" s="661">
        <v>1655</v>
      </c>
      <c r="E5" s="79">
        <v>1854</v>
      </c>
    </row>
    <row r="6" spans="1:5" s="362" customFormat="1" x14ac:dyDescent="0.2">
      <c r="A6" s="382" t="s">
        <v>271</v>
      </c>
      <c r="B6" s="382"/>
      <c r="C6" s="206"/>
      <c r="D6" s="171">
        <v>933</v>
      </c>
      <c r="E6" s="171">
        <v>701</v>
      </c>
    </row>
    <row r="7" spans="1:5" ht="12.75" customHeight="1" x14ac:dyDescent="0.2">
      <c r="A7" s="263" t="s">
        <v>151</v>
      </c>
      <c r="B7" s="112"/>
      <c r="C7" s="276">
        <f>SUM(C5:C6)</f>
        <v>206949</v>
      </c>
      <c r="D7" s="276">
        <f>SUM(D5:D6)</f>
        <v>2588</v>
      </c>
      <c r="E7" s="277">
        <f>SUM(E5:E6)</f>
        <v>2555</v>
      </c>
    </row>
    <row r="10" spans="1:5" ht="14.25" x14ac:dyDescent="0.2">
      <c r="A10" s="383" t="s">
        <v>288</v>
      </c>
      <c r="B10" s="383"/>
      <c r="C10" s="383"/>
      <c r="D10" s="383"/>
    </row>
  </sheetData>
  <mergeCells count="3">
    <mergeCell ref="A5:B5"/>
    <mergeCell ref="A3:B4"/>
    <mergeCell ref="C3:C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24" max="16383" man="1"/>
  </rowBreaks>
  <colBreaks count="1" manualBreakCount="1">
    <brk id="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>
    <tabColor rgb="FF00B050"/>
    <pageSetUpPr fitToPage="1"/>
  </sheetPr>
  <dimension ref="A1:L43"/>
  <sheetViews>
    <sheetView showGridLines="0" zoomScaleNormal="100" workbookViewId="0"/>
  </sheetViews>
  <sheetFormatPr baseColWidth="10" defaultColWidth="11" defaultRowHeight="12" x14ac:dyDescent="0.2"/>
  <cols>
    <col min="1" max="1" width="42.5" style="21" customWidth="1"/>
    <col min="2" max="2" width="26.5" style="21" customWidth="1"/>
    <col min="3" max="4" width="10" style="21" customWidth="1"/>
    <col min="5" max="5" width="21" style="21" customWidth="1"/>
    <col min="6" max="16384" width="11" style="21"/>
  </cols>
  <sheetData>
    <row r="1" spans="1:12" ht="13.5" customHeight="1" x14ac:dyDescent="0.2">
      <c r="A1" s="210" t="s">
        <v>619</v>
      </c>
      <c r="B1" s="345"/>
      <c r="C1" s="345"/>
      <c r="D1" s="346"/>
      <c r="E1" s="346"/>
      <c r="F1" s="347"/>
      <c r="G1" s="348"/>
      <c r="H1" s="348"/>
    </row>
    <row r="2" spans="1:12" ht="13.5" customHeight="1" x14ac:dyDescent="0.2">
      <c r="A2" s="210" t="s">
        <v>620</v>
      </c>
      <c r="B2" s="345"/>
      <c r="C2" s="345"/>
      <c r="D2" s="346"/>
      <c r="E2" s="346"/>
      <c r="F2" s="347"/>
      <c r="G2" s="348"/>
      <c r="H2" s="348"/>
    </row>
    <row r="3" spans="1:12" ht="12.75" x14ac:dyDescent="0.2">
      <c r="A3" s="346"/>
      <c r="B3" s="718"/>
      <c r="C3" s="718"/>
      <c r="D3" s="348"/>
      <c r="E3" s="337"/>
      <c r="F3" s="336"/>
      <c r="G3" s="336"/>
      <c r="H3" s="336"/>
      <c r="I3" s="336"/>
      <c r="J3" s="157"/>
      <c r="K3" s="157"/>
      <c r="L3" s="157"/>
    </row>
    <row r="4" spans="1:12" ht="13.5" thickBot="1" x14ac:dyDescent="0.25">
      <c r="A4" s="407"/>
      <c r="B4" s="278">
        <v>43100</v>
      </c>
      <c r="C4" s="279">
        <v>42735</v>
      </c>
      <c r="D4" s="348"/>
    </row>
    <row r="5" spans="1:12" ht="12.75" x14ac:dyDescent="0.2">
      <c r="A5" s="280" t="s">
        <v>224</v>
      </c>
      <c r="B5" s="354">
        <v>-45</v>
      </c>
      <c r="C5" s="349">
        <v>-28</v>
      </c>
      <c r="D5" s="348"/>
    </row>
    <row r="6" spans="1:12" ht="12.75" x14ac:dyDescent="0.2">
      <c r="A6" s="280" t="s">
        <v>225</v>
      </c>
      <c r="B6" s="354">
        <v>-16</v>
      </c>
      <c r="C6" s="349">
        <v>-21</v>
      </c>
      <c r="D6" s="348"/>
    </row>
    <row r="7" spans="1:12" ht="12.75" x14ac:dyDescent="0.2">
      <c r="A7" s="280" t="s">
        <v>226</v>
      </c>
      <c r="B7" s="354">
        <v>-83</v>
      </c>
      <c r="C7" s="349">
        <v>-86</v>
      </c>
      <c r="D7" s="348"/>
    </row>
    <row r="8" spans="1:12" ht="12.75" x14ac:dyDescent="0.2">
      <c r="A8" s="280" t="s">
        <v>227</v>
      </c>
      <c r="B8" s="354">
        <v>121</v>
      </c>
      <c r="C8" s="349">
        <v>127</v>
      </c>
      <c r="D8" s="348"/>
    </row>
    <row r="9" spans="1:12" ht="12.75" x14ac:dyDescent="0.2">
      <c r="A9" s="280" t="s">
        <v>228</v>
      </c>
      <c r="B9" s="354">
        <v>1</v>
      </c>
      <c r="C9" s="349">
        <v>-3</v>
      </c>
      <c r="D9" s="348"/>
    </row>
    <row r="10" spans="1:12" ht="12.75" x14ac:dyDescent="0.2">
      <c r="A10" s="352" t="s">
        <v>229</v>
      </c>
      <c r="B10" s="353">
        <f>SUM(B5:B9)</f>
        <v>-22</v>
      </c>
      <c r="C10" s="381">
        <f>SUM(C5:C9)</f>
        <v>-11</v>
      </c>
      <c r="D10" s="348"/>
    </row>
    <row r="11" spans="1:12" ht="12.75" x14ac:dyDescent="0.2">
      <c r="A11" s="280"/>
      <c r="B11" s="354"/>
      <c r="C11" s="349"/>
      <c r="D11" s="348"/>
    </row>
    <row r="12" spans="1:12" ht="12.75" x14ac:dyDescent="0.2">
      <c r="A12" s="280"/>
      <c r="B12" s="354"/>
      <c r="C12" s="349"/>
      <c r="D12" s="348"/>
    </row>
    <row r="13" spans="1:12" ht="12.75" x14ac:dyDescent="0.2">
      <c r="A13" s="280"/>
      <c r="B13" s="354"/>
      <c r="C13" s="349"/>
      <c r="D13" s="348"/>
    </row>
    <row r="14" spans="1:12" ht="12.75" x14ac:dyDescent="0.2">
      <c r="A14" s="280" t="s">
        <v>230</v>
      </c>
      <c r="B14" s="354"/>
      <c r="C14" s="349"/>
      <c r="D14" s="348"/>
    </row>
    <row r="15" spans="1:12" ht="12.75" x14ac:dyDescent="0.2">
      <c r="A15" s="280" t="s">
        <v>231</v>
      </c>
      <c r="B15" s="354">
        <v>-11</v>
      </c>
      <c r="C15" s="349">
        <v>-6</v>
      </c>
      <c r="D15" s="348"/>
    </row>
    <row r="16" spans="1:12" ht="12.75" x14ac:dyDescent="0.2">
      <c r="A16" s="280" t="s">
        <v>232</v>
      </c>
      <c r="B16" s="354">
        <v>0</v>
      </c>
      <c r="C16" s="349">
        <v>-4</v>
      </c>
      <c r="D16" s="348"/>
    </row>
    <row r="17" spans="1:4" ht="12.75" x14ac:dyDescent="0.2">
      <c r="A17" s="280" t="s">
        <v>233</v>
      </c>
      <c r="B17" s="354">
        <v>-3</v>
      </c>
      <c r="C17" s="349">
        <v>13</v>
      </c>
      <c r="D17" s="348"/>
    </row>
    <row r="18" spans="1:4" ht="12.75" x14ac:dyDescent="0.2">
      <c r="A18" s="280" t="s">
        <v>234</v>
      </c>
      <c r="B18" s="354">
        <v>2</v>
      </c>
      <c r="C18" s="349">
        <v>5</v>
      </c>
      <c r="D18" s="348"/>
    </row>
    <row r="19" spans="1:4" ht="12.75" x14ac:dyDescent="0.2">
      <c r="A19" s="280" t="s">
        <v>235</v>
      </c>
      <c r="B19" s="354">
        <v>-1</v>
      </c>
      <c r="C19" s="349">
        <v>-6</v>
      </c>
      <c r="D19" s="348"/>
    </row>
    <row r="20" spans="1:4" ht="12.75" x14ac:dyDescent="0.2">
      <c r="A20" s="280" t="s">
        <v>236</v>
      </c>
      <c r="B20" s="354">
        <v>-2</v>
      </c>
      <c r="C20" s="349">
        <v>0</v>
      </c>
      <c r="D20" s="348"/>
    </row>
    <row r="21" spans="1:4" ht="12.75" x14ac:dyDescent="0.2">
      <c r="A21" s="280" t="s">
        <v>237</v>
      </c>
      <c r="B21" s="354">
        <v>-7</v>
      </c>
      <c r="C21" s="349">
        <v>-13</v>
      </c>
      <c r="D21" s="348"/>
    </row>
    <row r="22" spans="1:4" ht="12.75" x14ac:dyDescent="0.2">
      <c r="A22" s="281" t="s">
        <v>238</v>
      </c>
      <c r="B22" s="351">
        <v>0</v>
      </c>
      <c r="C22" s="350">
        <v>0</v>
      </c>
      <c r="D22" s="348"/>
    </row>
    <row r="23" spans="1:4" ht="12.75" x14ac:dyDescent="0.2">
      <c r="A23" s="352" t="s">
        <v>229</v>
      </c>
      <c r="B23" s="353">
        <f t="shared" ref="B23:C23" si="0">SUM(B15:B22)</f>
        <v>-22</v>
      </c>
      <c r="C23" s="381">
        <f t="shared" si="0"/>
        <v>-11</v>
      </c>
      <c r="D23" s="348"/>
    </row>
    <row r="24" spans="1:4" ht="12.75" x14ac:dyDescent="0.2">
      <c r="A24" s="280"/>
      <c r="B24" s="354"/>
      <c r="C24" s="349"/>
      <c r="D24" s="348"/>
    </row>
    <row r="25" spans="1:4" ht="12.75" x14ac:dyDescent="0.2">
      <c r="A25" s="280"/>
      <c r="B25" s="354"/>
      <c r="C25" s="349"/>
      <c r="D25" s="348"/>
    </row>
    <row r="26" spans="1:4" ht="12.75" x14ac:dyDescent="0.2">
      <c r="A26" s="280"/>
      <c r="B26" s="354"/>
      <c r="C26" s="349"/>
      <c r="D26" s="348"/>
    </row>
    <row r="27" spans="1:4" ht="12.75" x14ac:dyDescent="0.2">
      <c r="A27" s="280" t="s">
        <v>230</v>
      </c>
      <c r="B27" s="354"/>
      <c r="C27" s="349"/>
      <c r="D27" s="348"/>
    </row>
    <row r="28" spans="1:4" ht="12.75" x14ac:dyDescent="0.2">
      <c r="A28" s="280" t="s">
        <v>110</v>
      </c>
      <c r="B28" s="354">
        <v>17</v>
      </c>
      <c r="C28" s="349">
        <v>-2</v>
      </c>
      <c r="D28" s="348"/>
    </row>
    <row r="29" spans="1:4" ht="12.75" x14ac:dyDescent="0.2">
      <c r="A29" s="280" t="s">
        <v>111</v>
      </c>
      <c r="B29" s="354">
        <v>-27</v>
      </c>
      <c r="C29" s="349">
        <v>-4</v>
      </c>
      <c r="D29" s="348"/>
    </row>
    <row r="30" spans="1:4" ht="12.75" x14ac:dyDescent="0.2">
      <c r="A30" s="280" t="s">
        <v>112</v>
      </c>
      <c r="B30" s="354">
        <v>-11</v>
      </c>
      <c r="C30" s="349">
        <v>-6</v>
      </c>
      <c r="D30" s="348"/>
    </row>
    <row r="31" spans="1:4" ht="12.75" x14ac:dyDescent="0.2">
      <c r="A31" s="280" t="s">
        <v>239</v>
      </c>
      <c r="B31" s="354">
        <v>-1</v>
      </c>
      <c r="C31" s="349">
        <v>3</v>
      </c>
      <c r="D31" s="348"/>
    </row>
    <row r="32" spans="1:4" ht="12.75" x14ac:dyDescent="0.2">
      <c r="A32" s="280" t="s">
        <v>35</v>
      </c>
      <c r="B32" s="354">
        <v>0</v>
      </c>
      <c r="C32" s="349">
        <v>-2</v>
      </c>
      <c r="D32" s="348"/>
    </row>
    <row r="33" spans="1:9" ht="12.75" x14ac:dyDescent="0.2">
      <c r="A33" s="352" t="s">
        <v>229</v>
      </c>
      <c r="B33" s="353">
        <f t="shared" ref="B33:C33" si="1">SUM(B28:B32)</f>
        <v>-22</v>
      </c>
      <c r="C33" s="381">
        <f t="shared" si="1"/>
        <v>-11</v>
      </c>
      <c r="D33" s="348"/>
    </row>
    <row r="35" spans="1:9" x14ac:dyDescent="0.2">
      <c r="A35" s="280"/>
    </row>
    <row r="36" spans="1:9" ht="12.75" x14ac:dyDescent="0.2">
      <c r="A36" s="280" t="s">
        <v>240</v>
      </c>
      <c r="B36" s="280"/>
      <c r="C36" s="280"/>
      <c r="D36" s="280"/>
      <c r="E36" s="280"/>
      <c r="F36" s="344"/>
      <c r="G36" s="344"/>
      <c r="H36" s="344"/>
      <c r="I36" s="344"/>
    </row>
    <row r="37" spans="1:9" ht="12.75" x14ac:dyDescent="0.2">
      <c r="A37" s="280" t="s">
        <v>241</v>
      </c>
      <c r="B37" s="280"/>
      <c r="C37" s="280"/>
      <c r="D37" s="280"/>
      <c r="E37" s="280"/>
      <c r="F37" s="344"/>
      <c r="G37" s="344"/>
      <c r="H37" s="344"/>
      <c r="I37" s="344"/>
    </row>
    <row r="38" spans="1:9" ht="12.75" x14ac:dyDescent="0.2">
      <c r="A38" s="280" t="s">
        <v>876</v>
      </c>
      <c r="B38" s="280"/>
      <c r="C38" s="280"/>
      <c r="D38" s="280"/>
      <c r="E38" s="280"/>
      <c r="F38" s="344"/>
      <c r="G38" s="344"/>
      <c r="H38" s="344"/>
      <c r="I38" s="344"/>
    </row>
    <row r="39" spans="1:9" ht="12.75" x14ac:dyDescent="0.2">
      <c r="A39" s="280"/>
      <c r="B39" s="280"/>
      <c r="C39" s="280"/>
      <c r="D39" s="280"/>
      <c r="E39" s="280"/>
      <c r="F39" s="344"/>
      <c r="G39" s="344"/>
      <c r="H39" s="344"/>
      <c r="I39" s="344"/>
    </row>
    <row r="40" spans="1:9" ht="12.75" x14ac:dyDescent="0.2">
      <c r="A40" s="280" t="s">
        <v>877</v>
      </c>
      <c r="B40" s="280"/>
      <c r="C40" s="280"/>
      <c r="D40" s="280"/>
      <c r="E40" s="280"/>
      <c r="F40" s="344"/>
      <c r="G40" s="344"/>
      <c r="H40" s="344"/>
      <c r="I40" s="344"/>
    </row>
    <row r="41" spans="1:9" ht="12.75" x14ac:dyDescent="0.2">
      <c r="A41" s="280" t="s">
        <v>878</v>
      </c>
      <c r="B41" s="280"/>
      <c r="C41" s="280"/>
      <c r="D41" s="280"/>
      <c r="E41" s="280"/>
      <c r="F41" s="344"/>
      <c r="G41" s="344"/>
      <c r="H41" s="344"/>
      <c r="I41" s="344"/>
    </row>
    <row r="42" spans="1:9" ht="12.75" x14ac:dyDescent="0.2">
      <c r="A42" s="280"/>
      <c r="B42" s="280"/>
      <c r="C42" s="280"/>
      <c r="D42" s="280"/>
      <c r="E42" s="280"/>
      <c r="F42" s="344"/>
      <c r="G42" s="344"/>
      <c r="H42" s="344"/>
      <c r="I42" s="344"/>
    </row>
    <row r="43" spans="1:9" x14ac:dyDescent="0.2">
      <c r="A43" s="280"/>
      <c r="B43" s="280"/>
      <c r="C43" s="280"/>
      <c r="D43" s="280"/>
      <c r="E43" s="280"/>
    </row>
  </sheetData>
  <mergeCells count="1">
    <mergeCell ref="B3:C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rowBreaks count="1" manualBreakCount="1">
    <brk id="30" max="16383" man="1"/>
  </rowBreaks>
  <colBreaks count="1" manualBreakCount="1">
    <brk id="1" max="1048575" man="1"/>
  </colBreaks>
  <ignoredErrors>
    <ignoredError sqref="B10:C10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51"/>
  <sheetViews>
    <sheetView zoomScaleNormal="100" workbookViewId="0"/>
  </sheetViews>
  <sheetFormatPr baseColWidth="10" defaultColWidth="11" defaultRowHeight="12.75" x14ac:dyDescent="0.2"/>
  <cols>
    <col min="1" max="1" width="4.375" style="402" customWidth="1"/>
    <col min="2" max="2" width="75.25" style="402" bestFit="1" customWidth="1"/>
    <col min="3" max="3" width="42.75" style="402" customWidth="1"/>
    <col min="4" max="4" width="42.875" style="402" customWidth="1"/>
    <col min="5" max="5" width="21.875" style="402" customWidth="1"/>
    <col min="6" max="8" width="22.125" style="402" customWidth="1"/>
    <col min="9" max="9" width="29.25" style="402" customWidth="1"/>
    <col min="10" max="10" width="3.75" style="402" customWidth="1"/>
    <col min="11" max="11" width="40.75" style="402" customWidth="1"/>
    <col min="12" max="12" width="42.125" style="402" customWidth="1"/>
    <col min="13" max="13" width="3.75" style="402" customWidth="1"/>
    <col min="14" max="14" width="51.625" style="402" customWidth="1"/>
    <col min="15" max="19" width="51.5" style="402" customWidth="1"/>
    <col min="20" max="20" width="3.75" style="402" customWidth="1"/>
    <col min="21" max="22" width="51.5" style="402" customWidth="1"/>
    <col min="23" max="16384" width="11" style="402"/>
  </cols>
  <sheetData>
    <row r="1" spans="1:23" x14ac:dyDescent="0.2">
      <c r="A1" s="358" t="s">
        <v>625</v>
      </c>
      <c r="C1" s="403"/>
      <c r="D1" s="403"/>
      <c r="E1" s="403"/>
      <c r="F1" s="403"/>
      <c r="G1" s="403"/>
      <c r="H1" s="403"/>
      <c r="I1" s="403"/>
    </row>
    <row r="2" spans="1:23" x14ac:dyDescent="0.2">
      <c r="B2" s="403"/>
      <c r="C2" s="403" t="s">
        <v>296</v>
      </c>
      <c r="D2" s="403"/>
      <c r="E2" s="403"/>
      <c r="F2" s="403"/>
      <c r="G2" s="403"/>
      <c r="H2" s="403"/>
      <c r="I2" s="403"/>
    </row>
    <row r="3" spans="1:23" ht="15" x14ac:dyDescent="0.25">
      <c r="B3" s="406"/>
      <c r="C3" s="453"/>
      <c r="D3" s="405"/>
      <c r="E3" s="406"/>
      <c r="F3" s="406"/>
      <c r="G3" s="406"/>
      <c r="H3" s="406"/>
      <c r="I3" s="406"/>
      <c r="K3" s="719" t="s">
        <v>683</v>
      </c>
      <c r="L3" s="720"/>
      <c r="N3" s="719" t="s">
        <v>888</v>
      </c>
      <c r="O3" s="719"/>
      <c r="P3" s="721"/>
      <c r="Q3" s="721"/>
      <c r="R3" s="721"/>
      <c r="S3" s="721"/>
      <c r="T3" s="659"/>
      <c r="U3" s="719" t="s">
        <v>879</v>
      </c>
      <c r="V3" s="719"/>
    </row>
    <row r="4" spans="1:23" ht="13.5" thickBot="1" x14ac:dyDescent="0.25">
      <c r="A4" s="452">
        <v>1</v>
      </c>
      <c r="B4" s="411" t="s">
        <v>297</v>
      </c>
      <c r="C4" s="412" t="s">
        <v>626</v>
      </c>
      <c r="D4" s="412" t="s">
        <v>626</v>
      </c>
      <c r="E4" s="412" t="s">
        <v>626</v>
      </c>
      <c r="F4" s="412" t="s">
        <v>626</v>
      </c>
      <c r="G4" s="412" t="s">
        <v>626</v>
      </c>
      <c r="H4" s="412" t="s">
        <v>626</v>
      </c>
      <c r="I4" s="412" t="s">
        <v>626</v>
      </c>
      <c r="K4" s="412" t="s">
        <v>627</v>
      </c>
      <c r="L4" s="412" t="s">
        <v>627</v>
      </c>
      <c r="N4" s="412" t="s">
        <v>641</v>
      </c>
      <c r="O4" s="412" t="s">
        <v>641</v>
      </c>
      <c r="P4" s="412" t="s">
        <v>641</v>
      </c>
      <c r="Q4" s="412" t="s">
        <v>641</v>
      </c>
      <c r="R4" s="412" t="s">
        <v>641</v>
      </c>
      <c r="S4" s="412" t="s">
        <v>641</v>
      </c>
      <c r="T4" s="412"/>
      <c r="U4" s="412" t="s">
        <v>648</v>
      </c>
      <c r="V4" s="412" t="s">
        <v>648</v>
      </c>
    </row>
    <row r="5" spans="1:23" x14ac:dyDescent="0.2">
      <c r="A5" s="451">
        <v>2</v>
      </c>
      <c r="B5" s="408" t="s">
        <v>298</v>
      </c>
      <c r="C5" s="367">
        <v>10552672</v>
      </c>
      <c r="D5" s="367">
        <v>10552664</v>
      </c>
      <c r="E5" s="367">
        <v>10694920</v>
      </c>
      <c r="F5" s="367" t="s">
        <v>717</v>
      </c>
      <c r="G5" s="367" t="s">
        <v>827</v>
      </c>
      <c r="H5" s="367" t="s">
        <v>843</v>
      </c>
      <c r="I5" s="367" t="s">
        <v>828</v>
      </c>
      <c r="K5" s="450" t="s">
        <v>671</v>
      </c>
      <c r="L5" s="450" t="s">
        <v>634</v>
      </c>
      <c r="M5" s="534"/>
      <c r="N5" s="450" t="s">
        <v>642</v>
      </c>
      <c r="O5" s="450" t="s">
        <v>678</v>
      </c>
      <c r="P5" s="450" t="s">
        <v>679</v>
      </c>
      <c r="Q5" s="450" t="s">
        <v>680</v>
      </c>
      <c r="R5" s="450" t="s">
        <v>727</v>
      </c>
      <c r="S5" s="450" t="s">
        <v>886</v>
      </c>
      <c r="T5" s="450"/>
      <c r="U5" s="450" t="s">
        <v>649</v>
      </c>
      <c r="V5" s="450" t="s">
        <v>650</v>
      </c>
      <c r="W5" s="534"/>
    </row>
    <row r="6" spans="1:23" x14ac:dyDescent="0.2">
      <c r="A6" s="451">
        <v>3</v>
      </c>
      <c r="B6" s="408" t="s">
        <v>299</v>
      </c>
      <c r="C6" s="367" t="s">
        <v>300</v>
      </c>
      <c r="D6" s="367" t="s">
        <v>300</v>
      </c>
      <c r="E6" s="367" t="s">
        <v>300</v>
      </c>
      <c r="F6" s="367" t="s">
        <v>300</v>
      </c>
      <c r="G6" s="367" t="s">
        <v>300</v>
      </c>
      <c r="H6" s="367" t="s">
        <v>300</v>
      </c>
      <c r="I6" s="367" t="s">
        <v>300</v>
      </c>
      <c r="K6" s="534"/>
      <c r="L6" s="534"/>
      <c r="M6" s="534"/>
      <c r="N6" s="450" t="s">
        <v>822</v>
      </c>
      <c r="O6" s="450" t="s">
        <v>822</v>
      </c>
      <c r="P6" s="450" t="s">
        <v>822</v>
      </c>
      <c r="Q6" s="450" t="s">
        <v>822</v>
      </c>
      <c r="R6" s="450" t="s">
        <v>822</v>
      </c>
      <c r="S6" s="450" t="s">
        <v>822</v>
      </c>
      <c r="T6" s="450"/>
      <c r="U6" s="450" t="s">
        <v>822</v>
      </c>
      <c r="V6" s="450" t="s">
        <v>822</v>
      </c>
      <c r="W6" s="534"/>
    </row>
    <row r="7" spans="1:23" ht="13.5" customHeight="1" thickBot="1" x14ac:dyDescent="0.25">
      <c r="A7" s="452"/>
      <c r="B7" s="471" t="s">
        <v>301</v>
      </c>
      <c r="C7" s="410"/>
      <c r="D7" s="410"/>
      <c r="E7" s="410"/>
      <c r="F7" s="410"/>
      <c r="G7" s="410"/>
      <c r="H7" s="410"/>
      <c r="I7" s="410"/>
      <c r="K7" s="410"/>
      <c r="L7" s="410"/>
      <c r="M7" s="534"/>
      <c r="N7" s="467"/>
      <c r="O7" s="470"/>
      <c r="P7" s="467"/>
      <c r="Q7" s="467"/>
      <c r="R7" s="467"/>
      <c r="S7" s="467"/>
      <c r="T7" s="467"/>
      <c r="U7" s="467"/>
      <c r="V7" s="468"/>
      <c r="W7" s="534"/>
    </row>
    <row r="8" spans="1:23" x14ac:dyDescent="0.2">
      <c r="A8" s="451">
        <v>4</v>
      </c>
      <c r="B8" s="408" t="s">
        <v>302</v>
      </c>
      <c r="C8" s="367" t="s">
        <v>303</v>
      </c>
      <c r="D8" s="367" t="s">
        <v>303</v>
      </c>
      <c r="E8" s="367" t="s">
        <v>304</v>
      </c>
      <c r="F8" s="367" t="s">
        <v>718</v>
      </c>
      <c r="G8" s="367" t="s">
        <v>718</v>
      </c>
      <c r="H8" s="367" t="s">
        <v>718</v>
      </c>
      <c r="I8" s="367" t="s">
        <v>303</v>
      </c>
      <c r="K8" s="367" t="s">
        <v>304</v>
      </c>
      <c r="L8" s="367" t="s">
        <v>303</v>
      </c>
      <c r="M8" s="534"/>
      <c r="N8" s="450" t="s">
        <v>499</v>
      </c>
      <c r="O8" s="450" t="s">
        <v>537</v>
      </c>
      <c r="P8" s="450" t="s">
        <v>499</v>
      </c>
      <c r="Q8" s="450" t="s">
        <v>499</v>
      </c>
      <c r="R8" s="450" t="s">
        <v>499</v>
      </c>
      <c r="S8" s="450" t="s">
        <v>499</v>
      </c>
      <c r="T8" s="450"/>
      <c r="U8" s="450" t="s">
        <v>499</v>
      </c>
      <c r="V8" s="450" t="s">
        <v>537</v>
      </c>
      <c r="W8" s="534"/>
    </row>
    <row r="9" spans="1:23" x14ac:dyDescent="0.2">
      <c r="A9" s="451">
        <v>5</v>
      </c>
      <c r="B9" s="408" t="s">
        <v>305</v>
      </c>
      <c r="C9" s="367" t="s">
        <v>306</v>
      </c>
      <c r="D9" s="367" t="s">
        <v>306</v>
      </c>
      <c r="E9" s="367" t="s">
        <v>304</v>
      </c>
      <c r="F9" s="367" t="s">
        <v>718</v>
      </c>
      <c r="G9" s="367" t="s">
        <v>718</v>
      </c>
      <c r="H9" s="367" t="s">
        <v>718</v>
      </c>
      <c r="I9" s="367" t="s">
        <v>303</v>
      </c>
      <c r="K9" s="367" t="s">
        <v>304</v>
      </c>
      <c r="L9" s="450" t="s">
        <v>654</v>
      </c>
      <c r="M9" s="534"/>
      <c r="N9" s="450" t="s">
        <v>499</v>
      </c>
      <c r="O9" s="450" t="s">
        <v>537</v>
      </c>
      <c r="P9" s="450" t="s">
        <v>499</v>
      </c>
      <c r="Q9" s="450" t="s">
        <v>499</v>
      </c>
      <c r="R9" s="450" t="s">
        <v>499</v>
      </c>
      <c r="S9" s="450" t="s">
        <v>499</v>
      </c>
      <c r="T9" s="450"/>
      <c r="U9" s="450" t="s">
        <v>499</v>
      </c>
      <c r="V9" s="450" t="s">
        <v>537</v>
      </c>
      <c r="W9" s="534"/>
    </row>
    <row r="10" spans="1:23" x14ac:dyDescent="0.2">
      <c r="A10" s="451">
        <v>6</v>
      </c>
      <c r="B10" s="408" t="s">
        <v>307</v>
      </c>
      <c r="C10" s="367" t="s">
        <v>308</v>
      </c>
      <c r="D10" s="367" t="s">
        <v>308</v>
      </c>
      <c r="E10" s="367" t="s">
        <v>308</v>
      </c>
      <c r="F10" s="367" t="s">
        <v>308</v>
      </c>
      <c r="G10" s="367" t="s">
        <v>308</v>
      </c>
      <c r="H10" s="367" t="s">
        <v>308</v>
      </c>
      <c r="I10" s="367" t="s">
        <v>308</v>
      </c>
      <c r="K10" s="450" t="s">
        <v>652</v>
      </c>
      <c r="L10" s="450" t="s">
        <v>652</v>
      </c>
      <c r="N10" s="450" t="s">
        <v>652</v>
      </c>
      <c r="O10" s="450" t="s">
        <v>652</v>
      </c>
      <c r="P10" s="450" t="s">
        <v>652</v>
      </c>
      <c r="Q10" s="450" t="s">
        <v>652</v>
      </c>
      <c r="R10" s="450" t="s">
        <v>652</v>
      </c>
      <c r="S10" s="450" t="s">
        <v>652</v>
      </c>
      <c r="T10" s="450"/>
      <c r="U10" s="450" t="s">
        <v>652</v>
      </c>
      <c r="V10" s="450" t="s">
        <v>652</v>
      </c>
      <c r="W10" s="534"/>
    </row>
    <row r="11" spans="1:23" x14ac:dyDescent="0.2">
      <c r="A11" s="451">
        <v>7</v>
      </c>
      <c r="B11" s="99" t="s">
        <v>309</v>
      </c>
      <c r="C11" s="312"/>
      <c r="D11" s="312"/>
      <c r="E11" s="312"/>
      <c r="F11" s="312"/>
      <c r="G11" s="312"/>
      <c r="H11" s="312"/>
      <c r="I11" s="312"/>
      <c r="K11" s="450" t="s">
        <v>601</v>
      </c>
      <c r="L11" s="450" t="s">
        <v>129</v>
      </c>
      <c r="N11" s="450" t="s">
        <v>129</v>
      </c>
      <c r="O11" s="450" t="s">
        <v>643</v>
      </c>
      <c r="P11" s="450" t="s">
        <v>129</v>
      </c>
      <c r="Q11" s="450" t="s">
        <v>129</v>
      </c>
      <c r="R11" s="450" t="s">
        <v>129</v>
      </c>
      <c r="S11" s="450" t="s">
        <v>129</v>
      </c>
      <c r="T11" s="450"/>
      <c r="U11" s="450" t="s">
        <v>129</v>
      </c>
      <c r="V11" s="450" t="s">
        <v>643</v>
      </c>
      <c r="W11" s="534"/>
    </row>
    <row r="12" spans="1:23" x14ac:dyDescent="0.2">
      <c r="A12" s="451">
        <v>8</v>
      </c>
      <c r="B12" s="99" t="s">
        <v>310</v>
      </c>
      <c r="C12" s="367" t="s">
        <v>825</v>
      </c>
      <c r="D12" s="367" t="s">
        <v>311</v>
      </c>
      <c r="E12" s="367" t="s">
        <v>312</v>
      </c>
      <c r="F12" s="367" t="s">
        <v>899</v>
      </c>
      <c r="G12" s="367" t="s">
        <v>826</v>
      </c>
      <c r="H12" s="367" t="s">
        <v>844</v>
      </c>
      <c r="I12" s="367" t="s">
        <v>829</v>
      </c>
      <c r="K12" s="450">
        <v>500000000</v>
      </c>
      <c r="L12" s="450">
        <v>400000000</v>
      </c>
      <c r="N12" s="450">
        <v>350000000</v>
      </c>
      <c r="O12" s="450">
        <v>1600000000</v>
      </c>
      <c r="P12" s="450">
        <v>300000000</v>
      </c>
      <c r="Q12" s="450">
        <v>180000000</v>
      </c>
      <c r="R12" s="450">
        <v>250000000</v>
      </c>
      <c r="S12" s="450">
        <v>100000000</v>
      </c>
      <c r="T12" s="450"/>
      <c r="U12" s="534">
        <v>173000000</v>
      </c>
      <c r="V12" s="450">
        <v>346000000</v>
      </c>
      <c r="W12" s="534"/>
    </row>
    <row r="13" spans="1:23" x14ac:dyDescent="0.2">
      <c r="A13" s="451">
        <v>9</v>
      </c>
      <c r="B13" s="99" t="s">
        <v>313</v>
      </c>
      <c r="C13" s="183" t="s">
        <v>314</v>
      </c>
      <c r="D13" s="367" t="s">
        <v>311</v>
      </c>
      <c r="E13" s="367" t="s">
        <v>315</v>
      </c>
      <c r="F13" s="183" t="s">
        <v>719</v>
      </c>
      <c r="G13" s="367" t="s">
        <v>826</v>
      </c>
      <c r="H13" s="367" t="s">
        <v>844</v>
      </c>
      <c r="I13" s="367" t="s">
        <v>829</v>
      </c>
      <c r="K13" s="450">
        <v>500000000</v>
      </c>
      <c r="L13" s="450">
        <v>400000000</v>
      </c>
      <c r="N13" s="450">
        <v>350000000</v>
      </c>
      <c r="O13" s="450">
        <v>1600000000</v>
      </c>
      <c r="P13" s="450">
        <v>300000000</v>
      </c>
      <c r="Q13" s="450">
        <v>180000000</v>
      </c>
      <c r="R13" s="450">
        <v>250000000</v>
      </c>
      <c r="S13" s="450">
        <v>100000000</v>
      </c>
      <c r="T13" s="450"/>
      <c r="U13" s="450">
        <v>173000000</v>
      </c>
      <c r="V13" s="450">
        <v>346000000</v>
      </c>
      <c r="W13" s="534"/>
    </row>
    <row r="14" spans="1:23" x14ac:dyDescent="0.2">
      <c r="A14" s="451" t="s">
        <v>623</v>
      </c>
      <c r="B14" s="99" t="s">
        <v>316</v>
      </c>
      <c r="C14" s="367" t="s">
        <v>317</v>
      </c>
      <c r="D14" s="367" t="s">
        <v>317</v>
      </c>
      <c r="E14" s="367" t="s">
        <v>317</v>
      </c>
      <c r="F14" s="367" t="s">
        <v>317</v>
      </c>
      <c r="G14" s="367" t="s">
        <v>317</v>
      </c>
      <c r="H14" s="367" t="s">
        <v>317</v>
      </c>
      <c r="I14" s="367" t="s">
        <v>317</v>
      </c>
      <c r="K14" s="450">
        <v>100</v>
      </c>
      <c r="L14" s="450">
        <v>100</v>
      </c>
      <c r="N14" s="450">
        <v>100</v>
      </c>
      <c r="O14" s="450">
        <v>100</v>
      </c>
      <c r="P14" s="450">
        <v>100</v>
      </c>
      <c r="Q14" s="450">
        <v>100</v>
      </c>
      <c r="R14" s="450">
        <v>100</v>
      </c>
      <c r="S14" s="450">
        <v>100</v>
      </c>
      <c r="T14" s="450"/>
      <c r="U14" s="450">
        <v>100</v>
      </c>
      <c r="V14" s="450">
        <v>100</v>
      </c>
      <c r="W14" s="534"/>
    </row>
    <row r="15" spans="1:23" x14ac:dyDescent="0.2">
      <c r="A15" s="451" t="s">
        <v>624</v>
      </c>
      <c r="B15" s="99" t="s">
        <v>318</v>
      </c>
      <c r="C15" s="367" t="s">
        <v>319</v>
      </c>
      <c r="D15" s="367" t="s">
        <v>319</v>
      </c>
      <c r="E15" s="367" t="s">
        <v>319</v>
      </c>
      <c r="F15" s="367" t="s">
        <v>319</v>
      </c>
      <c r="G15" s="367" t="s">
        <v>319</v>
      </c>
      <c r="H15" s="367" t="s">
        <v>319</v>
      </c>
      <c r="I15" s="367" t="s">
        <v>319</v>
      </c>
      <c r="K15" s="450">
        <v>100</v>
      </c>
      <c r="L15" s="450">
        <v>100</v>
      </c>
      <c r="N15" s="450">
        <v>100</v>
      </c>
      <c r="O15" s="450">
        <v>100</v>
      </c>
      <c r="P15" s="450">
        <v>100</v>
      </c>
      <c r="Q15" s="450">
        <v>100</v>
      </c>
      <c r="R15" s="450">
        <v>100</v>
      </c>
      <c r="S15" s="450">
        <v>100</v>
      </c>
      <c r="T15" s="450"/>
      <c r="U15" s="450">
        <v>100</v>
      </c>
      <c r="V15" s="450">
        <v>100</v>
      </c>
      <c r="W15" s="534"/>
    </row>
    <row r="16" spans="1:23" x14ac:dyDescent="0.2">
      <c r="A16" s="451">
        <v>10</v>
      </c>
      <c r="B16" s="99" t="s">
        <v>320</v>
      </c>
      <c r="C16" s="367" t="s">
        <v>321</v>
      </c>
      <c r="D16" s="367" t="s">
        <v>321</v>
      </c>
      <c r="E16" s="367" t="s">
        <v>321</v>
      </c>
      <c r="F16" s="367" t="s">
        <v>321</v>
      </c>
      <c r="G16" s="367" t="s">
        <v>321</v>
      </c>
      <c r="H16" s="367" t="s">
        <v>321</v>
      </c>
      <c r="I16" s="450" t="s">
        <v>901</v>
      </c>
      <c r="K16" s="450" t="s">
        <v>635</v>
      </c>
      <c r="L16" s="450" t="s">
        <v>635</v>
      </c>
      <c r="N16" s="450" t="s">
        <v>635</v>
      </c>
      <c r="O16" s="450" t="s">
        <v>635</v>
      </c>
      <c r="P16" s="450" t="s">
        <v>635</v>
      </c>
      <c r="Q16" s="450" t="s">
        <v>635</v>
      </c>
      <c r="R16" s="450" t="s">
        <v>635</v>
      </c>
      <c r="S16" s="450" t="s">
        <v>635</v>
      </c>
      <c r="T16" s="450"/>
      <c r="U16" s="450" t="s">
        <v>635</v>
      </c>
      <c r="V16" s="450" t="s">
        <v>635</v>
      </c>
      <c r="W16" s="534"/>
    </row>
    <row r="17" spans="1:23" x14ac:dyDescent="0.2">
      <c r="A17" s="451">
        <v>11</v>
      </c>
      <c r="B17" s="99" t="s">
        <v>322</v>
      </c>
      <c r="C17" s="472">
        <v>40156</v>
      </c>
      <c r="D17" s="472">
        <v>40156</v>
      </c>
      <c r="E17" s="472">
        <v>41605</v>
      </c>
      <c r="F17" s="472">
        <v>42359</v>
      </c>
      <c r="G17" s="472">
        <v>42864</v>
      </c>
      <c r="H17" s="472">
        <v>42970</v>
      </c>
      <c r="I17" s="472">
        <v>42915</v>
      </c>
      <c r="K17" s="461">
        <v>42074</v>
      </c>
      <c r="L17" s="461">
        <v>41695</v>
      </c>
      <c r="N17" s="461">
        <v>41815</v>
      </c>
      <c r="O17" s="461">
        <v>41705</v>
      </c>
      <c r="P17" s="461">
        <v>42270</v>
      </c>
      <c r="Q17" s="461">
        <v>42276</v>
      </c>
      <c r="R17" s="461">
        <v>42531</v>
      </c>
      <c r="S17" s="461">
        <v>43070</v>
      </c>
      <c r="T17" s="461"/>
      <c r="U17" s="461">
        <v>41589</v>
      </c>
      <c r="V17" s="461">
        <v>41589</v>
      </c>
      <c r="W17" s="534"/>
    </row>
    <row r="18" spans="1:23" x14ac:dyDescent="0.2">
      <c r="A18" s="451">
        <v>12</v>
      </c>
      <c r="B18" s="99" t="s">
        <v>323</v>
      </c>
      <c r="C18" s="367" t="s">
        <v>324</v>
      </c>
      <c r="D18" s="367" t="s">
        <v>324</v>
      </c>
      <c r="E18" s="367" t="s">
        <v>133</v>
      </c>
      <c r="F18" s="367" t="s">
        <v>133</v>
      </c>
      <c r="G18" s="367" t="s">
        <v>133</v>
      </c>
      <c r="H18" s="367" t="s">
        <v>133</v>
      </c>
      <c r="I18" s="367" t="s">
        <v>324</v>
      </c>
      <c r="K18" s="450" t="s">
        <v>133</v>
      </c>
      <c r="L18" s="450" t="s">
        <v>324</v>
      </c>
      <c r="N18" s="450" t="s">
        <v>324</v>
      </c>
      <c r="O18" s="450" t="s">
        <v>133</v>
      </c>
      <c r="P18" s="450" t="s">
        <v>324</v>
      </c>
      <c r="Q18" s="450" t="s">
        <v>324</v>
      </c>
      <c r="R18" s="450" t="s">
        <v>324</v>
      </c>
      <c r="S18" s="450" t="s">
        <v>324</v>
      </c>
      <c r="T18" s="450"/>
      <c r="U18" s="450" t="s">
        <v>324</v>
      </c>
      <c r="V18" s="450" t="s">
        <v>133</v>
      </c>
      <c r="W18" s="534"/>
    </row>
    <row r="19" spans="1:23" x14ac:dyDescent="0.2">
      <c r="A19" s="451">
        <v>13</v>
      </c>
      <c r="B19" s="99" t="s">
        <v>325</v>
      </c>
      <c r="C19" s="367" t="s">
        <v>326</v>
      </c>
      <c r="D19" s="367" t="s">
        <v>326</v>
      </c>
      <c r="E19" s="472">
        <v>45257</v>
      </c>
      <c r="F19" s="472">
        <v>47838</v>
      </c>
      <c r="G19" s="472">
        <v>46882</v>
      </c>
      <c r="H19" s="472">
        <v>47353</v>
      </c>
      <c r="I19" s="472" t="s">
        <v>326</v>
      </c>
      <c r="K19" s="461">
        <v>45727</v>
      </c>
      <c r="L19" s="450" t="s">
        <v>326</v>
      </c>
      <c r="N19" s="461"/>
      <c r="O19" s="461">
        <v>45358</v>
      </c>
      <c r="P19" s="461"/>
      <c r="Q19" s="461"/>
      <c r="R19" s="461"/>
      <c r="S19" s="461"/>
      <c r="T19" s="461"/>
      <c r="U19" s="461"/>
      <c r="V19" s="461">
        <v>45243</v>
      </c>
      <c r="W19" s="534"/>
    </row>
    <row r="20" spans="1:23" x14ac:dyDescent="0.2">
      <c r="A20" s="451">
        <v>14</v>
      </c>
      <c r="B20" s="99" t="s">
        <v>327</v>
      </c>
      <c r="C20" s="367" t="s">
        <v>328</v>
      </c>
      <c r="D20" s="367" t="s">
        <v>328</v>
      </c>
      <c r="E20" s="367" t="s">
        <v>328</v>
      </c>
      <c r="F20" s="367" t="s">
        <v>720</v>
      </c>
      <c r="G20" s="367" t="s">
        <v>720</v>
      </c>
      <c r="H20" s="367" t="s">
        <v>328</v>
      </c>
      <c r="I20" s="367" t="s">
        <v>720</v>
      </c>
      <c r="K20" s="450" t="s">
        <v>328</v>
      </c>
      <c r="L20" s="450" t="s">
        <v>328</v>
      </c>
      <c r="N20" s="461" t="s">
        <v>328</v>
      </c>
      <c r="O20" s="461" t="s">
        <v>328</v>
      </c>
      <c r="P20" s="461" t="s">
        <v>328</v>
      </c>
      <c r="Q20" s="461" t="s">
        <v>328</v>
      </c>
      <c r="R20" s="461" t="s">
        <v>328</v>
      </c>
      <c r="S20" s="461" t="s">
        <v>328</v>
      </c>
      <c r="T20" s="461"/>
      <c r="U20" s="461" t="s">
        <v>328</v>
      </c>
      <c r="V20" s="461" t="s">
        <v>328</v>
      </c>
      <c r="W20" s="534"/>
    </row>
    <row r="21" spans="1:23" x14ac:dyDescent="0.2">
      <c r="A21" s="451">
        <v>15</v>
      </c>
      <c r="B21" s="99" t="s">
        <v>329</v>
      </c>
      <c r="C21" s="473">
        <v>43808</v>
      </c>
      <c r="D21" s="473">
        <v>43808</v>
      </c>
      <c r="E21" s="472">
        <v>43431</v>
      </c>
      <c r="F21" s="367" t="s">
        <v>356</v>
      </c>
      <c r="G21" s="367" t="s">
        <v>356</v>
      </c>
      <c r="H21" s="472">
        <v>45527</v>
      </c>
      <c r="I21" s="367" t="s">
        <v>356</v>
      </c>
      <c r="K21" s="461" t="s">
        <v>672</v>
      </c>
      <c r="L21" s="450" t="s">
        <v>636</v>
      </c>
      <c r="N21" s="461">
        <v>43594</v>
      </c>
      <c r="O21" s="461">
        <v>43531</v>
      </c>
      <c r="P21" s="461">
        <v>44097</v>
      </c>
      <c r="Q21" s="461">
        <v>44103</v>
      </c>
      <c r="R21" s="461">
        <v>44322</v>
      </c>
      <c r="S21" s="461">
        <v>44896</v>
      </c>
      <c r="T21" s="461"/>
      <c r="U21" s="461">
        <v>43416</v>
      </c>
      <c r="V21" s="461">
        <v>43416</v>
      </c>
      <c r="W21" s="534"/>
    </row>
    <row r="22" spans="1:23" x14ac:dyDescent="0.2">
      <c r="A22" s="451">
        <v>16</v>
      </c>
      <c r="B22" s="99" t="s">
        <v>330</v>
      </c>
      <c r="C22" s="312" t="s">
        <v>331</v>
      </c>
      <c r="D22" s="312" t="s">
        <v>331</v>
      </c>
      <c r="E22" s="367" t="s">
        <v>332</v>
      </c>
      <c r="F22" s="367" t="s">
        <v>356</v>
      </c>
      <c r="G22" s="367" t="s">
        <v>356</v>
      </c>
      <c r="H22" s="367" t="s">
        <v>332</v>
      </c>
      <c r="I22" s="367" t="s">
        <v>356</v>
      </c>
      <c r="K22" s="450" t="s">
        <v>637</v>
      </c>
      <c r="L22" s="450" t="s">
        <v>637</v>
      </c>
      <c r="N22" s="450" t="s">
        <v>637</v>
      </c>
      <c r="O22" s="450" t="s">
        <v>637</v>
      </c>
      <c r="P22" s="450" t="s">
        <v>637</v>
      </c>
      <c r="Q22" s="450" t="s">
        <v>637</v>
      </c>
      <c r="R22" s="450" t="s">
        <v>637</v>
      </c>
      <c r="S22" s="450" t="s">
        <v>637</v>
      </c>
      <c r="T22" s="450"/>
      <c r="U22" s="450" t="s">
        <v>637</v>
      </c>
      <c r="V22" s="450" t="s">
        <v>637</v>
      </c>
      <c r="W22" s="534"/>
    </row>
    <row r="23" spans="1:23" ht="13.5" thickBot="1" x14ac:dyDescent="0.25">
      <c r="A23" s="452"/>
      <c r="B23" s="411" t="s">
        <v>333</v>
      </c>
      <c r="C23" s="410"/>
      <c r="D23" s="410"/>
      <c r="E23" s="410"/>
      <c r="F23" s="410"/>
      <c r="G23" s="410"/>
      <c r="H23" s="410"/>
      <c r="I23" s="410"/>
      <c r="K23" s="410"/>
      <c r="L23" s="410"/>
      <c r="N23" s="469"/>
      <c r="O23" s="469"/>
      <c r="P23" s="469"/>
      <c r="Q23" s="469"/>
      <c r="R23" s="469"/>
      <c r="S23" s="469"/>
      <c r="T23" s="469"/>
      <c r="U23" s="469"/>
      <c r="V23" s="469"/>
      <c r="W23" s="534"/>
    </row>
    <row r="24" spans="1:23" x14ac:dyDescent="0.2">
      <c r="A24" s="451">
        <v>17</v>
      </c>
      <c r="B24" s="99" t="s">
        <v>334</v>
      </c>
      <c r="C24" s="367" t="s">
        <v>335</v>
      </c>
      <c r="D24" s="367" t="s">
        <v>336</v>
      </c>
      <c r="E24" s="367" t="s">
        <v>336</v>
      </c>
      <c r="F24" s="367" t="s">
        <v>335</v>
      </c>
      <c r="G24" s="367" t="s">
        <v>336</v>
      </c>
      <c r="H24" s="367" t="s">
        <v>336</v>
      </c>
      <c r="I24" s="367" t="s">
        <v>336</v>
      </c>
      <c r="K24" s="367" t="s">
        <v>336</v>
      </c>
      <c r="L24" s="367" t="s">
        <v>336</v>
      </c>
      <c r="N24" s="367" t="s">
        <v>336</v>
      </c>
      <c r="O24" s="367" t="s">
        <v>336</v>
      </c>
      <c r="P24" s="367" t="s">
        <v>336</v>
      </c>
      <c r="Q24" s="367" t="s">
        <v>336</v>
      </c>
      <c r="R24" s="367" t="s">
        <v>336</v>
      </c>
      <c r="S24" s="367" t="s">
        <v>336</v>
      </c>
      <c r="T24" s="367"/>
      <c r="U24" s="450" t="s">
        <v>644</v>
      </c>
      <c r="V24" s="450" t="s">
        <v>644</v>
      </c>
      <c r="W24" s="534"/>
    </row>
    <row r="25" spans="1:23" ht="25.5" customHeight="1" x14ac:dyDescent="0.2">
      <c r="A25" s="460">
        <v>18</v>
      </c>
      <c r="B25" s="99" t="s">
        <v>337</v>
      </c>
      <c r="C25" s="409" t="s">
        <v>338</v>
      </c>
      <c r="D25" s="312" t="s">
        <v>697</v>
      </c>
      <c r="E25" s="312" t="s">
        <v>339</v>
      </c>
      <c r="F25" s="409" t="s">
        <v>721</v>
      </c>
      <c r="G25" s="409" t="s">
        <v>830</v>
      </c>
      <c r="H25" s="409" t="s">
        <v>845</v>
      </c>
      <c r="I25" s="409" t="s">
        <v>831</v>
      </c>
      <c r="K25" s="465" t="s">
        <v>880</v>
      </c>
      <c r="L25" s="465" t="s">
        <v>881</v>
      </c>
      <c r="N25" s="450" t="s">
        <v>724</v>
      </c>
      <c r="O25" s="450" t="s">
        <v>725</v>
      </c>
      <c r="P25" s="450" t="s">
        <v>726</v>
      </c>
      <c r="Q25" s="450" t="s">
        <v>726</v>
      </c>
      <c r="R25" s="450" t="s">
        <v>728</v>
      </c>
      <c r="S25" s="450" t="s">
        <v>887</v>
      </c>
      <c r="T25" s="450"/>
      <c r="U25" s="450" t="s">
        <v>722</v>
      </c>
      <c r="V25" s="450" t="s">
        <v>723</v>
      </c>
      <c r="W25" s="534"/>
    </row>
    <row r="26" spans="1:23" x14ac:dyDescent="0.2">
      <c r="A26" s="451">
        <v>19</v>
      </c>
      <c r="B26" s="99" t="s">
        <v>340</v>
      </c>
      <c r="C26" s="367" t="s">
        <v>341</v>
      </c>
      <c r="D26" s="367" t="s">
        <v>341</v>
      </c>
      <c r="E26" s="367" t="s">
        <v>341</v>
      </c>
      <c r="F26" s="367" t="s">
        <v>341</v>
      </c>
      <c r="G26" s="367" t="s">
        <v>341</v>
      </c>
      <c r="H26" s="367" t="s">
        <v>341</v>
      </c>
      <c r="I26" s="367" t="s">
        <v>341</v>
      </c>
      <c r="K26" s="450" t="s">
        <v>341</v>
      </c>
      <c r="L26" s="450" t="s">
        <v>341</v>
      </c>
      <c r="N26" s="450" t="s">
        <v>341</v>
      </c>
      <c r="O26" s="450" t="s">
        <v>341</v>
      </c>
      <c r="P26" s="450" t="s">
        <v>341</v>
      </c>
      <c r="Q26" s="450" t="s">
        <v>341</v>
      </c>
      <c r="R26" s="450" t="s">
        <v>341</v>
      </c>
      <c r="S26" s="450" t="s">
        <v>341</v>
      </c>
      <c r="T26" s="450"/>
      <c r="U26" s="450" t="s">
        <v>341</v>
      </c>
      <c r="V26" s="450" t="s">
        <v>341</v>
      </c>
      <c r="W26" s="534"/>
    </row>
    <row r="27" spans="1:23" x14ac:dyDescent="0.2">
      <c r="A27" s="451" t="s">
        <v>342</v>
      </c>
      <c r="B27" s="99" t="s">
        <v>343</v>
      </c>
      <c r="C27" s="367" t="s">
        <v>344</v>
      </c>
      <c r="D27" s="367" t="s">
        <v>344</v>
      </c>
      <c r="E27" s="367" t="s">
        <v>345</v>
      </c>
      <c r="F27" s="367" t="s">
        <v>345</v>
      </c>
      <c r="G27" s="367" t="s">
        <v>345</v>
      </c>
      <c r="H27" s="367" t="s">
        <v>345</v>
      </c>
      <c r="I27" s="367" t="s">
        <v>345</v>
      </c>
      <c r="K27" s="450" t="s">
        <v>345</v>
      </c>
      <c r="L27" s="450" t="s">
        <v>638</v>
      </c>
      <c r="N27" s="450" t="s">
        <v>345</v>
      </c>
      <c r="O27" s="450" t="s">
        <v>638</v>
      </c>
      <c r="P27" s="450" t="s">
        <v>345</v>
      </c>
      <c r="Q27" s="450" t="s">
        <v>345</v>
      </c>
      <c r="R27" s="450" t="s">
        <v>345</v>
      </c>
      <c r="S27" s="450" t="s">
        <v>345</v>
      </c>
      <c r="T27" s="450"/>
      <c r="U27" s="450" t="s">
        <v>345</v>
      </c>
      <c r="V27" s="450" t="s">
        <v>638</v>
      </c>
      <c r="W27" s="534"/>
    </row>
    <row r="28" spans="1:23" x14ac:dyDescent="0.2">
      <c r="A28" s="451" t="s">
        <v>346</v>
      </c>
      <c r="B28" s="99" t="s">
        <v>347</v>
      </c>
      <c r="C28" s="367" t="s">
        <v>344</v>
      </c>
      <c r="D28" s="367" t="s">
        <v>344</v>
      </c>
      <c r="E28" s="367" t="s">
        <v>345</v>
      </c>
      <c r="F28" s="367" t="s">
        <v>345</v>
      </c>
      <c r="G28" s="367" t="s">
        <v>345</v>
      </c>
      <c r="H28" s="367" t="s">
        <v>345</v>
      </c>
      <c r="I28" s="367" t="s">
        <v>345</v>
      </c>
      <c r="K28" s="450" t="s">
        <v>345</v>
      </c>
      <c r="L28" s="450" t="s">
        <v>638</v>
      </c>
      <c r="N28" s="450" t="s">
        <v>345</v>
      </c>
      <c r="O28" s="450" t="s">
        <v>638</v>
      </c>
      <c r="P28" s="450" t="s">
        <v>345</v>
      </c>
      <c r="Q28" s="450" t="s">
        <v>345</v>
      </c>
      <c r="R28" s="450" t="s">
        <v>345</v>
      </c>
      <c r="S28" s="450" t="s">
        <v>345</v>
      </c>
      <c r="T28" s="450"/>
      <c r="U28" s="450" t="s">
        <v>345</v>
      </c>
      <c r="V28" s="450" t="s">
        <v>638</v>
      </c>
      <c r="W28" s="534"/>
    </row>
    <row r="29" spans="1:23" x14ac:dyDescent="0.2">
      <c r="A29" s="460">
        <v>21</v>
      </c>
      <c r="B29" s="99" t="s">
        <v>348</v>
      </c>
      <c r="C29" s="367" t="s">
        <v>328</v>
      </c>
      <c r="D29" s="367" t="s">
        <v>328</v>
      </c>
      <c r="E29" s="367" t="s">
        <v>341</v>
      </c>
      <c r="F29" s="367" t="s">
        <v>341</v>
      </c>
      <c r="G29" s="367" t="s">
        <v>341</v>
      </c>
      <c r="H29" s="367" t="s">
        <v>341</v>
      </c>
      <c r="I29" s="367" t="s">
        <v>341</v>
      </c>
      <c r="K29" s="450" t="s">
        <v>341</v>
      </c>
      <c r="L29" s="450" t="s">
        <v>341</v>
      </c>
      <c r="N29" s="450" t="s">
        <v>341</v>
      </c>
      <c r="O29" s="450" t="s">
        <v>328</v>
      </c>
      <c r="P29" s="450" t="s">
        <v>341</v>
      </c>
      <c r="Q29" s="450" t="s">
        <v>341</v>
      </c>
      <c r="R29" s="450" t="s">
        <v>341</v>
      </c>
      <c r="S29" s="450" t="s">
        <v>341</v>
      </c>
      <c r="T29" s="450"/>
      <c r="U29" s="450" t="s">
        <v>341</v>
      </c>
      <c r="V29" s="474" t="s">
        <v>328</v>
      </c>
      <c r="W29" s="534"/>
    </row>
    <row r="30" spans="1:23" x14ac:dyDescent="0.2">
      <c r="A30" s="451">
        <v>22</v>
      </c>
      <c r="B30" s="99" t="s">
        <v>349</v>
      </c>
      <c r="C30" s="367" t="s">
        <v>350</v>
      </c>
      <c r="D30" s="367" t="s">
        <v>350</v>
      </c>
      <c r="E30" s="367" t="s">
        <v>351</v>
      </c>
      <c r="F30" s="367" t="s">
        <v>351</v>
      </c>
      <c r="G30" s="367" t="s">
        <v>351</v>
      </c>
      <c r="H30" s="367" t="s">
        <v>351</v>
      </c>
      <c r="I30" s="367" t="s">
        <v>351</v>
      </c>
      <c r="K30" s="450" t="s">
        <v>341</v>
      </c>
      <c r="L30" s="450" t="s">
        <v>341</v>
      </c>
      <c r="N30" s="450" t="s">
        <v>351</v>
      </c>
      <c r="O30" s="450" t="s">
        <v>653</v>
      </c>
      <c r="P30" s="367" t="s">
        <v>351</v>
      </c>
      <c r="Q30" s="367" t="s">
        <v>351</v>
      </c>
      <c r="R30" s="367" t="s">
        <v>351</v>
      </c>
      <c r="S30" s="367" t="s">
        <v>351</v>
      </c>
      <c r="T30" s="367"/>
      <c r="U30" s="450" t="s">
        <v>351</v>
      </c>
      <c r="V30" s="450" t="s">
        <v>653</v>
      </c>
      <c r="W30" s="534"/>
    </row>
    <row r="31" spans="1:23" ht="13.5" thickBot="1" x14ac:dyDescent="0.25">
      <c r="A31" s="452"/>
      <c r="B31" s="411" t="s">
        <v>352</v>
      </c>
      <c r="C31" s="410"/>
      <c r="D31" s="410"/>
      <c r="E31" s="410"/>
      <c r="F31" s="410"/>
      <c r="G31" s="410"/>
      <c r="H31" s="410"/>
      <c r="I31" s="410"/>
      <c r="K31" s="410"/>
      <c r="L31" s="410"/>
      <c r="N31" s="469"/>
      <c r="O31" s="469"/>
      <c r="P31" s="469"/>
      <c r="Q31" s="469"/>
      <c r="R31" s="469"/>
      <c r="S31" s="469"/>
      <c r="T31" s="469"/>
      <c r="U31" s="467"/>
      <c r="V31" s="467"/>
      <c r="W31" s="534"/>
    </row>
    <row r="32" spans="1:23" ht="12.75" customHeight="1" x14ac:dyDescent="0.2">
      <c r="A32" s="460">
        <v>23</v>
      </c>
      <c r="B32" s="99" t="s">
        <v>353</v>
      </c>
      <c r="C32" s="367" t="s">
        <v>354</v>
      </c>
      <c r="D32" s="367" t="s">
        <v>354</v>
      </c>
      <c r="E32" s="367" t="s">
        <v>354</v>
      </c>
      <c r="F32" s="367" t="s">
        <v>354</v>
      </c>
      <c r="G32" s="367" t="s">
        <v>354</v>
      </c>
      <c r="H32" s="367" t="s">
        <v>354</v>
      </c>
      <c r="I32" s="367" t="s">
        <v>354</v>
      </c>
      <c r="K32" s="367" t="s">
        <v>354</v>
      </c>
      <c r="L32" s="367" t="s">
        <v>354</v>
      </c>
      <c r="N32" s="463" t="s">
        <v>883</v>
      </c>
      <c r="O32" s="460" t="s">
        <v>354</v>
      </c>
      <c r="P32" s="463" t="s">
        <v>883</v>
      </c>
      <c r="Q32" s="463" t="s">
        <v>883</v>
      </c>
      <c r="R32" s="463" t="s">
        <v>883</v>
      </c>
      <c r="S32" s="463" t="s">
        <v>883</v>
      </c>
      <c r="T32" s="463"/>
      <c r="U32" s="463" t="s">
        <v>883</v>
      </c>
      <c r="V32" s="100" t="s">
        <v>354</v>
      </c>
      <c r="W32" s="534"/>
    </row>
    <row r="33" spans="1:23" ht="84" x14ac:dyDescent="0.2">
      <c r="A33" s="451">
        <v>24</v>
      </c>
      <c r="B33" s="99" t="s">
        <v>355</v>
      </c>
      <c r="C33" s="367" t="s">
        <v>356</v>
      </c>
      <c r="D33" s="367" t="s">
        <v>356</v>
      </c>
      <c r="E33" s="367" t="s">
        <v>356</v>
      </c>
      <c r="F33" s="367" t="s">
        <v>356</v>
      </c>
      <c r="G33" s="367" t="s">
        <v>356</v>
      </c>
      <c r="H33" s="367" t="s">
        <v>356</v>
      </c>
      <c r="I33" s="367" t="s">
        <v>356</v>
      </c>
      <c r="K33" s="450" t="s">
        <v>356</v>
      </c>
      <c r="L33" s="450" t="s">
        <v>356</v>
      </c>
      <c r="N33" s="463" t="s">
        <v>645</v>
      </c>
      <c r="O33" s="100" t="s">
        <v>356</v>
      </c>
      <c r="P33" s="463" t="s">
        <v>645</v>
      </c>
      <c r="Q33" s="463" t="s">
        <v>645</v>
      </c>
      <c r="R33" s="463" t="s">
        <v>645</v>
      </c>
      <c r="S33" s="463" t="s">
        <v>645</v>
      </c>
      <c r="T33" s="463"/>
      <c r="U33" s="463" t="s">
        <v>645</v>
      </c>
      <c r="V33" s="100" t="s">
        <v>356</v>
      </c>
      <c r="W33" s="534"/>
    </row>
    <row r="34" spans="1:23" ht="12.75" customHeight="1" x14ac:dyDescent="0.2">
      <c r="A34" s="451">
        <v>25</v>
      </c>
      <c r="B34" s="99" t="s">
        <v>357</v>
      </c>
      <c r="C34" s="367" t="s">
        <v>356</v>
      </c>
      <c r="D34" s="367" t="s">
        <v>356</v>
      </c>
      <c r="E34" s="367" t="s">
        <v>356</v>
      </c>
      <c r="F34" s="367" t="s">
        <v>356</v>
      </c>
      <c r="G34" s="367" t="s">
        <v>356</v>
      </c>
      <c r="H34" s="367" t="s">
        <v>356</v>
      </c>
      <c r="I34" s="367" t="s">
        <v>356</v>
      </c>
      <c r="K34" s="450" t="s">
        <v>356</v>
      </c>
      <c r="L34" s="450" t="s">
        <v>356</v>
      </c>
      <c r="N34" s="460" t="s">
        <v>884</v>
      </c>
      <c r="O34" s="100" t="s">
        <v>356</v>
      </c>
      <c r="P34" s="460" t="s">
        <v>884</v>
      </c>
      <c r="Q34" s="460" t="s">
        <v>884</v>
      </c>
      <c r="R34" s="460" t="s">
        <v>884</v>
      </c>
      <c r="S34" s="460" t="s">
        <v>884</v>
      </c>
      <c r="T34" s="460"/>
      <c r="U34" s="460" t="s">
        <v>884</v>
      </c>
      <c r="V34" s="100" t="s">
        <v>356</v>
      </c>
      <c r="W34" s="534"/>
    </row>
    <row r="35" spans="1:23" x14ac:dyDescent="0.2">
      <c r="A35" s="451">
        <v>26</v>
      </c>
      <c r="B35" s="99" t="s">
        <v>358</v>
      </c>
      <c r="C35" s="367" t="s">
        <v>356</v>
      </c>
      <c r="D35" s="367" t="s">
        <v>356</v>
      </c>
      <c r="E35" s="367" t="s">
        <v>356</v>
      </c>
      <c r="F35" s="367" t="s">
        <v>356</v>
      </c>
      <c r="G35" s="367" t="s">
        <v>356</v>
      </c>
      <c r="H35" s="367" t="s">
        <v>356</v>
      </c>
      <c r="I35" s="367" t="s">
        <v>356</v>
      </c>
      <c r="K35" s="450" t="s">
        <v>356</v>
      </c>
      <c r="L35" s="450" t="s">
        <v>356</v>
      </c>
      <c r="N35" s="460" t="s">
        <v>884</v>
      </c>
      <c r="O35" s="100" t="s">
        <v>356</v>
      </c>
      <c r="P35" s="460" t="s">
        <v>884</v>
      </c>
      <c r="Q35" s="460" t="s">
        <v>884</v>
      </c>
      <c r="R35" s="460" t="s">
        <v>884</v>
      </c>
      <c r="S35" s="460" t="s">
        <v>884</v>
      </c>
      <c r="T35" s="460"/>
      <c r="U35" s="460" t="s">
        <v>884</v>
      </c>
      <c r="V35" s="100" t="s">
        <v>356</v>
      </c>
      <c r="W35" s="534"/>
    </row>
    <row r="36" spans="1:23" x14ac:dyDescent="0.2">
      <c r="A36" s="451">
        <v>27</v>
      </c>
      <c r="B36" s="99" t="s">
        <v>359</v>
      </c>
      <c r="C36" s="367" t="s">
        <v>356</v>
      </c>
      <c r="D36" s="367" t="s">
        <v>356</v>
      </c>
      <c r="E36" s="367" t="s">
        <v>356</v>
      </c>
      <c r="F36" s="367" t="s">
        <v>356</v>
      </c>
      <c r="G36" s="367" t="s">
        <v>356</v>
      </c>
      <c r="H36" s="367" t="s">
        <v>356</v>
      </c>
      <c r="I36" s="367" t="s">
        <v>356</v>
      </c>
      <c r="K36" s="450" t="s">
        <v>356</v>
      </c>
      <c r="L36" s="450" t="s">
        <v>356</v>
      </c>
      <c r="N36" s="460" t="s">
        <v>884</v>
      </c>
      <c r="O36" s="100" t="s">
        <v>356</v>
      </c>
      <c r="P36" s="460" t="s">
        <v>884</v>
      </c>
      <c r="Q36" s="460" t="s">
        <v>884</v>
      </c>
      <c r="R36" s="460" t="s">
        <v>884</v>
      </c>
      <c r="S36" s="460" t="s">
        <v>884</v>
      </c>
      <c r="T36" s="460"/>
      <c r="U36" s="460" t="s">
        <v>884</v>
      </c>
      <c r="V36" s="100" t="s">
        <v>356</v>
      </c>
      <c r="W36" s="534"/>
    </row>
    <row r="37" spans="1:23" x14ac:dyDescent="0.2">
      <c r="A37" s="451">
        <v>28</v>
      </c>
      <c r="B37" s="99" t="s">
        <v>360</v>
      </c>
      <c r="C37" s="367" t="s">
        <v>356</v>
      </c>
      <c r="D37" s="367" t="s">
        <v>356</v>
      </c>
      <c r="E37" s="367" t="s">
        <v>356</v>
      </c>
      <c r="F37" s="367" t="s">
        <v>356</v>
      </c>
      <c r="G37" s="367" t="s">
        <v>356</v>
      </c>
      <c r="H37" s="367" t="s">
        <v>356</v>
      </c>
      <c r="I37" s="367" t="s">
        <v>356</v>
      </c>
      <c r="K37" s="450" t="s">
        <v>356</v>
      </c>
      <c r="L37" s="450" t="s">
        <v>356</v>
      </c>
      <c r="N37" s="460" t="s">
        <v>884</v>
      </c>
      <c r="O37" s="100" t="s">
        <v>356</v>
      </c>
      <c r="P37" s="460" t="s">
        <v>884</v>
      </c>
      <c r="Q37" s="460" t="s">
        <v>884</v>
      </c>
      <c r="R37" s="460" t="s">
        <v>884</v>
      </c>
      <c r="S37" s="460" t="s">
        <v>884</v>
      </c>
      <c r="T37" s="460"/>
      <c r="U37" s="460" t="s">
        <v>884</v>
      </c>
      <c r="V37" s="100" t="s">
        <v>356</v>
      </c>
      <c r="W37" s="534"/>
    </row>
    <row r="38" spans="1:23" x14ac:dyDescent="0.2">
      <c r="A38" s="451">
        <v>29</v>
      </c>
      <c r="B38" s="99" t="s">
        <v>361</v>
      </c>
      <c r="C38" s="367" t="s">
        <v>356</v>
      </c>
      <c r="D38" s="367" t="s">
        <v>356</v>
      </c>
      <c r="E38" s="367" t="s">
        <v>356</v>
      </c>
      <c r="F38" s="367" t="s">
        <v>356</v>
      </c>
      <c r="G38" s="367" t="s">
        <v>356</v>
      </c>
      <c r="H38" s="367" t="s">
        <v>356</v>
      </c>
      <c r="I38" s="367" t="s">
        <v>356</v>
      </c>
      <c r="K38" s="450" t="s">
        <v>356</v>
      </c>
      <c r="L38" s="450" t="s">
        <v>356</v>
      </c>
      <c r="N38" s="460" t="s">
        <v>884</v>
      </c>
      <c r="O38" s="100" t="s">
        <v>356</v>
      </c>
      <c r="P38" s="460" t="s">
        <v>884</v>
      </c>
      <c r="Q38" s="460" t="s">
        <v>884</v>
      </c>
      <c r="R38" s="460" t="s">
        <v>884</v>
      </c>
      <c r="S38" s="460" t="s">
        <v>884</v>
      </c>
      <c r="T38" s="460"/>
      <c r="U38" s="460" t="s">
        <v>884</v>
      </c>
      <c r="V38" s="100" t="s">
        <v>356</v>
      </c>
      <c r="W38" s="534"/>
    </row>
    <row r="39" spans="1:23" x14ac:dyDescent="0.2">
      <c r="A39" s="460">
        <v>30</v>
      </c>
      <c r="B39" s="99" t="s">
        <v>362</v>
      </c>
      <c r="C39" s="367" t="s">
        <v>328</v>
      </c>
      <c r="D39" s="367" t="s">
        <v>328</v>
      </c>
      <c r="E39" s="367" t="s">
        <v>356</v>
      </c>
      <c r="F39" s="367" t="s">
        <v>356</v>
      </c>
      <c r="G39" s="367" t="s">
        <v>356</v>
      </c>
      <c r="H39" s="367" t="s">
        <v>356</v>
      </c>
      <c r="I39" s="367" t="s">
        <v>328</v>
      </c>
      <c r="K39" s="450" t="s">
        <v>341</v>
      </c>
      <c r="L39" s="450" t="s">
        <v>328</v>
      </c>
      <c r="N39" s="463" t="s">
        <v>883</v>
      </c>
      <c r="O39" s="100" t="s">
        <v>356</v>
      </c>
      <c r="P39" s="463" t="s">
        <v>883</v>
      </c>
      <c r="Q39" s="463" t="s">
        <v>883</v>
      </c>
      <c r="R39" s="463" t="s">
        <v>883</v>
      </c>
      <c r="S39" s="463" t="s">
        <v>883</v>
      </c>
      <c r="T39" s="463"/>
      <c r="U39" s="463" t="s">
        <v>883</v>
      </c>
      <c r="V39" s="100" t="s">
        <v>356</v>
      </c>
      <c r="W39" s="534"/>
    </row>
    <row r="40" spans="1:23" ht="108" x14ac:dyDescent="0.2">
      <c r="A40" s="460">
        <v>31</v>
      </c>
      <c r="B40" s="99" t="s">
        <v>363</v>
      </c>
      <c r="C40" s="312" t="s">
        <v>364</v>
      </c>
      <c r="D40" s="312" t="s">
        <v>364</v>
      </c>
      <c r="E40" s="367" t="s">
        <v>356</v>
      </c>
      <c r="F40" s="367" t="s">
        <v>356</v>
      </c>
      <c r="G40" s="367" t="s">
        <v>356</v>
      </c>
      <c r="H40" s="367" t="s">
        <v>356</v>
      </c>
      <c r="I40" s="367" t="s">
        <v>356</v>
      </c>
      <c r="K40" s="450" t="s">
        <v>356</v>
      </c>
      <c r="L40" s="463" t="s">
        <v>882</v>
      </c>
      <c r="N40" s="464" t="s">
        <v>885</v>
      </c>
      <c r="O40" s="100" t="s">
        <v>356</v>
      </c>
      <c r="P40" s="464" t="s">
        <v>885</v>
      </c>
      <c r="Q40" s="464" t="s">
        <v>885</v>
      </c>
      <c r="R40" s="464" t="s">
        <v>885</v>
      </c>
      <c r="S40" s="464" t="s">
        <v>885</v>
      </c>
      <c r="T40" s="464"/>
      <c r="U40" s="464" t="s">
        <v>885</v>
      </c>
      <c r="V40" s="100" t="s">
        <v>356</v>
      </c>
      <c r="W40" s="534"/>
    </row>
    <row r="41" spans="1:23" ht="84" x14ac:dyDescent="0.2">
      <c r="A41" s="460">
        <v>32</v>
      </c>
      <c r="B41" s="99" t="s">
        <v>365</v>
      </c>
      <c r="C41" s="367" t="s">
        <v>366</v>
      </c>
      <c r="D41" s="367" t="s">
        <v>366</v>
      </c>
      <c r="E41" s="367" t="s">
        <v>356</v>
      </c>
      <c r="F41" s="367" t="s">
        <v>356</v>
      </c>
      <c r="G41" s="367" t="s">
        <v>356</v>
      </c>
      <c r="H41" s="367" t="s">
        <v>356</v>
      </c>
      <c r="I41" s="367" t="s">
        <v>366</v>
      </c>
      <c r="K41" s="450" t="s">
        <v>356</v>
      </c>
      <c r="L41" s="450" t="s">
        <v>366</v>
      </c>
      <c r="N41" s="463" t="s">
        <v>646</v>
      </c>
      <c r="O41" s="100" t="s">
        <v>356</v>
      </c>
      <c r="P41" s="463" t="s">
        <v>646</v>
      </c>
      <c r="Q41" s="463" t="s">
        <v>646</v>
      </c>
      <c r="R41" s="463" t="s">
        <v>646</v>
      </c>
      <c r="S41" s="463" t="s">
        <v>646</v>
      </c>
      <c r="T41" s="463"/>
      <c r="U41" s="463" t="s">
        <v>646</v>
      </c>
      <c r="V41" s="100" t="s">
        <v>356</v>
      </c>
      <c r="W41" s="534"/>
    </row>
    <row r="42" spans="1:23" x14ac:dyDescent="0.2">
      <c r="A42" s="451">
        <v>33</v>
      </c>
      <c r="B42" s="99" t="s">
        <v>367</v>
      </c>
      <c r="C42" s="367" t="s">
        <v>368</v>
      </c>
      <c r="D42" s="367" t="s">
        <v>368</v>
      </c>
      <c r="E42" s="367" t="s">
        <v>356</v>
      </c>
      <c r="F42" s="367" t="s">
        <v>356</v>
      </c>
      <c r="G42" s="367" t="s">
        <v>356</v>
      </c>
      <c r="H42" s="367" t="s">
        <v>356</v>
      </c>
      <c r="I42" s="367" t="s">
        <v>368</v>
      </c>
      <c r="K42" s="450" t="s">
        <v>356</v>
      </c>
      <c r="L42" s="450" t="s">
        <v>368</v>
      </c>
      <c r="N42" s="460" t="s">
        <v>368</v>
      </c>
      <c r="O42" s="460" t="s">
        <v>356</v>
      </c>
      <c r="P42" s="460" t="s">
        <v>368</v>
      </c>
      <c r="Q42" s="460" t="s">
        <v>368</v>
      </c>
      <c r="R42" s="460" t="s">
        <v>368</v>
      </c>
      <c r="S42" s="460" t="s">
        <v>368</v>
      </c>
      <c r="T42" s="460"/>
      <c r="U42" s="460" t="s">
        <v>368</v>
      </c>
      <c r="V42" s="460" t="s">
        <v>356</v>
      </c>
      <c r="W42" s="534"/>
    </row>
    <row r="43" spans="1:23" ht="37.5" customHeight="1" x14ac:dyDescent="0.2">
      <c r="A43" s="460">
        <v>34</v>
      </c>
      <c r="B43" s="99" t="s">
        <v>369</v>
      </c>
      <c r="C43" s="312" t="s">
        <v>370</v>
      </c>
      <c r="D43" s="312" t="s">
        <v>370</v>
      </c>
      <c r="E43" s="367" t="s">
        <v>356</v>
      </c>
      <c r="F43" s="367" t="s">
        <v>356</v>
      </c>
      <c r="G43" s="367" t="s">
        <v>356</v>
      </c>
      <c r="H43" s="367" t="s">
        <v>356</v>
      </c>
      <c r="I43" s="367" t="s">
        <v>832</v>
      </c>
      <c r="K43" s="450" t="s">
        <v>356</v>
      </c>
      <c r="L43" s="466" t="s">
        <v>639</v>
      </c>
      <c r="N43" s="463" t="s">
        <v>651</v>
      </c>
      <c r="O43" s="460"/>
      <c r="P43" s="463" t="s">
        <v>651</v>
      </c>
      <c r="Q43" s="463" t="s">
        <v>651</v>
      </c>
      <c r="R43" s="463" t="s">
        <v>651</v>
      </c>
      <c r="S43" s="463" t="s">
        <v>651</v>
      </c>
      <c r="T43" s="463"/>
      <c r="U43" s="463" t="s">
        <v>651</v>
      </c>
      <c r="V43" s="460" t="s">
        <v>889</v>
      </c>
      <c r="W43" s="534"/>
    </row>
    <row r="44" spans="1:23" ht="48" x14ac:dyDescent="0.2">
      <c r="A44" s="460">
        <v>35</v>
      </c>
      <c r="B44" s="99" t="s">
        <v>371</v>
      </c>
      <c r="C44" s="367" t="s">
        <v>304</v>
      </c>
      <c r="D44" s="367" t="s">
        <v>304</v>
      </c>
      <c r="E44" s="367" t="s">
        <v>372</v>
      </c>
      <c r="F44" s="367" t="s">
        <v>372</v>
      </c>
      <c r="G44" s="367" t="s">
        <v>372</v>
      </c>
      <c r="H44" s="367" t="s">
        <v>372</v>
      </c>
      <c r="I44" s="367" t="s">
        <v>304</v>
      </c>
      <c r="K44" s="462" t="s">
        <v>673</v>
      </c>
      <c r="L44" s="464" t="s">
        <v>640</v>
      </c>
      <c r="N44" s="460" t="s">
        <v>643</v>
      </c>
      <c r="O44" s="460" t="s">
        <v>647</v>
      </c>
      <c r="P44" s="460" t="s">
        <v>643</v>
      </c>
      <c r="Q44" s="460" t="s">
        <v>643</v>
      </c>
      <c r="R44" s="460" t="s">
        <v>643</v>
      </c>
      <c r="S44" s="460" t="s">
        <v>643</v>
      </c>
      <c r="T44" s="460"/>
      <c r="U44" s="460" t="s">
        <v>643</v>
      </c>
      <c r="V44" s="460" t="s">
        <v>647</v>
      </c>
      <c r="W44" s="534"/>
    </row>
    <row r="45" spans="1:23" x14ac:dyDescent="0.2">
      <c r="A45" s="451">
        <v>36</v>
      </c>
      <c r="B45" s="99" t="s">
        <v>373</v>
      </c>
      <c r="C45" s="367" t="s">
        <v>328</v>
      </c>
      <c r="D45" s="367" t="s">
        <v>328</v>
      </c>
      <c r="E45" s="367" t="s">
        <v>356</v>
      </c>
      <c r="F45" s="367" t="s">
        <v>356</v>
      </c>
      <c r="G45" s="367" t="s">
        <v>356</v>
      </c>
      <c r="H45" s="367" t="s">
        <v>356</v>
      </c>
      <c r="I45" s="367" t="s">
        <v>356</v>
      </c>
      <c r="K45" s="450" t="s">
        <v>341</v>
      </c>
      <c r="L45" s="450" t="s">
        <v>341</v>
      </c>
      <c r="N45" s="460" t="s">
        <v>356</v>
      </c>
      <c r="O45" s="460" t="s">
        <v>356</v>
      </c>
      <c r="P45" s="460" t="s">
        <v>356</v>
      </c>
      <c r="Q45" s="460" t="s">
        <v>356</v>
      </c>
      <c r="R45" s="460" t="s">
        <v>356</v>
      </c>
      <c r="S45" s="460" t="s">
        <v>356</v>
      </c>
      <c r="T45" s="460"/>
      <c r="U45" s="460" t="s">
        <v>356</v>
      </c>
      <c r="V45" s="460" t="s">
        <v>356</v>
      </c>
      <c r="W45" s="534"/>
    </row>
    <row r="46" spans="1:23" ht="12.75" customHeight="1" x14ac:dyDescent="0.2">
      <c r="A46" s="451">
        <v>37</v>
      </c>
      <c r="B46" s="99" t="s">
        <v>374</v>
      </c>
      <c r="C46" s="312" t="s">
        <v>375</v>
      </c>
      <c r="D46" s="312" t="s">
        <v>375</v>
      </c>
      <c r="E46" s="367" t="s">
        <v>356</v>
      </c>
      <c r="F46" s="367" t="s">
        <v>356</v>
      </c>
      <c r="G46" s="367" t="s">
        <v>356</v>
      </c>
      <c r="H46" s="367" t="s">
        <v>356</v>
      </c>
      <c r="I46" s="367" t="s">
        <v>356</v>
      </c>
      <c r="K46" s="450" t="s">
        <v>356</v>
      </c>
      <c r="L46" s="450" t="s">
        <v>356</v>
      </c>
      <c r="N46" s="100" t="s">
        <v>356</v>
      </c>
      <c r="O46" s="100" t="s">
        <v>356</v>
      </c>
      <c r="P46" s="100" t="s">
        <v>356</v>
      </c>
      <c r="Q46" s="100" t="s">
        <v>356</v>
      </c>
      <c r="R46" s="100" t="s">
        <v>356</v>
      </c>
      <c r="S46" s="100" t="s">
        <v>356</v>
      </c>
      <c r="T46" s="100"/>
      <c r="U46" s="100" t="s">
        <v>356</v>
      </c>
      <c r="V46" s="100" t="s">
        <v>356</v>
      </c>
      <c r="W46" s="534"/>
    </row>
    <row r="47" spans="1:23" x14ac:dyDescent="0.2">
      <c r="B47" s="404"/>
      <c r="C47" s="404"/>
      <c r="D47" s="404"/>
      <c r="E47" s="404"/>
      <c r="F47" s="404"/>
      <c r="G47" s="404"/>
      <c r="H47" s="404"/>
      <c r="I47" s="404"/>
      <c r="N47" s="534"/>
      <c r="O47" s="534"/>
      <c r="P47" s="534"/>
      <c r="Q47" s="534"/>
      <c r="R47" s="548"/>
      <c r="S47" s="548"/>
      <c r="T47" s="658"/>
    </row>
    <row r="49" spans="1:21" x14ac:dyDescent="0.2">
      <c r="A49" s="99"/>
      <c r="B49" s="99"/>
      <c r="C49" s="99"/>
      <c r="D49" s="555"/>
      <c r="E49" s="554"/>
      <c r="F49" s="555"/>
      <c r="G49" s="555"/>
      <c r="H49" s="555"/>
      <c r="I49" s="555"/>
      <c r="K49" s="534" t="s">
        <v>681</v>
      </c>
      <c r="N49" s="534" t="s">
        <v>682</v>
      </c>
      <c r="U49" s="534"/>
    </row>
    <row r="50" spans="1:21" x14ac:dyDescent="0.2">
      <c r="A50" s="99"/>
      <c r="B50" s="99"/>
      <c r="C50" s="99"/>
      <c r="D50" s="554"/>
      <c r="E50" s="554"/>
      <c r="F50" s="554"/>
      <c r="G50" s="554"/>
      <c r="H50" s="554"/>
      <c r="I50" s="554"/>
    </row>
    <row r="51" spans="1:21" x14ac:dyDescent="0.2">
      <c r="A51" s="99"/>
      <c r="B51" s="99"/>
      <c r="C51" s="99"/>
    </row>
  </sheetData>
  <mergeCells count="3">
    <mergeCell ref="K3:L3"/>
    <mergeCell ref="U3:V3"/>
    <mergeCell ref="N3:S3"/>
  </mergeCells>
  <pageMargins left="0.7" right="0.7" top="0.75" bottom="0.75" header="0.3" footer="0.3"/>
  <pageSetup paperSize="8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5"/>
  <sheetViews>
    <sheetView zoomScaleNormal="100" workbookViewId="0"/>
  </sheetViews>
  <sheetFormatPr baseColWidth="10" defaultColWidth="11" defaultRowHeight="12" x14ac:dyDescent="0.2"/>
  <cols>
    <col min="1" max="1" width="23.125" style="362" customWidth="1"/>
    <col min="2" max="2" width="9.5" style="362" customWidth="1"/>
    <col min="3" max="3" width="10.25" style="362" customWidth="1"/>
    <col min="4" max="4" width="11.25" style="362" customWidth="1"/>
    <col min="5" max="5" width="17.5" style="362" customWidth="1"/>
    <col min="6" max="6" width="10.625" style="362" customWidth="1"/>
    <col min="7" max="7" width="11.625" style="362" customWidth="1"/>
    <col min="8" max="16384" width="11" style="282"/>
  </cols>
  <sheetData>
    <row r="1" spans="1:7" x14ac:dyDescent="0.2">
      <c r="A1" s="98" t="s">
        <v>149</v>
      </c>
      <c r="B1" s="98"/>
      <c r="C1" s="98"/>
      <c r="D1" s="98"/>
      <c r="E1" s="98"/>
      <c r="F1" s="99"/>
    </row>
    <row r="2" spans="1:7" ht="14.25" x14ac:dyDescent="0.2">
      <c r="A2" s="100" t="s">
        <v>840</v>
      </c>
      <c r="B2" s="100"/>
      <c r="C2" s="100"/>
      <c r="D2" s="370"/>
      <c r="E2" s="100"/>
      <c r="F2" s="99"/>
    </row>
    <row r="3" spans="1:7" x14ac:dyDescent="0.2">
      <c r="A3" s="100" t="s">
        <v>146</v>
      </c>
      <c r="B3" s="100"/>
      <c r="C3" s="100"/>
      <c r="D3" s="100"/>
      <c r="E3" s="100"/>
      <c r="F3" s="99"/>
    </row>
    <row r="4" spans="1:7" ht="12" customHeight="1" x14ac:dyDescent="0.2">
      <c r="A4" s="684" t="s">
        <v>850</v>
      </c>
      <c r="B4" s="684"/>
      <c r="C4" s="684"/>
      <c r="D4" s="684"/>
      <c r="E4" s="684"/>
      <c r="F4" s="99"/>
    </row>
    <row r="5" spans="1:7" x14ac:dyDescent="0.2">
      <c r="A5" s="99" t="s">
        <v>812</v>
      </c>
      <c r="B5" s="101"/>
      <c r="C5" s="101"/>
      <c r="D5" s="102"/>
      <c r="E5" s="99"/>
      <c r="F5" s="99"/>
    </row>
    <row r="6" spans="1:7" x14ac:dyDescent="0.2">
      <c r="A6" s="99"/>
      <c r="B6" s="101"/>
      <c r="C6" s="101"/>
      <c r="D6" s="102"/>
      <c r="E6" s="99"/>
      <c r="F6" s="99"/>
    </row>
    <row r="7" spans="1:7" x14ac:dyDescent="0.2">
      <c r="A7" s="99"/>
      <c r="B7" s="101"/>
      <c r="C7" s="101"/>
      <c r="D7" s="102"/>
      <c r="E7" s="99"/>
      <c r="F7" s="99"/>
    </row>
    <row r="8" spans="1:7" x14ac:dyDescent="0.2">
      <c r="A8" s="98" t="s">
        <v>150</v>
      </c>
      <c r="B8" s="101"/>
      <c r="C8" s="101"/>
      <c r="D8" s="102"/>
      <c r="E8" s="99"/>
      <c r="F8" s="99"/>
      <c r="G8" s="534"/>
    </row>
    <row r="9" spans="1:7" x14ac:dyDescent="0.2">
      <c r="A9" s="100" t="s">
        <v>841</v>
      </c>
      <c r="B9" s="100"/>
      <c r="C9" s="100"/>
      <c r="D9" s="100"/>
      <c r="E9" s="100"/>
      <c r="F9" s="99"/>
      <c r="G9" s="534"/>
    </row>
    <row r="10" spans="1:7" s="362" customFormat="1" x14ac:dyDescent="0.2">
      <c r="A10" s="100" t="s">
        <v>260</v>
      </c>
      <c r="B10" s="100"/>
      <c r="C10" s="100"/>
      <c r="D10" s="100"/>
      <c r="E10" s="100"/>
      <c r="F10" s="99"/>
      <c r="G10" s="534"/>
    </row>
    <row r="11" spans="1:7" s="362" customFormat="1" x14ac:dyDescent="0.2">
      <c r="A11" s="99"/>
      <c r="B11" s="101"/>
      <c r="C11" s="101"/>
      <c r="D11" s="102"/>
      <c r="E11" s="99"/>
      <c r="F11" s="99"/>
      <c r="G11" s="534"/>
    </row>
    <row r="13" spans="1:7" x14ac:dyDescent="0.2">
      <c r="A13" s="380" t="s">
        <v>149</v>
      </c>
      <c r="B13" s="534"/>
      <c r="C13" s="534"/>
    </row>
    <row r="15" spans="1:7" ht="39" thickBot="1" x14ac:dyDescent="0.25">
      <c r="A15" s="86" t="s">
        <v>137</v>
      </c>
      <c r="B15" s="103" t="s">
        <v>851</v>
      </c>
      <c r="C15" s="103" t="s">
        <v>852</v>
      </c>
      <c r="D15" s="103" t="s">
        <v>853</v>
      </c>
      <c r="E15" s="104" t="s">
        <v>813</v>
      </c>
      <c r="F15" s="104" t="s">
        <v>814</v>
      </c>
      <c r="G15" s="104" t="s">
        <v>761</v>
      </c>
    </row>
    <row r="16" spans="1:7" ht="14.25" x14ac:dyDescent="0.2">
      <c r="A16" s="362" t="s">
        <v>251</v>
      </c>
      <c r="B16" s="372">
        <v>9.52</v>
      </c>
      <c r="C16" s="22">
        <v>7093</v>
      </c>
      <c r="D16" s="371">
        <v>16.68</v>
      </c>
      <c r="E16" s="372">
        <v>15.29</v>
      </c>
      <c r="F16" s="22">
        <v>11241</v>
      </c>
      <c r="G16" s="371">
        <v>16.52</v>
      </c>
    </row>
    <row r="17" spans="1:7" x14ac:dyDescent="0.2">
      <c r="A17" s="362" t="s">
        <v>126</v>
      </c>
      <c r="B17" s="372">
        <v>19.239999999999998</v>
      </c>
      <c r="C17" s="22">
        <v>1971</v>
      </c>
      <c r="D17" s="371">
        <v>22.87</v>
      </c>
      <c r="E17" s="372">
        <v>21.92</v>
      </c>
      <c r="F17" s="22">
        <v>2482</v>
      </c>
      <c r="G17" s="371">
        <v>20.67</v>
      </c>
    </row>
    <row r="18" spans="1:7" s="362" customFormat="1" ht="14.25" x14ac:dyDescent="0.2">
      <c r="A18" s="362" t="s">
        <v>815</v>
      </c>
      <c r="B18" s="372">
        <v>24.15</v>
      </c>
      <c r="C18" s="22">
        <v>3247</v>
      </c>
      <c r="D18" s="371">
        <v>29.57</v>
      </c>
      <c r="E18" s="372">
        <v>24.15</v>
      </c>
      <c r="F18" s="22">
        <v>3317</v>
      </c>
      <c r="G18" s="371">
        <v>28.88</v>
      </c>
    </row>
    <row r="19" spans="1:7" x14ac:dyDescent="0.2">
      <c r="A19" s="24" t="s">
        <v>816</v>
      </c>
      <c r="B19" s="374">
        <v>17.850000000000001</v>
      </c>
      <c r="C19" s="303">
        <v>894</v>
      </c>
      <c r="D19" s="496">
        <v>24.3</v>
      </c>
      <c r="E19" s="374"/>
      <c r="F19" s="26"/>
      <c r="G19" s="105"/>
    </row>
    <row r="20" spans="1:7" x14ac:dyDescent="0.2">
      <c r="B20" s="79"/>
      <c r="C20" s="79"/>
    </row>
    <row r="21" spans="1:7" s="362" customFormat="1" ht="14.25" x14ac:dyDescent="0.2">
      <c r="A21" s="106" t="s">
        <v>250</v>
      </c>
      <c r="B21" s="79"/>
      <c r="C21" s="79"/>
    </row>
    <row r="22" spans="1:7" ht="14.25" x14ac:dyDescent="0.2">
      <c r="A22" s="106" t="s">
        <v>282</v>
      </c>
      <c r="B22" s="79"/>
      <c r="C22" s="79"/>
    </row>
    <row r="24" spans="1:7" x14ac:dyDescent="0.2">
      <c r="A24" s="534" t="s">
        <v>248</v>
      </c>
      <c r="B24" s="534"/>
      <c r="C24" s="534"/>
      <c r="D24" s="534"/>
      <c r="E24" s="534"/>
    </row>
    <row r="25" spans="1:7" x14ac:dyDescent="0.2">
      <c r="A25" s="362" t="s">
        <v>817</v>
      </c>
    </row>
  </sheetData>
  <mergeCells count="1">
    <mergeCell ref="A4:E4"/>
  </mergeCells>
  <pageMargins left="0.74803149606299213" right="0.74803149606299213" top="0.98425196850393704" bottom="0.98425196850393704" header="0.51181102362204722" footer="0.51181102362204722"/>
  <pageSetup paperSize="9" scale="87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51"/>
  <sheetViews>
    <sheetView zoomScaleNormal="100" workbookViewId="0"/>
  </sheetViews>
  <sheetFormatPr baseColWidth="10" defaultColWidth="11" defaultRowHeight="12.75" x14ac:dyDescent="0.2"/>
  <cols>
    <col min="1" max="1" width="4.5" style="534" customWidth="1"/>
    <col min="2" max="2" width="103" style="534" customWidth="1"/>
    <col min="3" max="3" width="32.5" style="534" customWidth="1"/>
    <col min="4" max="4" width="45.25" style="534" customWidth="1"/>
    <col min="5" max="5" width="32.5" style="534" customWidth="1"/>
    <col min="6" max="6" width="11" style="534"/>
    <col min="7" max="16384" width="11" style="293"/>
  </cols>
  <sheetData>
    <row r="1" spans="1:5" x14ac:dyDescent="0.2">
      <c r="A1" s="358" t="s">
        <v>713</v>
      </c>
      <c r="B1" s="653"/>
      <c r="C1" s="653"/>
      <c r="D1" s="653"/>
      <c r="E1" s="653"/>
    </row>
    <row r="2" spans="1:5" ht="15" x14ac:dyDescent="0.2">
      <c r="A2" s="502"/>
      <c r="B2" s="653"/>
      <c r="C2" s="653"/>
      <c r="D2" s="653"/>
      <c r="E2" s="653"/>
    </row>
    <row r="3" spans="1:5" ht="15" x14ac:dyDescent="0.2">
      <c r="A3" s="503"/>
      <c r="B3" s="653"/>
      <c r="C3" s="653"/>
      <c r="D3" s="653"/>
      <c r="E3" s="653"/>
    </row>
    <row r="4" spans="1:5" ht="15.75" thickBot="1" x14ac:dyDescent="0.25">
      <c r="A4" s="503" t="s">
        <v>675</v>
      </c>
      <c r="B4" s="425" t="s">
        <v>376</v>
      </c>
      <c r="C4" s="420" t="s">
        <v>612</v>
      </c>
      <c r="D4" s="412" t="s">
        <v>610</v>
      </c>
      <c r="E4" s="420" t="s">
        <v>611</v>
      </c>
    </row>
    <row r="5" spans="1:5" ht="15" x14ac:dyDescent="0.2">
      <c r="A5" s="503" t="s">
        <v>676</v>
      </c>
      <c r="B5" s="101" t="s">
        <v>377</v>
      </c>
      <c r="C5" s="378">
        <v>7980607.6880000001</v>
      </c>
      <c r="D5" s="312" t="s">
        <v>378</v>
      </c>
      <c r="E5" s="367" t="s">
        <v>356</v>
      </c>
    </row>
    <row r="6" spans="1:5" ht="15" x14ac:dyDescent="0.2">
      <c r="A6" s="499" t="s">
        <v>677</v>
      </c>
      <c r="B6" s="99" t="s">
        <v>379</v>
      </c>
      <c r="C6" s="378">
        <v>7980607.6880000001</v>
      </c>
      <c r="D6" s="423"/>
      <c r="E6" s="367" t="s">
        <v>356</v>
      </c>
    </row>
    <row r="7" spans="1:5" x14ac:dyDescent="0.2">
      <c r="A7" s="413"/>
      <c r="B7" s="99" t="s">
        <v>380</v>
      </c>
      <c r="C7" s="378"/>
      <c r="D7" s="423"/>
      <c r="E7" s="367" t="s">
        <v>356</v>
      </c>
    </row>
    <row r="8" spans="1:5" x14ac:dyDescent="0.2">
      <c r="A8" s="413"/>
      <c r="B8" s="99" t="s">
        <v>381</v>
      </c>
      <c r="C8" s="378"/>
      <c r="D8" s="423"/>
      <c r="E8" s="367" t="s">
        <v>356</v>
      </c>
    </row>
    <row r="9" spans="1:5" x14ac:dyDescent="0.2">
      <c r="A9" s="413">
        <v>2</v>
      </c>
      <c r="B9" s="305" t="s">
        <v>382</v>
      </c>
      <c r="C9" s="378">
        <v>10323997</v>
      </c>
      <c r="D9" s="367" t="s">
        <v>383</v>
      </c>
      <c r="E9" s="367" t="s">
        <v>356</v>
      </c>
    </row>
    <row r="10" spans="1:5" x14ac:dyDescent="0.2">
      <c r="A10" s="413">
        <v>3</v>
      </c>
      <c r="B10" s="305" t="s">
        <v>384</v>
      </c>
      <c r="C10" s="378">
        <v>-651151</v>
      </c>
      <c r="D10" s="422" t="s">
        <v>385</v>
      </c>
      <c r="E10" s="367" t="s">
        <v>356</v>
      </c>
    </row>
    <row r="11" spans="1:5" x14ac:dyDescent="0.2">
      <c r="A11" s="413" t="s">
        <v>386</v>
      </c>
      <c r="B11" s="99" t="s">
        <v>387</v>
      </c>
      <c r="C11" s="378"/>
      <c r="D11" s="423" t="s">
        <v>388</v>
      </c>
      <c r="E11" s="367" t="s">
        <v>356</v>
      </c>
    </row>
    <row r="12" spans="1:5" ht="12.75" customHeight="1" x14ac:dyDescent="0.2">
      <c r="A12" s="413">
        <v>4</v>
      </c>
      <c r="B12" s="305" t="s">
        <v>389</v>
      </c>
      <c r="C12" s="378"/>
      <c r="D12" s="423"/>
      <c r="E12" s="367" t="s">
        <v>356</v>
      </c>
    </row>
    <row r="13" spans="1:5" ht="12.75" customHeight="1" x14ac:dyDescent="0.2">
      <c r="A13" s="413"/>
      <c r="B13" s="305" t="s">
        <v>390</v>
      </c>
      <c r="C13" s="378"/>
      <c r="D13" s="423"/>
      <c r="E13" s="367" t="s">
        <v>356</v>
      </c>
    </row>
    <row r="14" spans="1:5" x14ac:dyDescent="0.2">
      <c r="A14" s="413">
        <v>5</v>
      </c>
      <c r="B14" s="99" t="s">
        <v>391</v>
      </c>
      <c r="C14" s="378">
        <v>0</v>
      </c>
      <c r="D14" s="423">
        <v>84</v>
      </c>
      <c r="E14" s="367" t="s">
        <v>356</v>
      </c>
    </row>
    <row r="15" spans="1:5" ht="12.75" customHeight="1" x14ac:dyDescent="0.2">
      <c r="A15" s="413" t="s">
        <v>392</v>
      </c>
      <c r="B15" s="305" t="s">
        <v>393</v>
      </c>
      <c r="C15" s="378">
        <v>998585</v>
      </c>
      <c r="D15" s="423" t="s">
        <v>394</v>
      </c>
      <c r="E15" s="367" t="s">
        <v>356</v>
      </c>
    </row>
    <row r="16" spans="1:5" x14ac:dyDescent="0.2">
      <c r="A16" s="413">
        <v>6</v>
      </c>
      <c r="B16" s="416" t="s">
        <v>395</v>
      </c>
      <c r="C16" s="378">
        <v>18652039</v>
      </c>
      <c r="D16" s="428" t="s">
        <v>396</v>
      </c>
      <c r="E16" s="367" t="s">
        <v>356</v>
      </c>
    </row>
    <row r="17" spans="1:5" x14ac:dyDescent="0.2">
      <c r="A17" s="722"/>
      <c r="B17" s="722"/>
      <c r="C17" s="722"/>
      <c r="D17" s="722"/>
      <c r="E17" s="722"/>
    </row>
    <row r="18" spans="1:5" ht="13.5" thickBot="1" x14ac:dyDescent="0.25">
      <c r="A18" s="452"/>
      <c r="B18" s="421" t="s">
        <v>397</v>
      </c>
      <c r="C18" s="421"/>
      <c r="D18" s="421"/>
      <c r="E18" s="421"/>
    </row>
    <row r="19" spans="1:5" ht="12.75" customHeight="1" x14ac:dyDescent="0.2">
      <c r="A19" s="413">
        <v>7</v>
      </c>
      <c r="B19" s="305" t="s">
        <v>398</v>
      </c>
      <c r="C19" s="378">
        <v>-38389</v>
      </c>
      <c r="D19" s="423" t="s">
        <v>399</v>
      </c>
      <c r="E19" s="367" t="s">
        <v>356</v>
      </c>
    </row>
    <row r="20" spans="1:5" ht="12.75" customHeight="1" x14ac:dyDescent="0.2">
      <c r="A20" s="413">
        <v>8</v>
      </c>
      <c r="B20" s="305" t="s">
        <v>400</v>
      </c>
      <c r="C20" s="378">
        <v>-116471</v>
      </c>
      <c r="D20" s="312" t="s">
        <v>401</v>
      </c>
      <c r="E20" s="367" t="s">
        <v>356</v>
      </c>
    </row>
    <row r="21" spans="1:5" x14ac:dyDescent="0.2">
      <c r="A21" s="413">
        <v>9</v>
      </c>
      <c r="B21" s="305" t="s">
        <v>402</v>
      </c>
      <c r="C21" s="378"/>
      <c r="D21" s="367"/>
      <c r="E21" s="367" t="s">
        <v>356</v>
      </c>
    </row>
    <row r="22" spans="1:5" ht="12.75" customHeight="1" x14ac:dyDescent="0.2">
      <c r="A22" s="413">
        <v>10</v>
      </c>
      <c r="B22" s="305" t="s">
        <v>403</v>
      </c>
      <c r="C22" s="378">
        <v>0</v>
      </c>
      <c r="D22" s="422" t="s">
        <v>404</v>
      </c>
      <c r="E22" s="367" t="s">
        <v>356</v>
      </c>
    </row>
    <row r="23" spans="1:5" ht="12.75" customHeight="1" x14ac:dyDescent="0.2">
      <c r="A23" s="413">
        <v>11</v>
      </c>
      <c r="B23" s="305" t="s">
        <v>405</v>
      </c>
      <c r="C23" s="378">
        <v>0</v>
      </c>
      <c r="D23" s="423" t="s">
        <v>406</v>
      </c>
      <c r="E23" s="367" t="s">
        <v>356</v>
      </c>
    </row>
    <row r="24" spans="1:5" ht="12.75" customHeight="1" x14ac:dyDescent="0.2">
      <c r="A24" s="413">
        <v>12</v>
      </c>
      <c r="B24" s="415" t="s">
        <v>407</v>
      </c>
      <c r="C24" s="378">
        <v>-336647</v>
      </c>
      <c r="D24" s="422" t="s">
        <v>408</v>
      </c>
      <c r="E24" s="367" t="s">
        <v>356</v>
      </c>
    </row>
    <row r="25" spans="1:5" ht="12.75" customHeight="1" x14ac:dyDescent="0.2">
      <c r="A25" s="413">
        <v>13</v>
      </c>
      <c r="B25" s="305" t="s">
        <v>409</v>
      </c>
      <c r="C25" s="378">
        <v>0</v>
      </c>
      <c r="D25" s="423" t="s">
        <v>410</v>
      </c>
      <c r="E25" s="367" t="s">
        <v>356</v>
      </c>
    </row>
    <row r="26" spans="1:5" ht="12.75" customHeight="1" x14ac:dyDescent="0.2">
      <c r="A26" s="413">
        <v>14</v>
      </c>
      <c r="B26" s="305" t="s">
        <v>411</v>
      </c>
      <c r="C26" s="378">
        <v>0</v>
      </c>
      <c r="D26" s="312" t="s">
        <v>412</v>
      </c>
      <c r="E26" s="367" t="s">
        <v>356</v>
      </c>
    </row>
    <row r="27" spans="1:5" x14ac:dyDescent="0.2">
      <c r="A27" s="413">
        <v>15</v>
      </c>
      <c r="B27" s="305" t="s">
        <v>413</v>
      </c>
      <c r="C27" s="378">
        <v>0</v>
      </c>
      <c r="D27" s="312" t="s">
        <v>414</v>
      </c>
      <c r="E27" s="367" t="s">
        <v>356</v>
      </c>
    </row>
    <row r="28" spans="1:5" ht="12.75" customHeight="1" x14ac:dyDescent="0.2">
      <c r="A28" s="413">
        <v>16</v>
      </c>
      <c r="B28" s="305" t="s">
        <v>415</v>
      </c>
      <c r="C28" s="378">
        <v>0</v>
      </c>
      <c r="D28" s="312" t="s">
        <v>416</v>
      </c>
      <c r="E28" s="367" t="s">
        <v>356</v>
      </c>
    </row>
    <row r="29" spans="1:5" ht="12.75" customHeight="1" x14ac:dyDescent="0.2">
      <c r="A29" s="413">
        <v>17</v>
      </c>
      <c r="B29" s="415" t="s">
        <v>417</v>
      </c>
      <c r="C29" s="378">
        <v>0</v>
      </c>
      <c r="D29" s="422" t="s">
        <v>418</v>
      </c>
      <c r="E29" s="367" t="s">
        <v>356</v>
      </c>
    </row>
    <row r="30" spans="1:5" ht="25.5" customHeight="1" x14ac:dyDescent="0.2">
      <c r="A30" s="413">
        <v>18</v>
      </c>
      <c r="B30" s="415" t="s">
        <v>419</v>
      </c>
      <c r="C30" s="378">
        <v>0</v>
      </c>
      <c r="D30" s="422" t="s">
        <v>420</v>
      </c>
      <c r="E30" s="367" t="s">
        <v>356</v>
      </c>
    </row>
    <row r="31" spans="1:5" ht="25.5" customHeight="1" x14ac:dyDescent="0.2">
      <c r="A31" s="413">
        <v>19</v>
      </c>
      <c r="B31" s="305" t="s">
        <v>421</v>
      </c>
      <c r="C31" s="378">
        <v>-71943</v>
      </c>
      <c r="D31" s="422" t="s">
        <v>422</v>
      </c>
      <c r="E31" s="367" t="s">
        <v>356</v>
      </c>
    </row>
    <row r="32" spans="1:5" x14ac:dyDescent="0.2">
      <c r="A32" s="413">
        <v>20</v>
      </c>
      <c r="B32" s="305" t="s">
        <v>402</v>
      </c>
      <c r="C32" s="378"/>
      <c r="D32" s="367"/>
      <c r="E32" s="367" t="s">
        <v>356</v>
      </c>
    </row>
    <row r="33" spans="1:5" x14ac:dyDescent="0.2">
      <c r="A33" s="413" t="s">
        <v>342</v>
      </c>
      <c r="B33" s="305" t="s">
        <v>423</v>
      </c>
      <c r="C33" s="378">
        <v>0</v>
      </c>
      <c r="D33" s="423" t="s">
        <v>424</v>
      </c>
      <c r="E33" s="367" t="s">
        <v>356</v>
      </c>
    </row>
    <row r="34" spans="1:5" ht="12.75" customHeight="1" x14ac:dyDescent="0.2">
      <c r="A34" s="414" t="s">
        <v>346</v>
      </c>
      <c r="B34" s="305" t="s">
        <v>425</v>
      </c>
      <c r="C34" s="378"/>
      <c r="D34" s="312" t="s">
        <v>426</v>
      </c>
      <c r="E34" s="367" t="s">
        <v>356</v>
      </c>
    </row>
    <row r="35" spans="1:5" ht="13.5" customHeight="1" x14ac:dyDescent="0.2">
      <c r="A35" s="414" t="s">
        <v>427</v>
      </c>
      <c r="B35" s="415" t="s">
        <v>428</v>
      </c>
      <c r="C35" s="378">
        <v>0</v>
      </c>
      <c r="D35" s="312" t="s">
        <v>429</v>
      </c>
      <c r="E35" s="367" t="s">
        <v>356</v>
      </c>
    </row>
    <row r="36" spans="1:5" ht="12.75" customHeight="1" x14ac:dyDescent="0.2">
      <c r="A36" s="414" t="s">
        <v>430</v>
      </c>
      <c r="B36" s="305" t="s">
        <v>431</v>
      </c>
      <c r="C36" s="378">
        <v>0</v>
      </c>
      <c r="D36" s="422" t="s">
        <v>432</v>
      </c>
      <c r="E36" s="367" t="s">
        <v>356</v>
      </c>
    </row>
    <row r="37" spans="1:5" ht="12.75" customHeight="1" x14ac:dyDescent="0.2">
      <c r="A37" s="413">
        <v>21</v>
      </c>
      <c r="B37" s="305" t="s">
        <v>433</v>
      </c>
      <c r="C37" s="378">
        <v>0</v>
      </c>
      <c r="D37" s="422" t="s">
        <v>434</v>
      </c>
      <c r="E37" s="367" t="s">
        <v>356</v>
      </c>
    </row>
    <row r="38" spans="1:5" ht="12.75" customHeight="1" x14ac:dyDescent="0.2">
      <c r="A38" s="413">
        <v>22</v>
      </c>
      <c r="B38" s="305" t="s">
        <v>435</v>
      </c>
      <c r="C38" s="378">
        <v>0</v>
      </c>
      <c r="D38" s="423" t="s">
        <v>436</v>
      </c>
      <c r="E38" s="367" t="s">
        <v>356</v>
      </c>
    </row>
    <row r="39" spans="1:5" ht="12.75" customHeight="1" x14ac:dyDescent="0.2">
      <c r="A39" s="413">
        <v>23</v>
      </c>
      <c r="B39" s="305" t="s">
        <v>437</v>
      </c>
      <c r="C39" s="378">
        <v>0</v>
      </c>
      <c r="D39" s="422" t="s">
        <v>438</v>
      </c>
      <c r="E39" s="367" t="s">
        <v>356</v>
      </c>
    </row>
    <row r="40" spans="1:5" x14ac:dyDescent="0.2">
      <c r="A40" s="413">
        <v>24</v>
      </c>
      <c r="B40" s="305" t="s">
        <v>402</v>
      </c>
      <c r="C40" s="378"/>
      <c r="D40" s="367"/>
      <c r="E40" s="367" t="s">
        <v>356</v>
      </c>
    </row>
    <row r="41" spans="1:5" ht="12" customHeight="1" x14ac:dyDescent="0.2">
      <c r="A41" s="413">
        <v>25</v>
      </c>
      <c r="B41" s="305" t="s">
        <v>439</v>
      </c>
      <c r="C41" s="378">
        <v>0</v>
      </c>
      <c r="D41" s="312" t="s">
        <v>434</v>
      </c>
      <c r="E41" s="367" t="s">
        <v>356</v>
      </c>
    </row>
    <row r="42" spans="1:5" ht="12.75" customHeight="1" x14ac:dyDescent="0.2">
      <c r="A42" s="414" t="s">
        <v>440</v>
      </c>
      <c r="B42" s="305" t="s">
        <v>441</v>
      </c>
      <c r="C42" s="378">
        <v>0</v>
      </c>
      <c r="D42" s="423" t="s">
        <v>442</v>
      </c>
      <c r="E42" s="367" t="s">
        <v>356</v>
      </c>
    </row>
    <row r="43" spans="1:5" ht="12.75" customHeight="1" x14ac:dyDescent="0.2">
      <c r="A43" s="414" t="s">
        <v>443</v>
      </c>
      <c r="B43" s="305" t="s">
        <v>444</v>
      </c>
      <c r="C43" s="378">
        <v>0</v>
      </c>
      <c r="D43" s="423" t="s">
        <v>445</v>
      </c>
      <c r="E43" s="367" t="s">
        <v>356</v>
      </c>
    </row>
    <row r="44" spans="1:5" ht="12.75" customHeight="1" x14ac:dyDescent="0.2">
      <c r="A44" s="413">
        <v>26</v>
      </c>
      <c r="B44" s="305" t="s">
        <v>446</v>
      </c>
      <c r="C44" s="378">
        <v>0</v>
      </c>
      <c r="D44" s="312" t="s">
        <v>447</v>
      </c>
      <c r="E44" s="367" t="s">
        <v>356</v>
      </c>
    </row>
    <row r="45" spans="1:5" ht="12.75" customHeight="1" x14ac:dyDescent="0.2">
      <c r="A45" s="414" t="s">
        <v>448</v>
      </c>
      <c r="B45" s="305" t="s">
        <v>449</v>
      </c>
      <c r="C45" s="378">
        <v>0</v>
      </c>
      <c r="D45" s="367"/>
      <c r="E45" s="367" t="s">
        <v>356</v>
      </c>
    </row>
    <row r="46" spans="1:5" x14ac:dyDescent="0.2">
      <c r="A46" s="99"/>
      <c r="B46" s="305" t="s">
        <v>450</v>
      </c>
      <c r="C46" s="378"/>
      <c r="D46" s="367"/>
      <c r="E46" s="367" t="s">
        <v>356</v>
      </c>
    </row>
    <row r="47" spans="1:5" x14ac:dyDescent="0.2">
      <c r="A47" s="99"/>
      <c r="B47" s="305" t="s">
        <v>451</v>
      </c>
      <c r="C47" s="378"/>
      <c r="D47" s="367"/>
      <c r="E47" s="367" t="s">
        <v>356</v>
      </c>
    </row>
    <row r="48" spans="1:5" x14ac:dyDescent="0.2">
      <c r="A48" s="99"/>
      <c r="B48" s="305" t="s">
        <v>452</v>
      </c>
      <c r="C48" s="378"/>
      <c r="D48" s="367">
        <v>468</v>
      </c>
      <c r="E48" s="367" t="s">
        <v>356</v>
      </c>
    </row>
    <row r="49" spans="1:5" x14ac:dyDescent="0.2">
      <c r="A49" s="99"/>
      <c r="B49" s="305" t="s">
        <v>453</v>
      </c>
      <c r="C49" s="378"/>
      <c r="D49" s="423">
        <v>468</v>
      </c>
      <c r="E49" s="367" t="s">
        <v>356</v>
      </c>
    </row>
    <row r="50" spans="1:5" ht="12.75" customHeight="1" x14ac:dyDescent="0.2">
      <c r="A50" s="414" t="s">
        <v>454</v>
      </c>
      <c r="B50" s="305" t="s">
        <v>455</v>
      </c>
      <c r="C50" s="378"/>
      <c r="D50" s="367"/>
      <c r="E50" s="367" t="s">
        <v>356</v>
      </c>
    </row>
    <row r="51" spans="1:5" x14ac:dyDescent="0.2">
      <c r="A51" s="99"/>
      <c r="B51" s="305" t="s">
        <v>456</v>
      </c>
      <c r="C51" s="378"/>
      <c r="D51" s="367"/>
      <c r="E51" s="367" t="s">
        <v>356</v>
      </c>
    </row>
    <row r="52" spans="1:5" ht="12.75" customHeight="1" x14ac:dyDescent="0.2">
      <c r="A52" s="413">
        <v>27</v>
      </c>
      <c r="B52" s="305" t="s">
        <v>457</v>
      </c>
      <c r="C52" s="378">
        <v>0</v>
      </c>
      <c r="D52" s="422" t="s">
        <v>458</v>
      </c>
      <c r="E52" s="367" t="s">
        <v>356</v>
      </c>
    </row>
    <row r="53" spans="1:5" x14ac:dyDescent="0.2">
      <c r="A53" s="413">
        <v>28</v>
      </c>
      <c r="B53" s="426" t="s">
        <v>459</v>
      </c>
      <c r="C53" s="324">
        <v>-563450</v>
      </c>
      <c r="D53" s="429" t="s">
        <v>460</v>
      </c>
      <c r="E53" s="367" t="s">
        <v>356</v>
      </c>
    </row>
    <row r="54" spans="1:5" ht="12.75" customHeight="1" x14ac:dyDescent="0.2">
      <c r="A54" s="413">
        <v>29</v>
      </c>
      <c r="B54" s="426" t="s">
        <v>461</v>
      </c>
      <c r="C54" s="324">
        <v>18088589</v>
      </c>
      <c r="D54" s="430" t="s">
        <v>462</v>
      </c>
      <c r="E54" s="367" t="s">
        <v>356</v>
      </c>
    </row>
    <row r="55" spans="1:5" ht="12.75" customHeight="1" x14ac:dyDescent="0.2">
      <c r="A55" s="413"/>
      <c r="B55" s="426"/>
      <c r="C55" s="324"/>
      <c r="D55" s="427"/>
      <c r="E55" s="99"/>
    </row>
    <row r="56" spans="1:5" ht="13.5" thickBot="1" x14ac:dyDescent="0.25">
      <c r="A56" s="452"/>
      <c r="B56" s="421" t="s">
        <v>463</v>
      </c>
      <c r="C56" s="421"/>
      <c r="D56" s="421"/>
      <c r="E56" s="421"/>
    </row>
    <row r="57" spans="1:5" x14ac:dyDescent="0.2">
      <c r="A57" s="413">
        <v>30</v>
      </c>
      <c r="B57" s="101" t="s">
        <v>377</v>
      </c>
      <c r="C57" s="324">
        <v>397396</v>
      </c>
      <c r="D57" s="367" t="s">
        <v>464</v>
      </c>
      <c r="E57" s="367" t="s">
        <v>356</v>
      </c>
    </row>
    <row r="58" spans="1:5" ht="12.75" customHeight="1" x14ac:dyDescent="0.2">
      <c r="A58" s="413">
        <v>31</v>
      </c>
      <c r="B58" s="305" t="s">
        <v>465</v>
      </c>
      <c r="C58" s="324">
        <v>0</v>
      </c>
      <c r="D58" s="367"/>
      <c r="E58" s="367" t="s">
        <v>356</v>
      </c>
    </row>
    <row r="59" spans="1:5" ht="12.75" customHeight="1" x14ac:dyDescent="0.2">
      <c r="A59" s="413">
        <v>32</v>
      </c>
      <c r="B59" s="305" t="s">
        <v>466</v>
      </c>
      <c r="C59" s="324">
        <v>397396</v>
      </c>
      <c r="D59" s="367"/>
      <c r="E59" s="367" t="s">
        <v>356</v>
      </c>
    </row>
    <row r="60" spans="1:5" x14ac:dyDescent="0.2">
      <c r="A60" s="413">
        <v>33</v>
      </c>
      <c r="B60" s="305" t="s">
        <v>467</v>
      </c>
      <c r="C60" s="324">
        <v>797170</v>
      </c>
      <c r="D60" s="367" t="s">
        <v>468</v>
      </c>
      <c r="E60" s="367" t="s">
        <v>356</v>
      </c>
    </row>
    <row r="61" spans="1:5" ht="12.75" customHeight="1" x14ac:dyDescent="0.2">
      <c r="A61" s="413">
        <v>34</v>
      </c>
      <c r="B61" s="305" t="s">
        <v>469</v>
      </c>
      <c r="C61" s="324"/>
      <c r="D61" s="367" t="s">
        <v>470</v>
      </c>
      <c r="E61" s="367" t="s">
        <v>356</v>
      </c>
    </row>
    <row r="62" spans="1:5" x14ac:dyDescent="0.2">
      <c r="A62" s="413">
        <v>35</v>
      </c>
      <c r="B62" s="101" t="s">
        <v>471</v>
      </c>
      <c r="C62" s="324"/>
      <c r="D62" s="367"/>
      <c r="E62" s="367" t="s">
        <v>356</v>
      </c>
    </row>
    <row r="63" spans="1:5" x14ac:dyDescent="0.2">
      <c r="A63" s="413">
        <v>36</v>
      </c>
      <c r="B63" s="426" t="s">
        <v>472</v>
      </c>
      <c r="C63" s="324">
        <v>1194567</v>
      </c>
      <c r="D63" s="429" t="s">
        <v>473</v>
      </c>
      <c r="E63" s="367" t="s">
        <v>356</v>
      </c>
    </row>
    <row r="64" spans="1:5" x14ac:dyDescent="0.2">
      <c r="A64" s="413"/>
      <c r="B64" s="417"/>
      <c r="C64" s="378"/>
      <c r="D64" s="424"/>
      <c r="E64" s="99"/>
    </row>
    <row r="65" spans="1:5" ht="12.75" customHeight="1" thickBot="1" x14ac:dyDescent="0.25">
      <c r="A65" s="452"/>
      <c r="B65" s="421" t="s">
        <v>474</v>
      </c>
      <c r="C65" s="421"/>
      <c r="D65" s="421"/>
      <c r="E65" s="421"/>
    </row>
    <row r="66" spans="1:5" ht="12.75" customHeight="1" x14ac:dyDescent="0.2">
      <c r="A66" s="413">
        <v>37</v>
      </c>
      <c r="B66" s="305" t="s">
        <v>475</v>
      </c>
      <c r="C66" s="378">
        <v>-5195</v>
      </c>
      <c r="D66" s="312" t="s">
        <v>476</v>
      </c>
      <c r="E66" s="367" t="s">
        <v>356</v>
      </c>
    </row>
    <row r="67" spans="1:5" ht="12.75" customHeight="1" x14ac:dyDescent="0.2">
      <c r="A67" s="413">
        <v>38</v>
      </c>
      <c r="B67" s="305" t="s">
        <v>477</v>
      </c>
      <c r="C67" s="378">
        <v>0</v>
      </c>
      <c r="D67" s="423" t="s">
        <v>478</v>
      </c>
      <c r="E67" s="367" t="s">
        <v>356</v>
      </c>
    </row>
    <row r="68" spans="1:5" ht="24.75" customHeight="1" x14ac:dyDescent="0.2">
      <c r="A68" s="413">
        <v>39</v>
      </c>
      <c r="B68" s="415" t="s">
        <v>479</v>
      </c>
      <c r="C68" s="378">
        <v>0</v>
      </c>
      <c r="D68" s="422" t="s">
        <v>480</v>
      </c>
      <c r="E68" s="367" t="s">
        <v>356</v>
      </c>
    </row>
    <row r="69" spans="1:5" ht="25.5" customHeight="1" x14ac:dyDescent="0.2">
      <c r="A69" s="413">
        <v>40</v>
      </c>
      <c r="B69" s="415" t="s">
        <v>481</v>
      </c>
      <c r="C69" s="378">
        <v>0</v>
      </c>
      <c r="D69" s="422" t="s">
        <v>482</v>
      </c>
      <c r="E69" s="367" t="s">
        <v>356</v>
      </c>
    </row>
    <row r="70" spans="1:5" ht="12.75" customHeight="1" x14ac:dyDescent="0.2">
      <c r="A70" s="413">
        <v>41</v>
      </c>
      <c r="B70" s="305" t="s">
        <v>483</v>
      </c>
      <c r="C70" s="378">
        <v>0</v>
      </c>
      <c r="D70" s="312" t="s">
        <v>484</v>
      </c>
      <c r="E70" s="367" t="s">
        <v>356</v>
      </c>
    </row>
    <row r="71" spans="1:5" ht="12.75" customHeight="1" x14ac:dyDescent="0.2">
      <c r="A71" s="414" t="s">
        <v>485</v>
      </c>
      <c r="B71" s="305" t="s">
        <v>486</v>
      </c>
      <c r="C71" s="378">
        <v>0</v>
      </c>
      <c r="D71" s="422" t="s">
        <v>487</v>
      </c>
      <c r="E71" s="367" t="s">
        <v>356</v>
      </c>
    </row>
    <row r="72" spans="1:5" x14ac:dyDescent="0.2">
      <c r="A72" s="99"/>
      <c r="B72" s="99" t="s">
        <v>488</v>
      </c>
      <c r="C72" s="378"/>
      <c r="D72" s="367"/>
      <c r="E72" s="99"/>
    </row>
    <row r="73" spans="1:5" ht="12.75" customHeight="1" x14ac:dyDescent="0.2">
      <c r="A73" s="414" t="s">
        <v>489</v>
      </c>
      <c r="B73" s="305" t="s">
        <v>490</v>
      </c>
      <c r="C73" s="378"/>
      <c r="D73" s="367"/>
      <c r="E73" s="99"/>
    </row>
    <row r="74" spans="1:5" x14ac:dyDescent="0.2">
      <c r="A74" s="99"/>
      <c r="B74" s="305" t="s">
        <v>488</v>
      </c>
      <c r="C74" s="378"/>
      <c r="D74" s="367"/>
      <c r="E74" s="99"/>
    </row>
    <row r="75" spans="1:5" ht="12.75" customHeight="1" x14ac:dyDescent="0.2">
      <c r="A75" s="414" t="s">
        <v>491</v>
      </c>
      <c r="B75" s="305" t="s">
        <v>492</v>
      </c>
      <c r="C75" s="378"/>
      <c r="D75" s="367"/>
      <c r="E75" s="99"/>
    </row>
    <row r="76" spans="1:5" ht="12.75" customHeight="1" x14ac:dyDescent="0.2">
      <c r="A76" s="99"/>
      <c r="B76" s="305" t="s">
        <v>493</v>
      </c>
      <c r="C76" s="378"/>
      <c r="D76" s="367"/>
      <c r="E76" s="99"/>
    </row>
    <row r="77" spans="1:5" x14ac:dyDescent="0.2">
      <c r="A77" s="99"/>
      <c r="B77" s="305" t="s">
        <v>494</v>
      </c>
      <c r="C77" s="378"/>
      <c r="D77" s="367"/>
      <c r="E77" s="99"/>
    </row>
    <row r="78" spans="1:5" x14ac:dyDescent="0.2">
      <c r="A78" s="99"/>
      <c r="B78" s="305" t="s">
        <v>456</v>
      </c>
      <c r="C78" s="378"/>
      <c r="D78" s="367"/>
      <c r="E78" s="99"/>
    </row>
    <row r="79" spans="1:5" x14ac:dyDescent="0.2">
      <c r="A79" s="413">
        <v>42</v>
      </c>
      <c r="B79" s="305" t="s">
        <v>495</v>
      </c>
      <c r="C79" s="378">
        <v>0</v>
      </c>
      <c r="D79" s="367" t="s">
        <v>496</v>
      </c>
      <c r="E79" s="367" t="s">
        <v>356</v>
      </c>
    </row>
    <row r="80" spans="1:5" x14ac:dyDescent="0.2">
      <c r="A80" s="413">
        <v>43</v>
      </c>
      <c r="B80" s="416" t="s">
        <v>497</v>
      </c>
      <c r="C80" s="378">
        <v>-5195</v>
      </c>
      <c r="D80" s="429" t="s">
        <v>498</v>
      </c>
      <c r="E80" s="367" t="s">
        <v>356</v>
      </c>
    </row>
    <row r="81" spans="1:5" ht="12.75" customHeight="1" x14ac:dyDescent="0.2">
      <c r="A81" s="413">
        <v>44</v>
      </c>
      <c r="B81" s="416" t="s">
        <v>499</v>
      </c>
      <c r="C81" s="378">
        <v>1189372</v>
      </c>
      <c r="D81" s="429" t="s">
        <v>500</v>
      </c>
      <c r="E81" s="367" t="s">
        <v>356</v>
      </c>
    </row>
    <row r="82" spans="1:5" ht="12" customHeight="1" x14ac:dyDescent="0.2">
      <c r="A82" s="413">
        <v>45</v>
      </c>
      <c r="B82" s="416" t="s">
        <v>128</v>
      </c>
      <c r="C82" s="378">
        <v>19277961</v>
      </c>
      <c r="D82" s="429" t="s">
        <v>501</v>
      </c>
      <c r="E82" s="367" t="s">
        <v>356</v>
      </c>
    </row>
    <row r="83" spans="1:5" x14ac:dyDescent="0.2">
      <c r="A83" s="413"/>
      <c r="B83" s="416"/>
      <c r="C83" s="378"/>
      <c r="D83" s="424"/>
      <c r="E83" s="99"/>
    </row>
    <row r="84" spans="1:5" ht="12.75" customHeight="1" thickBot="1" x14ac:dyDescent="0.25">
      <c r="A84" s="452"/>
      <c r="B84" s="421" t="s">
        <v>502</v>
      </c>
      <c r="C84" s="421"/>
      <c r="D84" s="421"/>
      <c r="E84" s="421"/>
    </row>
    <row r="85" spans="1:5" x14ac:dyDescent="0.2">
      <c r="A85" s="413">
        <v>46</v>
      </c>
      <c r="B85" s="305" t="s">
        <v>377</v>
      </c>
      <c r="C85" s="378">
        <v>2263749</v>
      </c>
      <c r="D85" s="367" t="s">
        <v>503</v>
      </c>
      <c r="E85" s="367" t="s">
        <v>356</v>
      </c>
    </row>
    <row r="86" spans="1:5" x14ac:dyDescent="0.2">
      <c r="A86" s="413">
        <v>47</v>
      </c>
      <c r="B86" s="305" t="s">
        <v>504</v>
      </c>
      <c r="C86" s="378">
        <v>0</v>
      </c>
      <c r="D86" s="367" t="s">
        <v>505</v>
      </c>
      <c r="E86" s="367" t="s">
        <v>356</v>
      </c>
    </row>
    <row r="87" spans="1:5" ht="12.75" customHeight="1" x14ac:dyDescent="0.2">
      <c r="A87" s="99"/>
      <c r="B87" s="305" t="s">
        <v>506</v>
      </c>
      <c r="C87" s="378"/>
      <c r="D87" s="367"/>
      <c r="E87" s="367" t="s">
        <v>356</v>
      </c>
    </row>
    <row r="88" spans="1:5" ht="12.75" customHeight="1" x14ac:dyDescent="0.2">
      <c r="A88" s="413">
        <v>48</v>
      </c>
      <c r="B88" s="305" t="s">
        <v>507</v>
      </c>
      <c r="C88" s="378">
        <v>0</v>
      </c>
      <c r="D88" s="423" t="s">
        <v>508</v>
      </c>
      <c r="E88" s="367" t="s">
        <v>356</v>
      </c>
    </row>
    <row r="89" spans="1:5" x14ac:dyDescent="0.2">
      <c r="A89" s="413">
        <v>49</v>
      </c>
      <c r="B89" s="415" t="s">
        <v>471</v>
      </c>
      <c r="C89" s="378"/>
      <c r="D89" s="367"/>
      <c r="E89" s="367" t="s">
        <v>356</v>
      </c>
    </row>
    <row r="90" spans="1:5" x14ac:dyDescent="0.2">
      <c r="A90" s="413">
        <v>50</v>
      </c>
      <c r="B90" s="305" t="s">
        <v>509</v>
      </c>
      <c r="C90" s="378">
        <v>0</v>
      </c>
      <c r="D90" s="367" t="s">
        <v>510</v>
      </c>
      <c r="E90" s="367" t="s">
        <v>356</v>
      </c>
    </row>
    <row r="91" spans="1:5" x14ac:dyDescent="0.2">
      <c r="A91" s="413">
        <v>51</v>
      </c>
      <c r="B91" s="416" t="s">
        <v>511</v>
      </c>
      <c r="C91" s="378">
        <v>2263749</v>
      </c>
      <c r="D91" s="429" t="s">
        <v>512</v>
      </c>
      <c r="E91" s="367" t="s">
        <v>356</v>
      </c>
    </row>
    <row r="92" spans="1:5" x14ac:dyDescent="0.2">
      <c r="A92" s="413"/>
      <c r="B92" s="416"/>
      <c r="C92" s="378"/>
      <c r="D92" s="424"/>
      <c r="E92" s="99"/>
    </row>
    <row r="93" spans="1:5" ht="13.5" thickBot="1" x14ac:dyDescent="0.25">
      <c r="A93" s="452"/>
      <c r="B93" s="421" t="s">
        <v>513</v>
      </c>
      <c r="C93" s="421"/>
      <c r="D93" s="421"/>
      <c r="E93" s="421"/>
    </row>
    <row r="94" spans="1:5" ht="12.75" customHeight="1" x14ac:dyDescent="0.2">
      <c r="A94" s="413">
        <v>52</v>
      </c>
      <c r="B94" s="305" t="s">
        <v>514</v>
      </c>
      <c r="C94" s="378">
        <v>-10390</v>
      </c>
      <c r="D94" s="422" t="s">
        <v>515</v>
      </c>
      <c r="E94" s="367" t="s">
        <v>356</v>
      </c>
    </row>
    <row r="95" spans="1:5" ht="12.75" customHeight="1" x14ac:dyDescent="0.2">
      <c r="A95" s="413">
        <v>53</v>
      </c>
      <c r="B95" s="305" t="s">
        <v>516</v>
      </c>
      <c r="C95" s="378">
        <v>0</v>
      </c>
      <c r="D95" s="423" t="s">
        <v>517</v>
      </c>
      <c r="E95" s="367" t="s">
        <v>356</v>
      </c>
    </row>
    <row r="96" spans="1:5" ht="25.5" customHeight="1" x14ac:dyDescent="0.2">
      <c r="A96" s="413">
        <v>54</v>
      </c>
      <c r="B96" s="415" t="s">
        <v>518</v>
      </c>
      <c r="C96" s="378">
        <v>0</v>
      </c>
      <c r="D96" s="312" t="s">
        <v>519</v>
      </c>
      <c r="E96" s="367" t="s">
        <v>356</v>
      </c>
    </row>
    <row r="97" spans="1:5" ht="12.75" customHeight="1" x14ac:dyDescent="0.2">
      <c r="A97" s="414" t="s">
        <v>520</v>
      </c>
      <c r="B97" s="305" t="s">
        <v>521</v>
      </c>
      <c r="C97" s="378">
        <v>0</v>
      </c>
      <c r="D97" s="423"/>
      <c r="E97" s="99"/>
    </row>
    <row r="98" spans="1:5" ht="12.75" customHeight="1" x14ac:dyDescent="0.2">
      <c r="A98" s="414" t="s">
        <v>522</v>
      </c>
      <c r="B98" s="305" t="s">
        <v>523</v>
      </c>
      <c r="C98" s="378">
        <v>0</v>
      </c>
      <c r="D98" s="423"/>
      <c r="E98" s="99"/>
    </row>
    <row r="99" spans="1:5" ht="25.5" customHeight="1" x14ac:dyDescent="0.2">
      <c r="A99" s="413">
        <v>55</v>
      </c>
      <c r="B99" s="305" t="s">
        <v>524</v>
      </c>
      <c r="C99" s="378">
        <v>-42600</v>
      </c>
      <c r="D99" s="312" t="s">
        <v>525</v>
      </c>
      <c r="E99" s="367" t="s">
        <v>356</v>
      </c>
    </row>
    <row r="100" spans="1:5" ht="12.75" customHeight="1" x14ac:dyDescent="0.2">
      <c r="A100" s="413">
        <v>56</v>
      </c>
      <c r="B100" s="305" t="s">
        <v>526</v>
      </c>
      <c r="C100" s="378">
        <v>0</v>
      </c>
      <c r="D100" s="422" t="s">
        <v>527</v>
      </c>
      <c r="E100" s="367" t="s">
        <v>356</v>
      </c>
    </row>
    <row r="101" spans="1:5" ht="12.75" customHeight="1" x14ac:dyDescent="0.2">
      <c r="A101" s="413" t="s">
        <v>528</v>
      </c>
      <c r="B101" s="305" t="s">
        <v>529</v>
      </c>
      <c r="C101" s="378">
        <v>0</v>
      </c>
      <c r="D101" s="422" t="s">
        <v>487</v>
      </c>
      <c r="E101" s="367" t="s">
        <v>356</v>
      </c>
    </row>
    <row r="102" spans="1:5" x14ac:dyDescent="0.2">
      <c r="A102" s="414"/>
      <c r="B102" s="305" t="s">
        <v>488</v>
      </c>
      <c r="C102" s="378"/>
      <c r="D102" s="423"/>
      <c r="E102" s="99"/>
    </row>
    <row r="103" spans="1:5" ht="12.75" customHeight="1" x14ac:dyDescent="0.2">
      <c r="A103" s="413" t="s">
        <v>530</v>
      </c>
      <c r="B103" s="305" t="s">
        <v>531</v>
      </c>
      <c r="C103" s="378">
        <v>0</v>
      </c>
      <c r="D103" s="423"/>
      <c r="E103" s="99"/>
    </row>
    <row r="104" spans="1:5" x14ac:dyDescent="0.2">
      <c r="A104" s="414"/>
      <c r="B104" s="305" t="s">
        <v>488</v>
      </c>
      <c r="C104" s="378"/>
      <c r="D104" s="423"/>
      <c r="E104" s="99"/>
    </row>
    <row r="105" spans="1:5" ht="12.75" customHeight="1" x14ac:dyDescent="0.2">
      <c r="A105" s="413" t="s">
        <v>532</v>
      </c>
      <c r="B105" s="305" t="s">
        <v>533</v>
      </c>
      <c r="C105" s="378">
        <v>0</v>
      </c>
      <c r="D105" s="423">
        <v>468</v>
      </c>
      <c r="E105" s="367" t="s">
        <v>356</v>
      </c>
    </row>
    <row r="106" spans="1:5" x14ac:dyDescent="0.2">
      <c r="A106" s="413"/>
      <c r="B106" s="305" t="s">
        <v>493</v>
      </c>
      <c r="C106" s="378"/>
      <c r="D106" s="423"/>
      <c r="E106" s="99"/>
    </row>
    <row r="107" spans="1:5" x14ac:dyDescent="0.2">
      <c r="A107" s="413"/>
      <c r="B107" s="305" t="s">
        <v>534</v>
      </c>
      <c r="C107" s="378"/>
      <c r="D107" s="423">
        <v>468</v>
      </c>
      <c r="E107" s="367" t="s">
        <v>356</v>
      </c>
    </row>
    <row r="108" spans="1:5" x14ac:dyDescent="0.2">
      <c r="A108" s="413"/>
      <c r="B108" s="305" t="s">
        <v>456</v>
      </c>
      <c r="C108" s="378"/>
      <c r="D108" s="423"/>
      <c r="E108" s="99"/>
    </row>
    <row r="109" spans="1:5" ht="12.75" customHeight="1" x14ac:dyDescent="0.2">
      <c r="A109" s="413">
        <v>57</v>
      </c>
      <c r="B109" s="416" t="s">
        <v>535</v>
      </c>
      <c r="C109" s="378">
        <v>-52990</v>
      </c>
      <c r="D109" s="428" t="s">
        <v>536</v>
      </c>
      <c r="E109" s="367" t="s">
        <v>356</v>
      </c>
    </row>
    <row r="110" spans="1:5" ht="12.75" customHeight="1" x14ac:dyDescent="0.2">
      <c r="A110" s="413">
        <v>58</v>
      </c>
      <c r="B110" s="416" t="s">
        <v>537</v>
      </c>
      <c r="C110" s="378">
        <v>2210759</v>
      </c>
      <c r="D110" s="428" t="s">
        <v>538</v>
      </c>
      <c r="E110" s="367" t="s">
        <v>356</v>
      </c>
    </row>
    <row r="111" spans="1:5" x14ac:dyDescent="0.2">
      <c r="A111" s="413">
        <v>59</v>
      </c>
      <c r="B111" s="416" t="s">
        <v>206</v>
      </c>
      <c r="C111" s="378">
        <v>21488720</v>
      </c>
      <c r="D111" s="428" t="s">
        <v>539</v>
      </c>
      <c r="E111" s="367" t="s">
        <v>356</v>
      </c>
    </row>
    <row r="112" spans="1:5" ht="12" customHeight="1" x14ac:dyDescent="0.2">
      <c r="A112" s="413" t="s">
        <v>540</v>
      </c>
      <c r="B112" s="305" t="s">
        <v>541</v>
      </c>
      <c r="C112" s="378">
        <v>0</v>
      </c>
      <c r="D112" s="423" t="s">
        <v>542</v>
      </c>
      <c r="E112" s="367" t="s">
        <v>356</v>
      </c>
    </row>
    <row r="113" spans="1:5" x14ac:dyDescent="0.2">
      <c r="A113" s="414"/>
      <c r="B113" s="305" t="s">
        <v>543</v>
      </c>
      <c r="C113" s="378">
        <v>0</v>
      </c>
      <c r="D113" s="423" t="s">
        <v>544</v>
      </c>
      <c r="E113" s="367" t="s">
        <v>356</v>
      </c>
    </row>
    <row r="114" spans="1:5" ht="12.75" customHeight="1" x14ac:dyDescent="0.2">
      <c r="A114" s="414"/>
      <c r="B114" s="305" t="s">
        <v>545</v>
      </c>
      <c r="C114" s="378"/>
      <c r="D114" s="423"/>
      <c r="E114" s="99"/>
    </row>
    <row r="115" spans="1:5" x14ac:dyDescent="0.2">
      <c r="A115" s="414"/>
      <c r="B115" s="305" t="s">
        <v>546</v>
      </c>
      <c r="C115" s="378"/>
      <c r="D115" s="413"/>
      <c r="E115" s="99"/>
    </row>
    <row r="116" spans="1:5" x14ac:dyDescent="0.2">
      <c r="A116" s="413">
        <v>60</v>
      </c>
      <c r="B116" s="418" t="s">
        <v>547</v>
      </c>
      <c r="C116" s="378">
        <v>120160334</v>
      </c>
      <c r="D116" s="413"/>
      <c r="E116" s="99"/>
    </row>
    <row r="117" spans="1:5" x14ac:dyDescent="0.2">
      <c r="A117" s="413"/>
      <c r="B117" s="418"/>
      <c r="C117" s="378"/>
      <c r="D117" s="413"/>
      <c r="E117" s="99"/>
    </row>
    <row r="118" spans="1:5" ht="12.75" customHeight="1" thickBot="1" x14ac:dyDescent="0.25">
      <c r="A118" s="452"/>
      <c r="B118" s="421" t="s">
        <v>548</v>
      </c>
      <c r="C118" s="421"/>
      <c r="D118" s="421"/>
      <c r="E118" s="421"/>
    </row>
    <row r="119" spans="1:5" x14ac:dyDescent="0.2">
      <c r="A119" s="413">
        <v>61</v>
      </c>
      <c r="B119" s="418" t="s">
        <v>171</v>
      </c>
      <c r="C119" s="419">
        <v>0.15049999999999999</v>
      </c>
      <c r="D119" s="423" t="s">
        <v>549</v>
      </c>
      <c r="E119" s="367" t="s">
        <v>356</v>
      </c>
    </row>
    <row r="120" spans="1:5" x14ac:dyDescent="0.2">
      <c r="A120" s="413">
        <v>62</v>
      </c>
      <c r="B120" s="418" t="s">
        <v>550</v>
      </c>
      <c r="C120" s="419">
        <v>0.16039999999999999</v>
      </c>
      <c r="D120" s="423" t="s">
        <v>551</v>
      </c>
      <c r="E120" s="367" t="s">
        <v>356</v>
      </c>
    </row>
    <row r="121" spans="1:5" x14ac:dyDescent="0.2">
      <c r="A121" s="413">
        <v>63</v>
      </c>
      <c r="B121" s="418" t="s">
        <v>98</v>
      </c>
      <c r="C121" s="419">
        <v>0.17879999999999999</v>
      </c>
      <c r="D121" s="423" t="s">
        <v>552</v>
      </c>
      <c r="E121" s="367" t="s">
        <v>356</v>
      </c>
    </row>
    <row r="122" spans="1:5" x14ac:dyDescent="0.2">
      <c r="A122" s="413">
        <v>64</v>
      </c>
      <c r="B122" s="416" t="s">
        <v>553</v>
      </c>
      <c r="C122" s="419">
        <v>0.12</v>
      </c>
      <c r="D122" s="422" t="s">
        <v>554</v>
      </c>
      <c r="E122" s="367" t="s">
        <v>356</v>
      </c>
    </row>
    <row r="123" spans="1:5" x14ac:dyDescent="0.2">
      <c r="A123" s="413">
        <v>65</v>
      </c>
      <c r="B123" s="418" t="s">
        <v>555</v>
      </c>
      <c r="C123" s="419">
        <v>2.5000000000000001E-2</v>
      </c>
      <c r="D123" s="423"/>
      <c r="E123" s="99"/>
    </row>
    <row r="124" spans="1:5" x14ac:dyDescent="0.2">
      <c r="A124" s="413">
        <v>66</v>
      </c>
      <c r="B124" s="418" t="s">
        <v>556</v>
      </c>
      <c r="C124" s="419">
        <v>0.02</v>
      </c>
      <c r="D124" s="423"/>
      <c r="E124" s="99"/>
    </row>
    <row r="125" spans="1:5" x14ac:dyDescent="0.2">
      <c r="A125" s="413">
        <v>67</v>
      </c>
      <c r="B125" s="418" t="s">
        <v>557</v>
      </c>
      <c r="C125" s="419">
        <v>0.03</v>
      </c>
      <c r="D125" s="423"/>
      <c r="E125" s="99"/>
    </row>
    <row r="126" spans="1:5" x14ac:dyDescent="0.2">
      <c r="A126" s="413" t="s">
        <v>558</v>
      </c>
      <c r="B126" s="418" t="s">
        <v>559</v>
      </c>
      <c r="C126" s="419">
        <v>0</v>
      </c>
      <c r="D126" s="423" t="s">
        <v>560</v>
      </c>
      <c r="E126" s="367" t="s">
        <v>356</v>
      </c>
    </row>
    <row r="127" spans="1:5" x14ac:dyDescent="0.2">
      <c r="A127" s="413">
        <v>68</v>
      </c>
      <c r="B127" s="418" t="s">
        <v>561</v>
      </c>
      <c r="C127" s="419">
        <v>3.0499999999999999E-2</v>
      </c>
      <c r="D127" s="423" t="s">
        <v>562</v>
      </c>
      <c r="E127" s="367" t="s">
        <v>356</v>
      </c>
    </row>
    <row r="128" spans="1:5" x14ac:dyDescent="0.2">
      <c r="A128" s="413">
        <v>69</v>
      </c>
      <c r="B128" s="418" t="s">
        <v>563</v>
      </c>
      <c r="C128" s="99"/>
      <c r="D128" s="423"/>
      <c r="E128" s="99"/>
    </row>
    <row r="129" spans="1:5" x14ac:dyDescent="0.2">
      <c r="A129" s="413">
        <v>70</v>
      </c>
      <c r="B129" s="418" t="s">
        <v>563</v>
      </c>
      <c r="C129" s="99"/>
      <c r="D129" s="423"/>
      <c r="E129" s="99"/>
    </row>
    <row r="130" spans="1:5" x14ac:dyDescent="0.2">
      <c r="A130" s="413">
        <v>71</v>
      </c>
      <c r="B130" s="418" t="s">
        <v>563</v>
      </c>
      <c r="C130" s="99"/>
      <c r="D130" s="423"/>
      <c r="E130" s="99"/>
    </row>
    <row r="131" spans="1:5" x14ac:dyDescent="0.2">
      <c r="A131" s="413"/>
      <c r="B131" s="418"/>
      <c r="C131" s="99"/>
      <c r="D131" s="423"/>
      <c r="E131" s="99"/>
    </row>
    <row r="132" spans="1:5" ht="13.5" thickBot="1" x14ac:dyDescent="0.25">
      <c r="A132" s="452"/>
      <c r="B132" s="421" t="s">
        <v>548</v>
      </c>
      <c r="C132" s="421"/>
      <c r="D132" s="421"/>
      <c r="E132" s="421"/>
    </row>
    <row r="133" spans="1:5" ht="25.5" customHeight="1" x14ac:dyDescent="0.2">
      <c r="A133" s="413">
        <v>72</v>
      </c>
      <c r="B133" s="305" t="s">
        <v>564</v>
      </c>
      <c r="C133" s="449">
        <v>168784</v>
      </c>
      <c r="D133" s="422" t="s">
        <v>565</v>
      </c>
      <c r="E133" s="423" t="s">
        <v>356</v>
      </c>
    </row>
    <row r="134" spans="1:5" ht="25.5" customHeight="1" x14ac:dyDescent="0.2">
      <c r="A134" s="413">
        <v>73</v>
      </c>
      <c r="B134" s="305" t="s">
        <v>566</v>
      </c>
      <c r="C134" s="449">
        <v>1887996</v>
      </c>
      <c r="D134" s="422" t="s">
        <v>567</v>
      </c>
      <c r="E134" s="423" t="s">
        <v>356</v>
      </c>
    </row>
    <row r="135" spans="1:5" x14ac:dyDescent="0.2">
      <c r="A135" s="413">
        <v>74</v>
      </c>
      <c r="B135" s="101" t="s">
        <v>402</v>
      </c>
      <c r="C135" s="101"/>
      <c r="D135" s="367"/>
      <c r="E135" s="99"/>
    </row>
    <row r="136" spans="1:5" ht="12.75" customHeight="1" x14ac:dyDescent="0.2">
      <c r="A136" s="413">
        <v>75</v>
      </c>
      <c r="B136" s="305" t="s">
        <v>568</v>
      </c>
      <c r="C136" s="101"/>
      <c r="D136" s="312" t="s">
        <v>569</v>
      </c>
      <c r="E136" s="423" t="s">
        <v>356</v>
      </c>
    </row>
    <row r="137" spans="1:5" x14ac:dyDescent="0.2">
      <c r="A137" s="413"/>
      <c r="B137" s="305"/>
      <c r="C137" s="99"/>
      <c r="D137" s="422"/>
      <c r="E137" s="99"/>
    </row>
    <row r="138" spans="1:5" ht="12.75" customHeight="1" thickBot="1" x14ac:dyDescent="0.25">
      <c r="A138" s="452"/>
      <c r="B138" s="421" t="s">
        <v>570</v>
      </c>
      <c r="C138" s="421"/>
      <c r="D138" s="421"/>
      <c r="E138" s="421"/>
    </row>
    <row r="139" spans="1:5" x14ac:dyDescent="0.2">
      <c r="A139" s="413">
        <v>76</v>
      </c>
      <c r="B139" s="99" t="s">
        <v>571</v>
      </c>
      <c r="C139" s="367">
        <v>0</v>
      </c>
      <c r="D139" s="367">
        <v>62</v>
      </c>
      <c r="E139" s="423" t="s">
        <v>356</v>
      </c>
    </row>
    <row r="140" spans="1:5" ht="12.75" customHeight="1" x14ac:dyDescent="0.2">
      <c r="A140" s="413">
        <v>77</v>
      </c>
      <c r="B140" s="305" t="s">
        <v>572</v>
      </c>
      <c r="C140" s="367"/>
      <c r="D140" s="367">
        <v>62</v>
      </c>
      <c r="E140" s="423" t="s">
        <v>356</v>
      </c>
    </row>
    <row r="141" spans="1:5" x14ac:dyDescent="0.2">
      <c r="A141" s="413">
        <v>78</v>
      </c>
      <c r="B141" s="99" t="s">
        <v>509</v>
      </c>
      <c r="C141" s="367">
        <v>0</v>
      </c>
      <c r="D141" s="367">
        <v>62</v>
      </c>
      <c r="E141" s="423" t="s">
        <v>356</v>
      </c>
    </row>
    <row r="142" spans="1:5" ht="12.75" customHeight="1" x14ac:dyDescent="0.2">
      <c r="A142" s="413">
        <v>79</v>
      </c>
      <c r="B142" s="305" t="s">
        <v>573</v>
      </c>
      <c r="C142" s="367"/>
      <c r="D142" s="367">
        <v>62</v>
      </c>
      <c r="E142" s="423" t="s">
        <v>356</v>
      </c>
    </row>
    <row r="143" spans="1:5" x14ac:dyDescent="0.2">
      <c r="A143" s="413"/>
      <c r="B143" s="305"/>
      <c r="C143" s="367"/>
      <c r="D143" s="423"/>
      <c r="E143" s="99"/>
    </row>
    <row r="144" spans="1:5" ht="12.75" customHeight="1" thickBot="1" x14ac:dyDescent="0.25">
      <c r="A144" s="452"/>
      <c r="B144" s="421" t="s">
        <v>574</v>
      </c>
      <c r="C144" s="421"/>
      <c r="D144" s="421"/>
      <c r="E144" s="421"/>
    </row>
    <row r="145" spans="1:5" ht="12.75" customHeight="1" x14ac:dyDescent="0.2">
      <c r="A145" s="413">
        <v>80</v>
      </c>
      <c r="B145" s="305" t="s">
        <v>575</v>
      </c>
      <c r="C145" s="367"/>
      <c r="D145" s="312" t="s">
        <v>576</v>
      </c>
      <c r="E145" s="423" t="s">
        <v>356</v>
      </c>
    </row>
    <row r="146" spans="1:5" ht="12.75" customHeight="1" x14ac:dyDescent="0.2">
      <c r="A146" s="413">
        <v>81</v>
      </c>
      <c r="B146" s="305" t="s">
        <v>577</v>
      </c>
      <c r="C146" s="367">
        <v>0</v>
      </c>
      <c r="D146" s="312" t="s">
        <v>576</v>
      </c>
      <c r="E146" s="423" t="s">
        <v>356</v>
      </c>
    </row>
    <row r="147" spans="1:5" ht="12.75" customHeight="1" x14ac:dyDescent="0.2">
      <c r="A147" s="413">
        <v>82</v>
      </c>
      <c r="B147" s="305" t="s">
        <v>578</v>
      </c>
      <c r="C147" s="498">
        <v>1158000</v>
      </c>
      <c r="D147" s="312" t="s">
        <v>579</v>
      </c>
      <c r="E147" s="423" t="s">
        <v>356</v>
      </c>
    </row>
    <row r="148" spans="1:5" ht="12.75" customHeight="1" x14ac:dyDescent="0.2">
      <c r="A148" s="413">
        <v>83</v>
      </c>
      <c r="B148" s="305" t="s">
        <v>580</v>
      </c>
      <c r="C148" s="498"/>
      <c r="D148" s="312" t="s">
        <v>579</v>
      </c>
      <c r="E148" s="423" t="s">
        <v>356</v>
      </c>
    </row>
    <row r="149" spans="1:5" ht="12.75" customHeight="1" x14ac:dyDescent="0.2">
      <c r="A149" s="413">
        <v>84</v>
      </c>
      <c r="B149" s="305" t="s">
        <v>581</v>
      </c>
      <c r="C149" s="498"/>
      <c r="D149" s="312" t="s">
        <v>582</v>
      </c>
      <c r="E149" s="423" t="s">
        <v>356</v>
      </c>
    </row>
    <row r="150" spans="1:5" ht="12.75" customHeight="1" x14ac:dyDescent="0.2">
      <c r="A150" s="413">
        <v>85</v>
      </c>
      <c r="B150" s="305" t="s">
        <v>583</v>
      </c>
      <c r="C150" s="498"/>
      <c r="D150" s="312" t="s">
        <v>582</v>
      </c>
      <c r="E150" s="423" t="s">
        <v>356</v>
      </c>
    </row>
    <row r="151" spans="1:5" x14ac:dyDescent="0.2">
      <c r="A151" s="99"/>
      <c r="B151" s="99"/>
      <c r="C151" s="99"/>
      <c r="D151" s="99"/>
      <c r="E151" s="99"/>
    </row>
  </sheetData>
  <mergeCells count="1">
    <mergeCell ref="A17:E17"/>
  </mergeCells>
  <pageMargins left="0.7" right="0.7" top="0.75" bottom="0.75" header="0.3" footer="0.3"/>
  <pageSetup paperSize="9" scale="50" fitToHeight="0" orientation="landscape" r:id="rId1"/>
  <rowBreaks count="2" manualBreakCount="2">
    <brk id="64" max="16383" man="1"/>
    <brk id="131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7"/>
  <sheetViews>
    <sheetView zoomScaleNormal="100" workbookViewId="0"/>
  </sheetViews>
  <sheetFormatPr baseColWidth="10" defaultColWidth="11" defaultRowHeight="12" x14ac:dyDescent="0.2"/>
  <cols>
    <col min="1" max="1" width="50.5" style="534" customWidth="1"/>
    <col min="2" max="2" width="17.375" style="534" customWidth="1"/>
    <col min="3" max="5" width="17.25" style="534" customWidth="1"/>
    <col min="6" max="6" width="17.25" style="638" customWidth="1"/>
    <col min="7" max="7" width="11" style="534"/>
    <col min="8" max="8" width="19" style="534" customWidth="1"/>
    <col min="9" max="9" width="11.875" style="534" customWidth="1"/>
    <col min="10" max="16384" width="11" style="534"/>
  </cols>
  <sheetData>
    <row r="1" spans="1:9" x14ac:dyDescent="0.2">
      <c r="A1" s="210" t="s">
        <v>670</v>
      </c>
      <c r="D1" s="431"/>
      <c r="G1" s="431"/>
    </row>
    <row r="2" spans="1:9" x14ac:dyDescent="0.2">
      <c r="B2" s="447"/>
      <c r="C2" s="447"/>
      <c r="D2" s="447"/>
      <c r="E2" s="447"/>
      <c r="F2" s="447"/>
      <c r="G2" s="447"/>
      <c r="H2" s="447"/>
      <c r="I2" s="447"/>
    </row>
    <row r="3" spans="1:9" x14ac:dyDescent="0.2">
      <c r="A3" s="447"/>
      <c r="B3" s="447"/>
      <c r="C3" s="447"/>
      <c r="D3" s="447"/>
      <c r="E3" s="447"/>
      <c r="F3" s="447"/>
      <c r="G3" s="447"/>
      <c r="H3" s="447"/>
      <c r="I3" s="447"/>
    </row>
    <row r="4" spans="1:9" ht="48.75" customHeight="1" x14ac:dyDescent="0.2">
      <c r="A4" s="539"/>
      <c r="B4" s="424" t="s">
        <v>890</v>
      </c>
      <c r="C4" s="657" t="s">
        <v>628</v>
      </c>
      <c r="D4" s="657" t="s">
        <v>629</v>
      </c>
      <c r="E4" s="424" t="s">
        <v>630</v>
      </c>
      <c r="F4" s="657" t="s">
        <v>820</v>
      </c>
      <c r="G4" s="424" t="s">
        <v>631</v>
      </c>
      <c r="H4" s="424" t="s">
        <v>891</v>
      </c>
      <c r="I4" s="424" t="s">
        <v>584</v>
      </c>
    </row>
    <row r="5" spans="1:9" ht="12.75" customHeight="1" thickBot="1" x14ac:dyDescent="0.25">
      <c r="A5" s="421" t="s">
        <v>585</v>
      </c>
      <c r="B5" s="439"/>
      <c r="C5" s="439"/>
      <c r="D5" s="439"/>
      <c r="E5" s="439"/>
      <c r="F5" s="439"/>
      <c r="G5" s="439"/>
      <c r="H5" s="443"/>
      <c r="I5" s="439"/>
    </row>
    <row r="6" spans="1:9" ht="12.75" customHeight="1" x14ac:dyDescent="0.2">
      <c r="A6" s="432" t="s">
        <v>586</v>
      </c>
      <c r="B6" s="433">
        <v>207</v>
      </c>
      <c r="C6" s="433">
        <v>0</v>
      </c>
      <c r="D6" s="433">
        <v>0</v>
      </c>
      <c r="E6" s="433">
        <v>0</v>
      </c>
      <c r="F6" s="433">
        <v>0</v>
      </c>
      <c r="G6" s="433"/>
      <c r="H6" s="444">
        <f>SUM(B6:G6)</f>
        <v>207</v>
      </c>
      <c r="I6" s="440"/>
    </row>
    <row r="7" spans="1:9" ht="12.75" customHeight="1" x14ac:dyDescent="0.2">
      <c r="A7" s="432" t="s">
        <v>587</v>
      </c>
      <c r="B7" s="433">
        <v>1608</v>
      </c>
      <c r="C7" s="433">
        <v>290</v>
      </c>
      <c r="D7" s="433">
        <v>50</v>
      </c>
      <c r="E7" s="433">
        <v>125</v>
      </c>
      <c r="F7" s="433">
        <v>86</v>
      </c>
      <c r="G7" s="433">
        <f>-154-20</f>
        <v>-174</v>
      </c>
      <c r="H7" s="444">
        <f>SUM(B7:G7)</f>
        <v>1985</v>
      </c>
      <c r="I7" s="440"/>
    </row>
    <row r="8" spans="1:9" ht="12.75" customHeight="1" x14ac:dyDescent="0.2">
      <c r="A8" s="432" t="s">
        <v>701</v>
      </c>
      <c r="B8" s="433">
        <v>171237</v>
      </c>
      <c r="C8" s="433">
        <v>16915</v>
      </c>
      <c r="D8" s="433">
        <v>1898</v>
      </c>
      <c r="E8" s="433">
        <v>4996</v>
      </c>
      <c r="F8" s="433">
        <f>925-28</f>
        <v>897</v>
      </c>
      <c r="G8" s="433"/>
      <c r="H8" s="444">
        <f t="shared" ref="H8:H15" si="0">SUM(B8:G8)</f>
        <v>195943</v>
      </c>
      <c r="I8" s="440"/>
    </row>
    <row r="9" spans="1:9" ht="12.75" customHeight="1" x14ac:dyDescent="0.2">
      <c r="A9" s="432" t="s">
        <v>588</v>
      </c>
      <c r="B9" s="433">
        <v>31909</v>
      </c>
      <c r="C9" s="433">
        <v>5171</v>
      </c>
      <c r="D9" s="433">
        <v>338</v>
      </c>
      <c r="E9" s="433">
        <v>1099</v>
      </c>
      <c r="F9" s="433">
        <v>0</v>
      </c>
      <c r="G9" s="433">
        <v>-1</v>
      </c>
      <c r="H9" s="444">
        <f>SUM(B9:G9)</f>
        <v>38516</v>
      </c>
      <c r="I9" s="440"/>
    </row>
    <row r="10" spans="1:9" ht="12.75" customHeight="1" x14ac:dyDescent="0.2">
      <c r="A10" s="432" t="s">
        <v>589</v>
      </c>
      <c r="B10" s="433">
        <v>5541</v>
      </c>
      <c r="C10" s="433">
        <v>2584</v>
      </c>
      <c r="D10" s="433">
        <v>114</v>
      </c>
      <c r="E10" s="433">
        <v>67</v>
      </c>
      <c r="F10" s="433">
        <v>0</v>
      </c>
      <c r="G10" s="433"/>
      <c r="H10" s="444">
        <f t="shared" si="0"/>
        <v>8306</v>
      </c>
      <c r="I10" s="440"/>
    </row>
    <row r="11" spans="1:9" ht="12.75" customHeight="1" x14ac:dyDescent="0.2">
      <c r="A11" s="432" t="s">
        <v>590</v>
      </c>
      <c r="B11" s="433">
        <v>717</v>
      </c>
      <c r="C11" s="433">
        <v>0</v>
      </c>
      <c r="D11" s="433">
        <v>0</v>
      </c>
      <c r="E11" s="433">
        <v>0</v>
      </c>
      <c r="F11" s="433">
        <v>0</v>
      </c>
      <c r="G11" s="433"/>
      <c r="H11" s="444">
        <f t="shared" si="0"/>
        <v>717</v>
      </c>
      <c r="I11" s="440"/>
    </row>
    <row r="12" spans="1:9" ht="12.75" customHeight="1" x14ac:dyDescent="0.2">
      <c r="A12" s="432" t="s">
        <v>591</v>
      </c>
      <c r="B12" s="433">
        <v>3953</v>
      </c>
      <c r="C12" s="433">
        <v>0</v>
      </c>
      <c r="D12" s="433">
        <v>0</v>
      </c>
      <c r="E12" s="433">
        <v>2</v>
      </c>
      <c r="F12" s="433">
        <v>0</v>
      </c>
      <c r="G12" s="433">
        <f>-2209-162</f>
        <v>-2371</v>
      </c>
      <c r="H12" s="444">
        <f t="shared" si="0"/>
        <v>1584</v>
      </c>
      <c r="I12" s="444" t="s">
        <v>632</v>
      </c>
    </row>
    <row r="13" spans="1:9" ht="12.75" customHeight="1" x14ac:dyDescent="0.2">
      <c r="A13" s="648" t="s">
        <v>592</v>
      </c>
      <c r="B13" s="433">
        <v>0</v>
      </c>
      <c r="C13" s="433">
        <v>0</v>
      </c>
      <c r="D13" s="433">
        <v>0</v>
      </c>
      <c r="E13" s="433">
        <v>10</v>
      </c>
      <c r="F13" s="433">
        <v>0</v>
      </c>
      <c r="G13" s="433"/>
      <c r="H13" s="444">
        <f t="shared" si="0"/>
        <v>10</v>
      </c>
      <c r="I13" s="440"/>
    </row>
    <row r="14" spans="1:9" ht="12.75" customHeight="1" x14ac:dyDescent="0.2">
      <c r="A14" s="432" t="s">
        <v>593</v>
      </c>
      <c r="B14" s="433">
        <v>96</v>
      </c>
      <c r="C14" s="433">
        <v>0</v>
      </c>
      <c r="D14" s="433">
        <v>0</v>
      </c>
      <c r="E14" s="433">
        <f>4</f>
        <v>4</v>
      </c>
      <c r="F14" s="433">
        <v>17</v>
      </c>
      <c r="G14" s="433"/>
      <c r="H14" s="444">
        <f>SUM(B14:G14)</f>
        <v>117</v>
      </c>
      <c r="I14" s="440"/>
    </row>
    <row r="15" spans="1:9" ht="12.75" customHeight="1" x14ac:dyDescent="0.2">
      <c r="A15" s="434" t="s">
        <v>594</v>
      </c>
      <c r="B15" s="433">
        <f>572+778</f>
        <v>1350</v>
      </c>
      <c r="C15" s="433">
        <f>1</f>
        <v>1</v>
      </c>
      <c r="D15" s="433">
        <v>0</v>
      </c>
      <c r="E15" s="433">
        <f>12+5</f>
        <v>17</v>
      </c>
      <c r="F15" s="433">
        <f>2+51+1+12</f>
        <v>66</v>
      </c>
      <c r="G15" s="433">
        <v>-1</v>
      </c>
      <c r="H15" s="444">
        <f t="shared" si="0"/>
        <v>1433</v>
      </c>
      <c r="I15" s="440"/>
    </row>
    <row r="16" spans="1:9" ht="12.75" customHeight="1" x14ac:dyDescent="0.2">
      <c r="A16" s="94" t="s">
        <v>595</v>
      </c>
      <c r="B16" s="457">
        <f>SUM(B6:B15)</f>
        <v>216618</v>
      </c>
      <c r="C16" s="457">
        <f t="shared" ref="C16:G16" si="1">SUM(C6:C15)</f>
        <v>24961</v>
      </c>
      <c r="D16" s="457">
        <f t="shared" si="1"/>
        <v>2400</v>
      </c>
      <c r="E16" s="457">
        <f t="shared" si="1"/>
        <v>6320</v>
      </c>
      <c r="F16" s="457">
        <f t="shared" si="1"/>
        <v>1066</v>
      </c>
      <c r="G16" s="457">
        <f t="shared" si="1"/>
        <v>-2547</v>
      </c>
      <c r="H16" s="457">
        <f>SUM(H6:H15)</f>
        <v>248818</v>
      </c>
      <c r="I16" s="445"/>
    </row>
    <row r="17" spans="1:9" ht="12.75" customHeight="1" x14ac:dyDescent="0.2">
      <c r="A17" s="16"/>
      <c r="B17" s="339"/>
      <c r="C17" s="660"/>
      <c r="D17" s="660"/>
      <c r="E17" s="660"/>
      <c r="F17" s="660"/>
      <c r="G17" s="660"/>
      <c r="H17" s="339"/>
      <c r="I17" s="339"/>
    </row>
    <row r="18" spans="1:9" ht="12.75" customHeight="1" thickBot="1" x14ac:dyDescent="0.25">
      <c r="A18" s="421" t="s">
        <v>596</v>
      </c>
      <c r="B18" s="439"/>
      <c r="C18" s="439"/>
      <c r="D18" s="439"/>
      <c r="E18" s="439"/>
      <c r="F18" s="439"/>
      <c r="G18" s="439"/>
      <c r="H18" s="443"/>
      <c r="I18" s="439"/>
    </row>
    <row r="19" spans="1:9" ht="12.75" customHeight="1" x14ac:dyDescent="0.2">
      <c r="A19" s="432" t="s">
        <v>597</v>
      </c>
      <c r="B19" s="433">
        <v>2335</v>
      </c>
      <c r="C19" s="433">
        <v>0</v>
      </c>
      <c r="D19" s="433">
        <v>0</v>
      </c>
      <c r="E19" s="433">
        <v>9</v>
      </c>
      <c r="F19" s="433">
        <v>803</v>
      </c>
      <c r="G19" s="433">
        <f>-154-20</f>
        <v>-174</v>
      </c>
      <c r="H19" s="444">
        <f t="shared" ref="H19:H29" si="2">SUM(B19:G19)</f>
        <v>2973</v>
      </c>
      <c r="I19" s="440"/>
    </row>
    <row r="20" spans="1:9" ht="12.75" customHeight="1" x14ac:dyDescent="0.2">
      <c r="A20" s="432" t="s">
        <v>598</v>
      </c>
      <c r="B20" s="433">
        <v>95384</v>
      </c>
      <c r="C20" s="433">
        <v>0</v>
      </c>
      <c r="D20" s="433">
        <v>0</v>
      </c>
      <c r="E20" s="433">
        <v>3293</v>
      </c>
      <c r="F20" s="433">
        <v>0</v>
      </c>
      <c r="G20" s="433"/>
      <c r="H20" s="444">
        <f t="shared" si="2"/>
        <v>98677</v>
      </c>
      <c r="I20" s="440"/>
    </row>
    <row r="21" spans="1:9" ht="12.75" customHeight="1" x14ac:dyDescent="0.2">
      <c r="A21" s="432" t="s">
        <v>227</v>
      </c>
      <c r="B21" s="433">
        <v>90497</v>
      </c>
      <c r="C21" s="433">
        <v>21369</v>
      </c>
      <c r="D21" s="433">
        <v>1930</v>
      </c>
      <c r="E21" s="433">
        <v>1867</v>
      </c>
      <c r="F21" s="433">
        <v>0</v>
      </c>
      <c r="G21" s="433"/>
      <c r="H21" s="444">
        <f t="shared" si="2"/>
        <v>115663</v>
      </c>
      <c r="I21" s="440"/>
    </row>
    <row r="22" spans="1:9" ht="12.75" customHeight="1" x14ac:dyDescent="0.2">
      <c r="A22" s="432" t="s">
        <v>589</v>
      </c>
      <c r="B22" s="433">
        <v>3787</v>
      </c>
      <c r="C22" s="433">
        <f>2249+86</f>
        <v>2335</v>
      </c>
      <c r="D22" s="433">
        <v>0</v>
      </c>
      <c r="E22" s="433">
        <v>48</v>
      </c>
      <c r="F22" s="433">
        <v>0</v>
      </c>
      <c r="G22" s="433"/>
      <c r="H22" s="444">
        <f t="shared" si="2"/>
        <v>6170</v>
      </c>
      <c r="I22" s="440"/>
    </row>
    <row r="23" spans="1:9" ht="12.75" customHeight="1" x14ac:dyDescent="0.2">
      <c r="A23" s="432" t="s">
        <v>599</v>
      </c>
      <c r="B23" s="99">
        <v>393</v>
      </c>
      <c r="C23" s="433">
        <v>20</v>
      </c>
      <c r="D23" s="433">
        <v>5</v>
      </c>
      <c r="E23" s="99">
        <v>4</v>
      </c>
      <c r="F23" s="99">
        <v>0</v>
      </c>
      <c r="G23" s="99"/>
      <c r="H23" s="444">
        <f t="shared" si="2"/>
        <v>422</v>
      </c>
      <c r="I23" s="101"/>
    </row>
    <row r="24" spans="1:9" ht="13.5" customHeight="1" x14ac:dyDescent="0.2">
      <c r="A24" s="432" t="s">
        <v>600</v>
      </c>
      <c r="B24" s="433">
        <f>487+1082</f>
        <v>1569</v>
      </c>
      <c r="C24" s="433">
        <v>11</v>
      </c>
      <c r="D24" s="433">
        <v>4</v>
      </c>
      <c r="E24" s="433">
        <v>40</v>
      </c>
      <c r="F24" s="433">
        <f>28+1+8</f>
        <v>37</v>
      </c>
      <c r="G24" s="433">
        <v>-1</v>
      </c>
      <c r="H24" s="444">
        <f t="shared" si="2"/>
        <v>1660</v>
      </c>
      <c r="I24" s="440"/>
    </row>
    <row r="25" spans="1:9" ht="12.75" customHeight="1" x14ac:dyDescent="0.2">
      <c r="A25" s="432" t="s">
        <v>601</v>
      </c>
      <c r="B25" s="433">
        <v>2764</v>
      </c>
      <c r="C25" s="433">
        <f>153+112</f>
        <v>265</v>
      </c>
      <c r="D25" s="433">
        <f>67+33</f>
        <v>100</v>
      </c>
      <c r="E25" s="433">
        <f>121+97</f>
        <v>218</v>
      </c>
      <c r="F25" s="662">
        <v>18</v>
      </c>
      <c r="G25" s="433">
        <v>-1</v>
      </c>
      <c r="H25" s="663">
        <f>SUM(B25:G25)</f>
        <v>3364</v>
      </c>
      <c r="I25" s="440"/>
    </row>
    <row r="26" spans="1:9" ht="12.75" customHeight="1" x14ac:dyDescent="0.2">
      <c r="A26" s="435" t="s">
        <v>836</v>
      </c>
      <c r="B26" s="436">
        <v>797</v>
      </c>
      <c r="C26" s="436">
        <v>0</v>
      </c>
      <c r="D26" s="436">
        <v>0</v>
      </c>
      <c r="E26" s="436">
        <v>0</v>
      </c>
      <c r="F26" s="436">
        <v>0</v>
      </c>
      <c r="G26" s="436"/>
      <c r="H26" s="444">
        <f t="shared" si="2"/>
        <v>797</v>
      </c>
      <c r="I26" s="440"/>
    </row>
    <row r="27" spans="1:9" s="649" customFormat="1" ht="12.75" customHeight="1" x14ac:dyDescent="0.2">
      <c r="A27" s="435" t="s">
        <v>837</v>
      </c>
      <c r="B27" s="644">
        <v>150</v>
      </c>
      <c r="C27" s="645">
        <v>112</v>
      </c>
      <c r="D27" s="645">
        <v>33</v>
      </c>
      <c r="E27" s="454">
        <v>97</v>
      </c>
      <c r="F27" s="454"/>
      <c r="G27" s="454"/>
      <c r="H27" s="645">
        <f t="shared" si="2"/>
        <v>392</v>
      </c>
      <c r="I27" s="440"/>
    </row>
    <row r="28" spans="1:9" ht="12.75" customHeight="1" x14ac:dyDescent="0.2">
      <c r="A28" s="435" t="s">
        <v>602</v>
      </c>
      <c r="B28" s="436">
        <v>1854</v>
      </c>
      <c r="C28" s="436">
        <v>152</v>
      </c>
      <c r="D28" s="436">
        <v>67</v>
      </c>
      <c r="E28" s="436">
        <v>121</v>
      </c>
      <c r="F28" s="436">
        <v>18</v>
      </c>
      <c r="G28" s="436">
        <v>-1</v>
      </c>
      <c r="H28" s="444">
        <f t="shared" si="2"/>
        <v>2211</v>
      </c>
      <c r="I28" s="440"/>
    </row>
    <row r="29" spans="1:9" ht="12.75" customHeight="1" x14ac:dyDescent="0.2">
      <c r="A29" s="435" t="s">
        <v>603</v>
      </c>
      <c r="B29" s="559"/>
      <c r="C29" s="436"/>
      <c r="D29" s="436"/>
      <c r="E29" s="436">
        <v>0</v>
      </c>
      <c r="F29" s="436"/>
      <c r="G29" s="436"/>
      <c r="H29" s="444">
        <f t="shared" si="2"/>
        <v>0</v>
      </c>
      <c r="I29" s="442"/>
    </row>
    <row r="30" spans="1:9" ht="12.75" customHeight="1" x14ac:dyDescent="0.2">
      <c r="A30" s="435" t="s">
        <v>604</v>
      </c>
      <c r="B30" s="436"/>
      <c r="C30" s="436"/>
      <c r="D30" s="436"/>
      <c r="E30" s="436"/>
      <c r="F30" s="436"/>
      <c r="G30" s="436"/>
      <c r="H30" s="444">
        <v>0</v>
      </c>
      <c r="I30" s="442"/>
    </row>
    <row r="31" spans="1:9" ht="12.75" customHeight="1" x14ac:dyDescent="0.2">
      <c r="A31" s="94" t="s">
        <v>605</v>
      </c>
      <c r="B31" s="457">
        <f>SUM(B19:B25)</f>
        <v>196729</v>
      </c>
      <c r="C31" s="457">
        <f t="shared" ref="C31:G31" si="3">SUM(C19:C25)</f>
        <v>24000</v>
      </c>
      <c r="D31" s="457">
        <f t="shared" si="3"/>
        <v>2039</v>
      </c>
      <c r="E31" s="457">
        <f t="shared" si="3"/>
        <v>5479</v>
      </c>
      <c r="F31" s="457">
        <f t="shared" si="3"/>
        <v>858</v>
      </c>
      <c r="G31" s="457">
        <f t="shared" si="3"/>
        <v>-176</v>
      </c>
      <c r="H31" s="457">
        <f>SUM(H19:H25)</f>
        <v>228929</v>
      </c>
      <c r="I31" s="445"/>
    </row>
    <row r="32" spans="1:9" ht="12.75" customHeight="1" x14ac:dyDescent="0.2">
      <c r="A32" s="16"/>
      <c r="B32" s="339"/>
      <c r="C32" s="660"/>
      <c r="D32" s="660"/>
      <c r="E32" s="660"/>
      <c r="F32" s="660"/>
      <c r="G32" s="660"/>
      <c r="H32" s="339"/>
      <c r="I32" s="339"/>
    </row>
    <row r="33" spans="1:9" ht="12.75" customHeight="1" thickBot="1" x14ac:dyDescent="0.25">
      <c r="A33" s="421" t="s">
        <v>606</v>
      </c>
      <c r="B33" s="439"/>
      <c r="C33" s="439"/>
      <c r="D33" s="439"/>
      <c r="E33" s="439"/>
      <c r="F33" s="439"/>
      <c r="G33" s="439"/>
      <c r="H33" s="443"/>
      <c r="I33" s="439"/>
    </row>
    <row r="34" spans="1:9" ht="12.75" customHeight="1" x14ac:dyDescent="0.2">
      <c r="A34" s="432" t="s">
        <v>607</v>
      </c>
      <c r="B34" s="433">
        <v>7981</v>
      </c>
      <c r="C34" s="454">
        <v>967</v>
      </c>
      <c r="D34" s="454">
        <v>351</v>
      </c>
      <c r="E34" s="454">
        <v>254</v>
      </c>
      <c r="F34" s="454">
        <v>160</v>
      </c>
      <c r="G34" s="454">
        <v>-1732</v>
      </c>
      <c r="H34" s="454">
        <f t="shared" ref="H34:H38" si="4">SUM(B34:G34)</f>
        <v>7981</v>
      </c>
      <c r="I34" s="454" t="s">
        <v>97</v>
      </c>
    </row>
    <row r="35" spans="1:9" ht="12.75" customHeight="1" x14ac:dyDescent="0.2">
      <c r="A35" s="432" t="s">
        <v>12</v>
      </c>
      <c r="B35" s="433">
        <v>43</v>
      </c>
      <c r="C35" s="454">
        <v>0</v>
      </c>
      <c r="D35" s="454">
        <v>0</v>
      </c>
      <c r="E35" s="454">
        <v>0</v>
      </c>
      <c r="F35" s="454">
        <v>0</v>
      </c>
      <c r="G35" s="454"/>
      <c r="H35" s="454">
        <f t="shared" si="4"/>
        <v>43</v>
      </c>
      <c r="I35" s="455"/>
    </row>
    <row r="36" spans="1:9" s="643" customFormat="1" ht="12.75" customHeight="1" x14ac:dyDescent="0.2">
      <c r="A36" s="435" t="s">
        <v>837</v>
      </c>
      <c r="B36" s="644">
        <v>150</v>
      </c>
      <c r="C36" s="645"/>
      <c r="D36" s="645"/>
      <c r="E36" s="454"/>
      <c r="F36" s="454"/>
      <c r="G36" s="454"/>
      <c r="H36" s="645">
        <f>SUM(B36:G36)</f>
        <v>150</v>
      </c>
      <c r="I36" s="455"/>
    </row>
    <row r="37" spans="1:9" ht="12.75" customHeight="1" x14ac:dyDescent="0.2">
      <c r="A37" s="432" t="s">
        <v>13</v>
      </c>
      <c r="B37" s="433">
        <f>10628+1087</f>
        <v>11715</v>
      </c>
      <c r="C37" s="454">
        <f>11-17</f>
        <v>-6</v>
      </c>
      <c r="D37" s="454">
        <f>-1+11</f>
        <v>10</v>
      </c>
      <c r="E37" s="454">
        <v>587</v>
      </c>
      <c r="F37" s="454">
        <f>33+15</f>
        <v>48</v>
      </c>
      <c r="G37" s="454">
        <f>-639</f>
        <v>-639</v>
      </c>
      <c r="H37" s="454">
        <f t="shared" si="4"/>
        <v>11715</v>
      </c>
      <c r="I37" s="454" t="s">
        <v>97</v>
      </c>
    </row>
    <row r="38" spans="1:9" ht="12.75" hidden="1" customHeight="1" x14ac:dyDescent="0.2">
      <c r="A38" s="432" t="s">
        <v>714</v>
      </c>
      <c r="B38" s="433"/>
      <c r="C38" s="454"/>
      <c r="D38" s="454"/>
      <c r="E38" s="454"/>
      <c r="F38" s="454"/>
      <c r="G38" s="454"/>
      <c r="H38" s="454">
        <f t="shared" si="4"/>
        <v>0</v>
      </c>
      <c r="I38" s="454"/>
    </row>
    <row r="39" spans="1:9" ht="12.75" customHeight="1" x14ac:dyDescent="0.2">
      <c r="A39" s="94" t="s">
        <v>608</v>
      </c>
      <c r="B39" s="457">
        <f>SUM(B34:B38)</f>
        <v>19889</v>
      </c>
      <c r="C39" s="457">
        <f t="shared" ref="C39:H39" si="5">SUM(C34:C38)</f>
        <v>961</v>
      </c>
      <c r="D39" s="457">
        <f t="shared" si="5"/>
        <v>361</v>
      </c>
      <c r="E39" s="457">
        <f t="shared" si="5"/>
        <v>841</v>
      </c>
      <c r="F39" s="457">
        <f t="shared" ref="F39" si="6">SUM(F34:F38)</f>
        <v>208</v>
      </c>
      <c r="G39" s="457">
        <f t="shared" si="5"/>
        <v>-2371</v>
      </c>
      <c r="H39" s="457">
        <f t="shared" si="5"/>
        <v>19889</v>
      </c>
      <c r="I39" s="547" t="s">
        <v>97</v>
      </c>
    </row>
    <row r="40" spans="1:9" ht="12.75" customHeight="1" x14ac:dyDescent="0.2">
      <c r="A40" s="437"/>
      <c r="B40" s="438"/>
      <c r="C40" s="438"/>
      <c r="D40" s="438"/>
      <c r="E40" s="438"/>
      <c r="F40" s="438"/>
      <c r="G40" s="438"/>
      <c r="H40" s="438"/>
      <c r="I40" s="441"/>
    </row>
    <row r="41" spans="1:9" ht="12.75" thickBot="1" x14ac:dyDescent="0.25">
      <c r="A41" s="421" t="s">
        <v>609</v>
      </c>
      <c r="B41" s="458">
        <f t="shared" ref="B41:H41" si="7">B31+B39</f>
        <v>216618</v>
      </c>
      <c r="C41" s="459">
        <f t="shared" si="7"/>
        <v>24961</v>
      </c>
      <c r="D41" s="459">
        <f t="shared" si="7"/>
        <v>2400</v>
      </c>
      <c r="E41" s="459">
        <f t="shared" si="7"/>
        <v>6320</v>
      </c>
      <c r="F41" s="459">
        <f t="shared" si="7"/>
        <v>1066</v>
      </c>
      <c r="G41" s="459">
        <f t="shared" si="7"/>
        <v>-2547</v>
      </c>
      <c r="H41" s="459">
        <f t="shared" si="7"/>
        <v>248818</v>
      </c>
      <c r="I41" s="446"/>
    </row>
    <row r="42" spans="1:9" x14ac:dyDescent="0.2">
      <c r="H42" s="450"/>
    </row>
    <row r="44" spans="1:9" x14ac:dyDescent="0.2">
      <c r="A44" s="534" t="s">
        <v>674</v>
      </c>
    </row>
    <row r="45" spans="1:9" x14ac:dyDescent="0.2">
      <c r="A45" s="534" t="s">
        <v>821</v>
      </c>
      <c r="B45" s="557"/>
      <c r="C45" s="557"/>
      <c r="D45" s="557"/>
      <c r="E45" s="557"/>
      <c r="G45" s="557"/>
      <c r="H45" s="557"/>
    </row>
    <row r="46" spans="1:9" x14ac:dyDescent="0.2">
      <c r="A46" s="563" t="s">
        <v>892</v>
      </c>
      <c r="B46" s="431"/>
      <c r="C46" s="431"/>
      <c r="D46" s="431"/>
      <c r="E46" s="431"/>
      <c r="F46" s="431"/>
    </row>
    <row r="47" spans="1:9" x14ac:dyDescent="0.2">
      <c r="A47" s="586"/>
    </row>
  </sheetData>
  <pageMargins left="0.7" right="0.7" top="0.75" bottom="0.75" header="0.3" footer="0.3"/>
  <pageSetup paperSize="9" scale="65" fitToHeight="0" orientation="landscape" r:id="rId1"/>
  <ignoredErrors>
    <ignoredError sqref="D31:E31 B31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41"/>
  <sheetViews>
    <sheetView zoomScaleNormal="100" workbookViewId="0"/>
  </sheetViews>
  <sheetFormatPr baseColWidth="10" defaultColWidth="11" defaultRowHeight="12" x14ac:dyDescent="0.2"/>
  <cols>
    <col min="1" max="1" width="82.5" style="534" customWidth="1"/>
    <col min="2" max="2" width="11.25" style="534" bestFit="1" customWidth="1"/>
    <col min="3" max="16384" width="11" style="534"/>
  </cols>
  <sheetData>
    <row r="1" spans="1:3" s="550" customFormat="1" x14ac:dyDescent="0.2">
      <c r="A1" s="358" t="s">
        <v>622</v>
      </c>
      <c r="B1" s="653"/>
      <c r="C1" s="653"/>
    </row>
    <row r="2" spans="1:3" s="550" customFormat="1" x14ac:dyDescent="0.2">
      <c r="A2" s="653"/>
      <c r="B2" s="653"/>
      <c r="C2" s="653"/>
    </row>
    <row r="3" spans="1:3" s="550" customFormat="1" ht="12.75" thickBot="1" x14ac:dyDescent="0.25">
      <c r="A3" s="439"/>
      <c r="B3" s="448">
        <v>43100</v>
      </c>
      <c r="C3" s="497">
        <v>42735</v>
      </c>
    </row>
    <row r="4" spans="1:3" x14ac:dyDescent="0.2">
      <c r="A4" s="653" t="s">
        <v>730</v>
      </c>
      <c r="B4" s="22"/>
      <c r="C4" s="22"/>
    </row>
    <row r="5" spans="1:3" x14ac:dyDescent="0.2">
      <c r="A5" s="653" t="s">
        <v>731</v>
      </c>
      <c r="B5" s="22"/>
      <c r="C5" s="22"/>
    </row>
    <row r="6" spans="1:3" x14ac:dyDescent="0.2">
      <c r="A6" s="653" t="s">
        <v>732</v>
      </c>
      <c r="B6" s="22"/>
      <c r="C6" s="22"/>
    </row>
    <row r="7" spans="1:3" x14ac:dyDescent="0.2">
      <c r="A7" s="653" t="s">
        <v>733</v>
      </c>
      <c r="B7" s="22"/>
      <c r="C7" s="22"/>
    </row>
    <row r="8" spans="1:3" x14ac:dyDescent="0.2">
      <c r="A8" s="653" t="s">
        <v>734</v>
      </c>
      <c r="B8" s="22"/>
      <c r="C8" s="22"/>
    </row>
    <row r="9" spans="1:3" x14ac:dyDescent="0.2">
      <c r="A9" s="653" t="s">
        <v>735</v>
      </c>
      <c r="B9" s="22">
        <v>6024884</v>
      </c>
      <c r="C9" s="22">
        <v>10323997</v>
      </c>
    </row>
    <row r="10" spans="1:3" s="550" customFormat="1" x14ac:dyDescent="0.2">
      <c r="A10" s="653" t="s">
        <v>729</v>
      </c>
      <c r="B10" s="22">
        <v>-4307957</v>
      </c>
      <c r="C10" s="22">
        <v>-651151</v>
      </c>
    </row>
    <row r="11" spans="1:3" x14ac:dyDescent="0.2">
      <c r="A11" s="653" t="s">
        <v>736</v>
      </c>
      <c r="B11" s="22"/>
      <c r="C11" s="22"/>
    </row>
    <row r="12" spans="1:3" x14ac:dyDescent="0.2">
      <c r="A12" s="653" t="s">
        <v>614</v>
      </c>
      <c r="B12" s="22">
        <v>1552234</v>
      </c>
      <c r="C12" s="22">
        <v>1873636</v>
      </c>
    </row>
    <row r="13" spans="1:3" ht="12.75" customHeight="1" x14ac:dyDescent="0.2">
      <c r="A13" s="653" t="s">
        <v>737</v>
      </c>
      <c r="B13" s="22"/>
      <c r="C13" s="22"/>
    </row>
    <row r="14" spans="1:3" x14ac:dyDescent="0.2">
      <c r="A14" s="653" t="s">
        <v>738</v>
      </c>
      <c r="B14" s="22"/>
      <c r="C14" s="22"/>
    </row>
    <row r="15" spans="1:3" ht="12.75" customHeight="1" x14ac:dyDescent="0.2">
      <c r="A15" s="653" t="s">
        <v>739</v>
      </c>
      <c r="B15" s="22"/>
      <c r="C15" s="22">
        <v>998585</v>
      </c>
    </row>
    <row r="16" spans="1:3" x14ac:dyDescent="0.2">
      <c r="A16" s="653" t="s">
        <v>740</v>
      </c>
      <c r="B16" s="22"/>
      <c r="C16" s="22">
        <v>18652039</v>
      </c>
    </row>
    <row r="17" spans="1:3" x14ac:dyDescent="0.2">
      <c r="A17" s="653" t="s">
        <v>741</v>
      </c>
      <c r="B17" s="22"/>
      <c r="C17" s="22"/>
    </row>
    <row r="18" spans="1:3" x14ac:dyDescent="0.2">
      <c r="A18" s="653" t="s">
        <v>742</v>
      </c>
      <c r="B18" s="22">
        <v>1141235.5</v>
      </c>
      <c r="C18" s="22">
        <v>751768.4</v>
      </c>
    </row>
    <row r="19" spans="1:3" x14ac:dyDescent="0.2">
      <c r="A19" s="653" t="s">
        <v>743</v>
      </c>
      <c r="B19" s="22">
        <v>9050.2000000000007</v>
      </c>
      <c r="C19" s="22">
        <v>-38389</v>
      </c>
    </row>
    <row r="20" spans="1:3" x14ac:dyDescent="0.2">
      <c r="A20" s="653" t="s">
        <v>744</v>
      </c>
      <c r="B20" s="22">
        <v>9705218</v>
      </c>
      <c r="C20" s="22">
        <v>-116471</v>
      </c>
    </row>
    <row r="21" spans="1:3" x14ac:dyDescent="0.2">
      <c r="A21" s="653" t="s">
        <v>745</v>
      </c>
      <c r="B21" s="22">
        <v>5740201</v>
      </c>
      <c r="C21" s="22">
        <v>6327240</v>
      </c>
    </row>
    <row r="22" spans="1:3" x14ac:dyDescent="0.2">
      <c r="A22" s="653" t="s">
        <v>615</v>
      </c>
      <c r="B22" s="22">
        <v>242227113</v>
      </c>
      <c r="C22" s="22">
        <v>230160708.58962765</v>
      </c>
    </row>
    <row r="23" spans="1:3" x14ac:dyDescent="0.2">
      <c r="A23" s="653" t="s">
        <v>746</v>
      </c>
      <c r="B23" s="22"/>
      <c r="C23" s="22">
        <v>0</v>
      </c>
    </row>
    <row r="24" spans="1:3" x14ac:dyDescent="0.2">
      <c r="A24" s="653" t="s">
        <v>747</v>
      </c>
      <c r="B24" s="22"/>
      <c r="C24" s="22">
        <v>-336647</v>
      </c>
    </row>
    <row r="25" spans="1:3" x14ac:dyDescent="0.2">
      <c r="A25" s="653" t="s">
        <v>748</v>
      </c>
      <c r="B25" s="22"/>
      <c r="C25" s="22"/>
    </row>
    <row r="26" spans="1:3" x14ac:dyDescent="0.2">
      <c r="A26" s="653" t="s">
        <v>749</v>
      </c>
      <c r="B26" s="22"/>
      <c r="C26" s="22"/>
    </row>
    <row r="27" spans="1:3" x14ac:dyDescent="0.2">
      <c r="A27" s="653" t="s">
        <v>750</v>
      </c>
      <c r="B27" s="22"/>
      <c r="C27" s="22"/>
    </row>
    <row r="28" spans="1:3" x14ac:dyDescent="0.2">
      <c r="A28" s="653" t="s">
        <v>751</v>
      </c>
      <c r="B28" s="22"/>
      <c r="C28" s="22"/>
    </row>
    <row r="29" spans="1:3" x14ac:dyDescent="0.2">
      <c r="A29" s="653" t="s">
        <v>752</v>
      </c>
      <c r="B29" s="22"/>
      <c r="C29" s="22"/>
    </row>
    <row r="30" spans="1:3" ht="12.75" customHeight="1" x14ac:dyDescent="0.2">
      <c r="A30" s="653" t="s">
        <v>753</v>
      </c>
      <c r="B30" s="22">
        <v>-563450.01199999999</v>
      </c>
      <c r="C30" s="22">
        <v>-569350</v>
      </c>
    </row>
    <row r="31" spans="1:3" x14ac:dyDescent="0.2">
      <c r="A31" s="653" t="s">
        <v>754</v>
      </c>
      <c r="B31" s="22">
        <v>-563450.01199999999</v>
      </c>
      <c r="C31" s="22">
        <v>-71943</v>
      </c>
    </row>
    <row r="32" spans="1:3" x14ac:dyDescent="0.2">
      <c r="A32" s="653" t="s">
        <v>755</v>
      </c>
      <c r="B32" s="22">
        <v>261528528.68799999</v>
      </c>
      <c r="C32" s="22">
        <f>SUM(C4:C30)</f>
        <v>267375965.98962766</v>
      </c>
    </row>
    <row r="33" spans="1:3" x14ac:dyDescent="0.2">
      <c r="A33" s="653" t="s">
        <v>756</v>
      </c>
      <c r="B33" s="22">
        <v>261528528.68799999</v>
      </c>
      <c r="C33" s="22">
        <f>SUM(C4:C29,C31)</f>
        <v>267873372.98962766</v>
      </c>
    </row>
    <row r="34" spans="1:3" ht="12.75" thickBot="1" x14ac:dyDescent="0.25">
      <c r="A34" s="421" t="s">
        <v>759</v>
      </c>
      <c r="B34" s="551"/>
      <c r="C34" s="551"/>
    </row>
    <row r="35" spans="1:3" x14ac:dyDescent="0.2">
      <c r="A35" s="653" t="s">
        <v>616</v>
      </c>
      <c r="B35" s="22">
        <v>18480790.213000007</v>
      </c>
      <c r="C35" s="22">
        <v>18227258</v>
      </c>
    </row>
    <row r="36" spans="1:3" x14ac:dyDescent="0.2">
      <c r="A36" s="653" t="s">
        <v>757</v>
      </c>
      <c r="B36" s="22">
        <v>19277960.683000006</v>
      </c>
      <c r="C36" s="22">
        <v>18227258</v>
      </c>
    </row>
    <row r="37" spans="1:3" ht="12.75" thickBot="1" x14ac:dyDescent="0.25">
      <c r="A37" s="421" t="s">
        <v>617</v>
      </c>
      <c r="B37" s="551"/>
      <c r="C37" s="551"/>
    </row>
    <row r="38" spans="1:3" x14ac:dyDescent="0.2">
      <c r="A38" s="653" t="s">
        <v>617</v>
      </c>
      <c r="B38" s="552">
        <v>7.0664528668103133E-2</v>
      </c>
      <c r="C38" s="640">
        <v>7.2776114231974179E-2</v>
      </c>
    </row>
    <row r="39" spans="1:3" x14ac:dyDescent="0.2">
      <c r="A39" s="653" t="s">
        <v>758</v>
      </c>
      <c r="B39" s="552">
        <v>7.3712649169522734E-2</v>
      </c>
      <c r="C39" s="640">
        <v>7.2776114231974179E-2</v>
      </c>
    </row>
    <row r="40" spans="1:3" x14ac:dyDescent="0.2">
      <c r="A40" s="550"/>
      <c r="B40" s="550"/>
      <c r="C40" s="550"/>
    </row>
    <row r="41" spans="1:3" x14ac:dyDescent="0.2">
      <c r="A41" s="550"/>
      <c r="B41" s="550"/>
      <c r="C41" s="550"/>
    </row>
  </sheetData>
  <conditionalFormatting sqref="C7:C8 C18 C12 C29">
    <cfRule type="cellIs" dxfId="3" priority="2" operator="lessThan">
      <formula>0</formula>
    </cfRule>
  </conditionalFormatting>
  <conditionalFormatting sqref="C27">
    <cfRule type="cellIs" dxfId="2" priority="1" operator="lessThan">
      <formula>C25</formula>
    </cfRule>
  </conditionalFormatting>
  <conditionalFormatting sqref="B7:B8 B18 B12 B29">
    <cfRule type="cellIs" dxfId="1" priority="4" operator="lessThan">
      <formula>0</formula>
    </cfRule>
  </conditionalFormatting>
  <conditionalFormatting sqref="B27">
    <cfRule type="cellIs" dxfId="0" priority="3" operator="lessThan">
      <formula>B25</formula>
    </cfRule>
  </conditionalFormatting>
  <pageMargins left="0.7" right="0.7" top="0.75" bottom="0.75" header="0.3" footer="0.3"/>
  <pageSetup paperSize="9" scale="6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8"/>
  <sheetViews>
    <sheetView showGridLines="0" workbookViewId="0"/>
  </sheetViews>
  <sheetFormatPr baseColWidth="10" defaultColWidth="11" defaultRowHeight="12.75" x14ac:dyDescent="0.2"/>
  <cols>
    <col min="1" max="1" width="40.875" style="604" customWidth="1"/>
    <col min="2" max="2" width="12.5" style="604" customWidth="1"/>
    <col min="3" max="3" width="11" style="604"/>
    <col min="4" max="13" width="15.375" style="604" customWidth="1"/>
    <col min="14" max="16384" width="11" style="604"/>
  </cols>
  <sheetData>
    <row r="1" spans="1:14" x14ac:dyDescent="0.2">
      <c r="A1" s="603" t="s">
        <v>846</v>
      </c>
    </row>
    <row r="3" spans="1:14" x14ac:dyDescent="0.2">
      <c r="A3" s="605" t="s">
        <v>62</v>
      </c>
    </row>
    <row r="5" spans="1:14" x14ac:dyDescent="0.2">
      <c r="A5" s="606" t="s">
        <v>790</v>
      </c>
      <c r="B5" s="607"/>
      <c r="C5" s="607"/>
      <c r="D5" s="608"/>
      <c r="E5" s="608"/>
      <c r="F5" s="609"/>
      <c r="G5" s="609"/>
      <c r="H5" s="609"/>
      <c r="I5" s="609"/>
      <c r="J5" s="609"/>
      <c r="K5" s="609"/>
      <c r="L5" s="609"/>
      <c r="M5" s="609"/>
    </row>
    <row r="6" spans="1:14" ht="24.75" customHeight="1" x14ac:dyDescent="0.2">
      <c r="A6" s="606"/>
      <c r="B6" s="723" t="s">
        <v>791</v>
      </c>
      <c r="C6" s="723"/>
      <c r="D6" s="723" t="s">
        <v>792</v>
      </c>
      <c r="E6" s="723"/>
      <c r="F6" s="724" t="s">
        <v>793</v>
      </c>
      <c r="G6" s="724"/>
      <c r="H6" s="724" t="s">
        <v>794</v>
      </c>
      <c r="I6" s="724"/>
      <c r="J6" s="724"/>
      <c r="K6" s="724"/>
      <c r="L6" s="610"/>
      <c r="M6" s="611"/>
    </row>
    <row r="7" spans="1:14" ht="48.75" thickBot="1" x14ac:dyDescent="0.25">
      <c r="A7" s="612"/>
      <c r="B7" s="613" t="s">
        <v>809</v>
      </c>
      <c r="C7" s="613" t="s">
        <v>810</v>
      </c>
      <c r="D7" s="613" t="s">
        <v>797</v>
      </c>
      <c r="E7" s="613" t="s">
        <v>798</v>
      </c>
      <c r="F7" s="613" t="s">
        <v>795</v>
      </c>
      <c r="G7" s="613" t="s">
        <v>796</v>
      </c>
      <c r="H7" s="613" t="s">
        <v>799</v>
      </c>
      <c r="I7" s="613" t="s">
        <v>800</v>
      </c>
      <c r="J7" s="614" t="s">
        <v>801</v>
      </c>
      <c r="K7" s="615" t="s">
        <v>85</v>
      </c>
      <c r="L7" s="616" t="s">
        <v>802</v>
      </c>
      <c r="M7" s="617" t="s">
        <v>803</v>
      </c>
    </row>
    <row r="8" spans="1:14" s="622" customFormat="1" x14ac:dyDescent="0.2">
      <c r="A8" s="618" t="s">
        <v>300</v>
      </c>
      <c r="B8" s="601">
        <v>55596109</v>
      </c>
      <c r="C8" s="631">
        <f>215619870+1888</f>
        <v>215621758</v>
      </c>
      <c r="D8" s="619">
        <v>0</v>
      </c>
      <c r="E8" s="619">
        <v>0</v>
      </c>
      <c r="F8" s="619">
        <v>0</v>
      </c>
      <c r="G8" s="619">
        <v>0</v>
      </c>
      <c r="H8" s="602">
        <v>8083811</v>
      </c>
      <c r="I8" s="619">
        <v>0</v>
      </c>
      <c r="J8" s="619">
        <v>0</v>
      </c>
      <c r="K8" s="619">
        <v>8083811</v>
      </c>
      <c r="L8" s="599"/>
      <c r="M8" s="620">
        <v>0.02</v>
      </c>
      <c r="N8" s="621"/>
    </row>
    <row r="9" spans="1:14" s="627" customFormat="1" x14ac:dyDescent="0.2">
      <c r="A9" s="623" t="s">
        <v>85</v>
      </c>
      <c r="B9" s="624">
        <f>B8</f>
        <v>55596109</v>
      </c>
      <c r="C9" s="624">
        <f>C8</f>
        <v>215621758</v>
      </c>
      <c r="D9" s="624">
        <f t="shared" ref="D9:K9" si="0">+D8</f>
        <v>0</v>
      </c>
      <c r="E9" s="624">
        <f t="shared" si="0"/>
        <v>0</v>
      </c>
      <c r="F9" s="624">
        <f t="shared" si="0"/>
        <v>0</v>
      </c>
      <c r="G9" s="624">
        <f t="shared" si="0"/>
        <v>0</v>
      </c>
      <c r="H9" s="624">
        <f>H8</f>
        <v>8083811</v>
      </c>
      <c r="I9" s="624">
        <f t="shared" si="0"/>
        <v>0</v>
      </c>
      <c r="J9" s="624">
        <f t="shared" si="0"/>
        <v>0</v>
      </c>
      <c r="K9" s="624">
        <f t="shared" si="0"/>
        <v>8083811</v>
      </c>
      <c r="L9" s="625"/>
      <c r="M9" s="600">
        <v>0.02</v>
      </c>
      <c r="N9" s="626"/>
    </row>
    <row r="10" spans="1:14" x14ac:dyDescent="0.2">
      <c r="A10" s="628"/>
      <c r="B10" s="629"/>
      <c r="C10" s="629"/>
      <c r="D10" s="609"/>
      <c r="E10" s="609"/>
      <c r="F10" s="609"/>
      <c r="G10" s="609"/>
      <c r="H10" s="609"/>
      <c r="I10" s="609"/>
      <c r="J10" s="609"/>
      <c r="K10" s="609"/>
      <c r="L10" s="609"/>
      <c r="M10" s="609"/>
    </row>
    <row r="11" spans="1:14" x14ac:dyDescent="0.2">
      <c r="A11" s="628" t="s">
        <v>804</v>
      </c>
      <c r="B11" s="629"/>
      <c r="C11" s="629"/>
      <c r="D11" s="609"/>
      <c r="E11" s="609"/>
      <c r="F11" s="609"/>
      <c r="G11" s="609"/>
      <c r="H11" s="609"/>
      <c r="I11" s="609"/>
      <c r="J11" s="609"/>
      <c r="K11" s="609"/>
      <c r="L11" s="609"/>
      <c r="M11" s="609"/>
    </row>
    <row r="12" spans="1:14" x14ac:dyDescent="0.2">
      <c r="A12" s="628"/>
      <c r="B12" s="629"/>
      <c r="C12" s="629"/>
      <c r="D12" s="609"/>
      <c r="E12" s="609"/>
      <c r="F12" s="609"/>
      <c r="G12" s="609"/>
      <c r="H12" s="609"/>
      <c r="I12" s="609"/>
      <c r="J12" s="609"/>
      <c r="K12" s="609"/>
      <c r="L12" s="609"/>
      <c r="M12" s="609"/>
    </row>
    <row r="13" spans="1:14" x14ac:dyDescent="0.2">
      <c r="A13" s="628"/>
      <c r="B13" s="629"/>
      <c r="C13" s="629"/>
      <c r="D13" s="609"/>
      <c r="E13" s="609"/>
      <c r="F13" s="609"/>
      <c r="G13" s="609"/>
      <c r="H13" s="609"/>
      <c r="I13" s="609"/>
      <c r="J13" s="609"/>
      <c r="K13" s="609"/>
      <c r="L13" s="609"/>
      <c r="M13" s="609"/>
    </row>
    <row r="14" spans="1:14" x14ac:dyDescent="0.2">
      <c r="A14" s="633" t="s">
        <v>805</v>
      </c>
      <c r="B14" s="629"/>
      <c r="C14" s="629"/>
      <c r="D14" s="609"/>
      <c r="E14" s="609"/>
      <c r="F14" s="609"/>
      <c r="G14" s="609"/>
      <c r="H14" s="609"/>
      <c r="I14" s="609"/>
      <c r="J14" s="609"/>
      <c r="K14" s="609"/>
      <c r="L14" s="609"/>
      <c r="M14" s="609"/>
    </row>
    <row r="15" spans="1:14" ht="13.5" thickBot="1" x14ac:dyDescent="0.25">
      <c r="A15" s="630"/>
      <c r="B15" s="612"/>
      <c r="C15" s="612"/>
      <c r="E15" s="609"/>
      <c r="F15" s="609"/>
      <c r="G15" s="609"/>
      <c r="H15" s="609"/>
      <c r="I15" s="609"/>
      <c r="J15" s="609"/>
      <c r="K15" s="609"/>
      <c r="L15" s="609"/>
      <c r="M15" s="609"/>
    </row>
    <row r="16" spans="1:14" x14ac:dyDescent="0.2">
      <c r="A16" s="628" t="s">
        <v>806</v>
      </c>
      <c r="B16" s="629"/>
      <c r="C16" s="631">
        <v>120160334</v>
      </c>
      <c r="D16" s="632"/>
      <c r="E16" s="609"/>
      <c r="F16" s="609"/>
      <c r="G16" s="609"/>
      <c r="H16" s="609"/>
      <c r="I16" s="609"/>
      <c r="J16" s="609"/>
      <c r="K16" s="609"/>
      <c r="L16" s="609"/>
      <c r="M16" s="609"/>
    </row>
    <row r="17" spans="1:13" x14ac:dyDescent="0.2">
      <c r="A17" s="628" t="s">
        <v>807</v>
      </c>
      <c r="B17" s="629"/>
      <c r="C17" s="596">
        <v>0.02</v>
      </c>
      <c r="D17" s="596"/>
      <c r="E17" s="609"/>
      <c r="F17" s="609"/>
      <c r="G17" s="609"/>
      <c r="H17" s="609"/>
      <c r="I17" s="609"/>
      <c r="J17" s="609"/>
      <c r="K17" s="609"/>
      <c r="L17" s="609"/>
      <c r="M17" s="609"/>
    </row>
    <row r="18" spans="1:13" x14ac:dyDescent="0.2">
      <c r="A18" s="628" t="s">
        <v>808</v>
      </c>
      <c r="B18" s="629"/>
      <c r="C18" s="629"/>
      <c r="D18" s="597"/>
      <c r="E18" s="609"/>
      <c r="F18" s="609"/>
      <c r="G18" s="609"/>
      <c r="H18" s="609"/>
      <c r="I18" s="609"/>
      <c r="J18" s="609"/>
      <c r="K18" s="609"/>
      <c r="L18" s="609"/>
      <c r="M18" s="609"/>
    </row>
  </sheetData>
  <mergeCells count="4">
    <mergeCell ref="B6:C6"/>
    <mergeCell ref="D6:E6"/>
    <mergeCell ref="F6:G6"/>
    <mergeCell ref="H6:K6"/>
  </mergeCell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0"/>
  <sheetViews>
    <sheetView showGridLines="0" workbookViewId="0">
      <selection activeCell="A19" sqref="A19"/>
    </sheetView>
  </sheetViews>
  <sheetFormatPr baseColWidth="10" defaultRowHeight="12.75" x14ac:dyDescent="0.2"/>
  <cols>
    <col min="1" max="1" width="71.75" bestFit="1" customWidth="1"/>
  </cols>
  <sheetData>
    <row r="1" spans="1:4" ht="12.75" customHeight="1" x14ac:dyDescent="0.2">
      <c r="A1" s="725" t="s">
        <v>909</v>
      </c>
      <c r="B1" s="725"/>
      <c r="C1" s="725"/>
      <c r="D1" s="725"/>
    </row>
    <row r="2" spans="1:4" x14ac:dyDescent="0.2">
      <c r="A2" s="725"/>
      <c r="B2" s="725"/>
      <c r="C2" s="725"/>
      <c r="D2" s="725"/>
    </row>
    <row r="3" spans="1:4" x14ac:dyDescent="0.2">
      <c r="A3" s="167"/>
      <c r="B3" s="330"/>
      <c r="C3" s="330"/>
      <c r="D3" s="330"/>
    </row>
    <row r="4" spans="1:4" ht="24.75" thickBot="1" x14ac:dyDescent="0.25">
      <c r="A4" s="115">
        <v>2017</v>
      </c>
      <c r="B4" s="677" t="s">
        <v>910</v>
      </c>
      <c r="C4" s="677" t="s">
        <v>911</v>
      </c>
      <c r="D4" s="677" t="s">
        <v>912</v>
      </c>
    </row>
    <row r="5" spans="1:4" x14ac:dyDescent="0.2">
      <c r="A5" s="17" t="s">
        <v>913</v>
      </c>
      <c r="B5" s="206">
        <v>51</v>
      </c>
      <c r="C5" s="206">
        <v>80680212</v>
      </c>
      <c r="D5" s="206">
        <v>6055406</v>
      </c>
    </row>
    <row r="6" spans="1:4" x14ac:dyDescent="0.2">
      <c r="A6" s="17" t="s">
        <v>914</v>
      </c>
      <c r="B6" s="206">
        <v>7</v>
      </c>
      <c r="C6" s="206">
        <v>9269932</v>
      </c>
      <c r="D6" s="206">
        <v>404571</v>
      </c>
    </row>
    <row r="7" spans="1:4" x14ac:dyDescent="0.2">
      <c r="A7" s="17" t="s">
        <v>915</v>
      </c>
      <c r="B7" s="206">
        <v>5</v>
      </c>
      <c r="C7" s="206">
        <v>4468250</v>
      </c>
      <c r="D7" s="206">
        <v>245017</v>
      </c>
    </row>
    <row r="8" spans="1:4" x14ac:dyDescent="0.2">
      <c r="A8" s="75" t="s">
        <v>916</v>
      </c>
      <c r="B8" s="206">
        <v>1</v>
      </c>
      <c r="C8" s="206">
        <v>1029807</v>
      </c>
      <c r="D8" s="206">
        <v>84539</v>
      </c>
    </row>
    <row r="9" spans="1:4" x14ac:dyDescent="0.2">
      <c r="A9" s="94" t="s">
        <v>7</v>
      </c>
      <c r="B9" s="207">
        <v>64</v>
      </c>
      <c r="C9" s="207">
        <v>95448201</v>
      </c>
      <c r="D9" s="207">
        <v>6789533</v>
      </c>
    </row>
    <row r="10" spans="1:4" x14ac:dyDescent="0.2">
      <c r="A10" s="167"/>
      <c r="B10" s="360"/>
      <c r="C10" s="356"/>
      <c r="D10" s="3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0"/>
  <sheetViews>
    <sheetView zoomScaleNormal="100" workbookViewId="0"/>
  </sheetViews>
  <sheetFormatPr baseColWidth="10" defaultColWidth="11" defaultRowHeight="12" x14ac:dyDescent="0.2"/>
  <cols>
    <col min="1" max="1" width="26" style="362" customWidth="1"/>
    <col min="2" max="5" width="11.25" style="362" customWidth="1"/>
    <col min="6" max="6" width="16.375" style="21" customWidth="1"/>
    <col min="7" max="16384" width="11" style="21"/>
  </cols>
  <sheetData>
    <row r="1" spans="1:7" x14ac:dyDescent="0.2">
      <c r="A1" s="84" t="s">
        <v>187</v>
      </c>
      <c r="B1" s="84"/>
    </row>
    <row r="3" spans="1:7" x14ac:dyDescent="0.2">
      <c r="A3" s="17"/>
      <c r="B3" s="107" t="s">
        <v>283</v>
      </c>
      <c r="C3" s="107" t="s">
        <v>1</v>
      </c>
      <c r="D3" s="108" t="s">
        <v>283</v>
      </c>
      <c r="E3" s="108" t="s">
        <v>1</v>
      </c>
      <c r="F3" s="17"/>
      <c r="G3" s="17"/>
    </row>
    <row r="4" spans="1:7" ht="12.75" thickBot="1" x14ac:dyDescent="0.25">
      <c r="A4" s="538" t="s">
        <v>136</v>
      </c>
      <c r="B4" s="109" t="s">
        <v>854</v>
      </c>
      <c r="C4" s="109" t="s">
        <v>854</v>
      </c>
      <c r="D4" s="110" t="s">
        <v>762</v>
      </c>
      <c r="E4" s="110" t="s">
        <v>762</v>
      </c>
      <c r="F4" s="69"/>
    </row>
    <row r="5" spans="1:7" s="362" customFormat="1" x14ac:dyDescent="0.2">
      <c r="A5" s="100" t="s">
        <v>249</v>
      </c>
      <c r="B5" s="392">
        <v>0.19500000000000001</v>
      </c>
      <c r="C5" s="324">
        <v>1677</v>
      </c>
      <c r="D5" s="392">
        <v>0.19500000000000001</v>
      </c>
      <c r="E5" s="324">
        <v>1585</v>
      </c>
      <c r="F5" s="69"/>
    </row>
    <row r="6" spans="1:7" s="362" customFormat="1" ht="14.25" x14ac:dyDescent="0.2">
      <c r="A6" s="362" t="s">
        <v>833</v>
      </c>
      <c r="B6" s="549"/>
      <c r="C6" s="79"/>
      <c r="D6" s="549">
        <v>1.61E-2</v>
      </c>
      <c r="E6" s="79">
        <v>126</v>
      </c>
      <c r="F6" s="91"/>
      <c r="G6" s="111"/>
    </row>
    <row r="7" spans="1:7" s="306" customFormat="1" x14ac:dyDescent="0.2">
      <c r="A7" s="537" t="s">
        <v>127</v>
      </c>
      <c r="B7" s="393">
        <v>0.15140000000000001</v>
      </c>
      <c r="C7" s="81">
        <v>191</v>
      </c>
      <c r="D7" s="393">
        <v>0.15140000000000001</v>
      </c>
      <c r="E7" s="81">
        <v>140</v>
      </c>
      <c r="F7" s="91"/>
      <c r="G7" s="111"/>
    </row>
    <row r="8" spans="1:7" s="361" customFormat="1" ht="14.25" x14ac:dyDescent="0.2">
      <c r="A8" s="537" t="s">
        <v>818</v>
      </c>
      <c r="B8" s="393"/>
      <c r="C8" s="81"/>
      <c r="D8" s="393">
        <v>0.18090000000000001</v>
      </c>
      <c r="E8" s="81">
        <v>210</v>
      </c>
      <c r="F8" s="91"/>
      <c r="G8" s="111"/>
    </row>
    <row r="9" spans="1:7" s="362" customFormat="1" x14ac:dyDescent="0.2">
      <c r="A9" s="656" t="s">
        <v>855</v>
      </c>
      <c r="B9" s="393">
        <v>0.19700000000000001</v>
      </c>
      <c r="C9" s="81">
        <v>63</v>
      </c>
      <c r="D9" s="393">
        <v>0.19700000000000001</v>
      </c>
      <c r="E9" s="81">
        <v>19</v>
      </c>
      <c r="F9" s="91"/>
      <c r="G9" s="111"/>
    </row>
    <row r="10" spans="1:7" s="362" customFormat="1" x14ac:dyDescent="0.2">
      <c r="A10" s="656" t="s">
        <v>856</v>
      </c>
      <c r="B10" s="393"/>
      <c r="C10" s="81">
        <v>60</v>
      </c>
      <c r="D10" s="393"/>
      <c r="E10" s="81">
        <v>33</v>
      </c>
      <c r="F10" s="91"/>
      <c r="G10" s="111"/>
    </row>
    <row r="11" spans="1:7" x14ac:dyDescent="0.2">
      <c r="A11" s="537" t="s">
        <v>9</v>
      </c>
      <c r="B11" s="537"/>
      <c r="C11" s="646">
        <v>102</v>
      </c>
      <c r="D11" s="639"/>
      <c r="E11" s="324">
        <f>96-19-33</f>
        <v>44</v>
      </c>
      <c r="F11" s="91"/>
      <c r="G11" s="111"/>
    </row>
    <row r="12" spans="1:7" x14ac:dyDescent="0.2">
      <c r="A12" s="112" t="s">
        <v>7</v>
      </c>
      <c r="B12" s="112"/>
      <c r="C12" s="95">
        <f>SUM(C5:C11)</f>
        <v>2093</v>
      </c>
      <c r="D12" s="95"/>
      <c r="E12" s="369">
        <f>SUM(E5:E11)</f>
        <v>2157</v>
      </c>
      <c r="F12" s="69"/>
      <c r="G12" s="111"/>
    </row>
    <row r="14" spans="1:7" x14ac:dyDescent="0.2">
      <c r="A14" s="362" t="s">
        <v>258</v>
      </c>
    </row>
    <row r="15" spans="1:7" x14ac:dyDescent="0.2">
      <c r="A15" s="362" t="s">
        <v>257</v>
      </c>
    </row>
    <row r="16" spans="1:7" x14ac:dyDescent="0.2">
      <c r="A16" s="362" t="s">
        <v>256</v>
      </c>
    </row>
    <row r="17" spans="1:1" x14ac:dyDescent="0.2">
      <c r="A17" s="362" t="s">
        <v>669</v>
      </c>
    </row>
    <row r="19" spans="1:1" ht="14.25" x14ac:dyDescent="0.2">
      <c r="A19" s="362" t="s">
        <v>819</v>
      </c>
    </row>
    <row r="20" spans="1:1" ht="14.25" x14ac:dyDescent="0.2">
      <c r="A20" s="362" t="s">
        <v>908</v>
      </c>
    </row>
  </sheetData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>
    <oddFooter>&amp;R&amp;A</oddFoot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tabColor rgb="FF00B050"/>
    <pageSetUpPr fitToPage="1"/>
  </sheetPr>
  <dimension ref="A1:O145"/>
  <sheetViews>
    <sheetView showGridLines="0" zoomScaleNormal="100" workbookViewId="0"/>
  </sheetViews>
  <sheetFormatPr baseColWidth="10" defaultColWidth="11" defaultRowHeight="12" x14ac:dyDescent="0.2"/>
  <cols>
    <col min="1" max="1" width="52.625" style="362" customWidth="1"/>
    <col min="2" max="2" width="11.875" style="362" customWidth="1"/>
    <col min="3" max="3" width="8.625" style="362" customWidth="1"/>
    <col min="4" max="5" width="11.75" style="21" customWidth="1"/>
    <col min="6" max="7" width="11" style="21"/>
    <col min="8" max="8" width="9.875" style="21" bestFit="1" customWidth="1"/>
    <col min="9" max="9" width="19.75" style="21" bestFit="1" customWidth="1"/>
    <col min="10" max="16384" width="11" style="21"/>
  </cols>
  <sheetData>
    <row r="1" spans="1:3" x14ac:dyDescent="0.2">
      <c r="A1" s="34" t="s">
        <v>284</v>
      </c>
    </row>
    <row r="2" spans="1:3" s="362" customFormat="1" x14ac:dyDescent="0.2">
      <c r="A2" s="534" t="s">
        <v>285</v>
      </c>
    </row>
    <row r="3" spans="1:3" s="362" customFormat="1" x14ac:dyDescent="0.2">
      <c r="A3" s="556"/>
    </row>
    <row r="4" spans="1:3" s="362" customFormat="1" x14ac:dyDescent="0.2">
      <c r="A4" s="556" t="s">
        <v>857</v>
      </c>
    </row>
    <row r="5" spans="1:3" s="362" customFormat="1" x14ac:dyDescent="0.2">
      <c r="A5" s="556" t="s">
        <v>842</v>
      </c>
    </row>
    <row r="6" spans="1:3" s="362" customFormat="1" x14ac:dyDescent="0.2">
      <c r="A6" s="556" t="s">
        <v>858</v>
      </c>
    </row>
    <row r="9" spans="1:3" ht="12.75" thickBot="1" x14ac:dyDescent="0.25">
      <c r="A9" s="1" t="s">
        <v>189</v>
      </c>
      <c r="B9" s="2">
        <v>43100</v>
      </c>
      <c r="C9" s="3">
        <v>42735</v>
      </c>
    </row>
    <row r="10" spans="1:3" x14ac:dyDescent="0.2">
      <c r="A10" s="4" t="s">
        <v>162</v>
      </c>
      <c r="B10" s="5">
        <v>6394</v>
      </c>
      <c r="C10" s="6">
        <v>6394</v>
      </c>
    </row>
    <row r="11" spans="1:3" x14ac:dyDescent="0.2">
      <c r="A11" s="4" t="s">
        <v>10</v>
      </c>
      <c r="B11" s="5">
        <v>1587</v>
      </c>
      <c r="C11" s="6">
        <v>1587</v>
      </c>
    </row>
    <row r="12" spans="1:3" x14ac:dyDescent="0.2">
      <c r="A12" s="4" t="s">
        <v>11</v>
      </c>
      <c r="B12" s="5">
        <v>1087</v>
      </c>
      <c r="C12" s="6">
        <v>575</v>
      </c>
    </row>
    <row r="13" spans="1:3" s="362" customFormat="1" x14ac:dyDescent="0.2">
      <c r="A13" s="4" t="s">
        <v>12</v>
      </c>
      <c r="B13" s="5">
        <v>43</v>
      </c>
      <c r="C13" s="6">
        <v>52</v>
      </c>
    </row>
    <row r="14" spans="1:3" s="362" customFormat="1" x14ac:dyDescent="0.2">
      <c r="A14" s="4" t="s">
        <v>834</v>
      </c>
      <c r="B14" s="5">
        <v>150</v>
      </c>
      <c r="C14" s="6">
        <v>0</v>
      </c>
    </row>
    <row r="15" spans="1:3" x14ac:dyDescent="0.2">
      <c r="A15" s="7" t="s">
        <v>13</v>
      </c>
      <c r="B15" s="5">
        <v>10628</v>
      </c>
      <c r="C15" s="6">
        <v>9680</v>
      </c>
    </row>
    <row r="16" spans="1:3" x14ac:dyDescent="0.2">
      <c r="A16" s="8" t="s">
        <v>14</v>
      </c>
      <c r="B16" s="9">
        <f>SUM(B10:B15)</f>
        <v>19889</v>
      </c>
      <c r="C16" s="10">
        <f>SUM(C10:C15)</f>
        <v>18288</v>
      </c>
    </row>
    <row r="17" spans="1:3" x14ac:dyDescent="0.2">
      <c r="A17" s="4"/>
      <c r="B17" s="5"/>
      <c r="C17" s="6"/>
    </row>
    <row r="18" spans="1:3" x14ac:dyDescent="0.2">
      <c r="A18" s="11" t="s">
        <v>128</v>
      </c>
      <c r="B18" s="5"/>
      <c r="C18" s="6"/>
    </row>
    <row r="19" spans="1:3" x14ac:dyDescent="0.2">
      <c r="A19" s="4" t="s">
        <v>15</v>
      </c>
      <c r="B19" s="5">
        <v>-116</v>
      </c>
      <c r="C19" s="6">
        <v>-94</v>
      </c>
    </row>
    <row r="20" spans="1:3" s="362" customFormat="1" x14ac:dyDescent="0.2">
      <c r="A20" s="4" t="s">
        <v>107</v>
      </c>
      <c r="B20" s="5">
        <v>-1087</v>
      </c>
      <c r="C20" s="6">
        <v>-575</v>
      </c>
    </row>
    <row r="21" spans="1:3" x14ac:dyDescent="0.2">
      <c r="A21" s="4" t="s">
        <v>252</v>
      </c>
      <c r="B21" s="5">
        <v>-337</v>
      </c>
      <c r="C21" s="6">
        <v>-263</v>
      </c>
    </row>
    <row r="22" spans="1:3" s="362" customFormat="1" x14ac:dyDescent="0.2">
      <c r="A22" s="4" t="s">
        <v>835</v>
      </c>
      <c r="B22" s="5">
        <v>-150</v>
      </c>
      <c r="C22" s="6"/>
    </row>
    <row r="23" spans="1:3" x14ac:dyDescent="0.2">
      <c r="A23" s="4" t="s">
        <v>253</v>
      </c>
      <c r="B23" s="5">
        <v>-72</v>
      </c>
      <c r="C23" s="6">
        <v>-163</v>
      </c>
    </row>
    <row r="24" spans="1:3" x14ac:dyDescent="0.2">
      <c r="A24" s="4" t="s">
        <v>254</v>
      </c>
      <c r="B24" s="5">
        <v>-38</v>
      </c>
      <c r="C24" s="6">
        <v>-50</v>
      </c>
    </row>
    <row r="25" spans="1:3" x14ac:dyDescent="0.2">
      <c r="A25" s="540" t="s">
        <v>261</v>
      </c>
      <c r="B25" s="541">
        <f>SUM(B16:B24)</f>
        <v>18089</v>
      </c>
      <c r="C25" s="542">
        <f>SUM(C16:C24)</f>
        <v>17143</v>
      </c>
    </row>
    <row r="26" spans="1:3" s="362" customFormat="1" ht="14.25" x14ac:dyDescent="0.2">
      <c r="A26" s="4" t="s">
        <v>859</v>
      </c>
      <c r="B26" s="5">
        <v>392</v>
      </c>
      <c r="C26" s="6">
        <v>0</v>
      </c>
    </row>
    <row r="27" spans="1:3" ht="14.25" x14ac:dyDescent="0.2">
      <c r="A27" s="7" t="s">
        <v>190</v>
      </c>
      <c r="B27" s="5">
        <v>797</v>
      </c>
      <c r="C27" s="6">
        <v>1084</v>
      </c>
    </row>
    <row r="28" spans="1:3" x14ac:dyDescent="0.2">
      <c r="A28" s="8" t="s">
        <v>16</v>
      </c>
      <c r="B28" s="9">
        <f>B25+B26+B27</f>
        <v>19278</v>
      </c>
      <c r="C28" s="9">
        <f>C25+C26+C27</f>
        <v>18227</v>
      </c>
    </row>
    <row r="29" spans="1:3" s="362" customFormat="1" x14ac:dyDescent="0.2">
      <c r="A29" s="4"/>
      <c r="B29" s="5"/>
      <c r="C29" s="6"/>
    </row>
    <row r="30" spans="1:3" x14ac:dyDescent="0.2">
      <c r="A30" s="11" t="s">
        <v>17</v>
      </c>
      <c r="B30" s="5"/>
      <c r="C30" s="6"/>
    </row>
    <row r="31" spans="1:3" x14ac:dyDescent="0.2">
      <c r="A31" s="4" t="s">
        <v>130</v>
      </c>
      <c r="B31" s="5">
        <v>2254</v>
      </c>
      <c r="C31" s="6">
        <v>2276</v>
      </c>
    </row>
    <row r="32" spans="1:3" x14ac:dyDescent="0.2">
      <c r="A32" s="4" t="s">
        <v>255</v>
      </c>
      <c r="B32" s="5">
        <v>-43</v>
      </c>
      <c r="C32" s="6">
        <v>-60</v>
      </c>
    </row>
    <row r="33" spans="1:3" x14ac:dyDescent="0.2">
      <c r="A33" s="8" t="s">
        <v>131</v>
      </c>
      <c r="B33" s="9">
        <f>SUM(B31:B32)</f>
        <v>2211</v>
      </c>
      <c r="C33" s="10">
        <f>SUM(C31:C32)</f>
        <v>2216</v>
      </c>
    </row>
    <row r="34" spans="1:3" x14ac:dyDescent="0.2">
      <c r="A34" s="7"/>
      <c r="B34" s="5"/>
      <c r="C34" s="6"/>
    </row>
    <row r="35" spans="1:3" x14ac:dyDescent="0.2">
      <c r="A35" s="8" t="s">
        <v>18</v>
      </c>
      <c r="B35" s="9">
        <f>+B33+B28</f>
        <v>21489</v>
      </c>
      <c r="C35" s="10">
        <f>+C33+C28</f>
        <v>20443</v>
      </c>
    </row>
    <row r="36" spans="1:3" ht="14.25" x14ac:dyDescent="0.2">
      <c r="A36" s="12" t="s">
        <v>222</v>
      </c>
      <c r="B36" s="13"/>
      <c r="C36" s="14"/>
    </row>
    <row r="37" spans="1:3" s="362" customFormat="1" x14ac:dyDescent="0.2">
      <c r="A37" s="15"/>
      <c r="B37" s="16"/>
      <c r="C37" s="17"/>
    </row>
    <row r="38" spans="1:3" ht="12.75" thickBot="1" x14ac:dyDescent="0.25">
      <c r="A38" s="18" t="s">
        <v>259</v>
      </c>
      <c r="B38" s="19">
        <v>43100</v>
      </c>
      <c r="C38" s="20">
        <v>42735</v>
      </c>
    </row>
    <row r="39" spans="1:3" x14ac:dyDescent="0.2">
      <c r="A39" s="362" t="s">
        <v>685</v>
      </c>
      <c r="B39" s="357">
        <v>103088</v>
      </c>
      <c r="C39" s="22">
        <f>72607+23073</f>
        <v>95680</v>
      </c>
    </row>
    <row r="40" spans="1:3" x14ac:dyDescent="0.2">
      <c r="A40" s="362" t="s">
        <v>271</v>
      </c>
      <c r="B40" s="357">
        <v>933</v>
      </c>
      <c r="C40" s="22">
        <v>701</v>
      </c>
    </row>
    <row r="41" spans="1:3" x14ac:dyDescent="0.2">
      <c r="A41" s="362" t="s">
        <v>188</v>
      </c>
      <c r="B41" s="357">
        <v>7430</v>
      </c>
      <c r="C41" s="22">
        <v>7054</v>
      </c>
    </row>
    <row r="42" spans="1:3" s="362" customFormat="1" x14ac:dyDescent="0.2">
      <c r="A42" s="24" t="s">
        <v>22</v>
      </c>
      <c r="B42" s="25">
        <v>8709</v>
      </c>
      <c r="C42" s="303">
        <v>13216</v>
      </c>
    </row>
    <row r="43" spans="1:3" s="362" customFormat="1" x14ac:dyDescent="0.2">
      <c r="A43" s="27" t="s">
        <v>259</v>
      </c>
      <c r="B43" s="28">
        <f>B39+B40+B41+B42</f>
        <v>120160</v>
      </c>
      <c r="C43" s="304">
        <f>C39+C40+C41+C42</f>
        <v>116651</v>
      </c>
    </row>
    <row r="44" spans="1:3" s="362" customFormat="1" x14ac:dyDescent="0.2">
      <c r="A44" s="29"/>
      <c r="B44" s="30"/>
      <c r="C44" s="31"/>
    </row>
    <row r="45" spans="1:3" s="362" customFormat="1" x14ac:dyDescent="0.2">
      <c r="A45" s="394" t="s">
        <v>277</v>
      </c>
      <c r="B45" s="357">
        <f>B43*4.5/100</f>
        <v>5407.2</v>
      </c>
      <c r="C45" s="22">
        <f>C43*4.5/100</f>
        <v>5249.2950000000001</v>
      </c>
    </row>
    <row r="46" spans="1:3" s="362" customFormat="1" x14ac:dyDescent="0.2">
      <c r="A46" s="394" t="s">
        <v>278</v>
      </c>
      <c r="B46" s="357"/>
      <c r="C46" s="22"/>
    </row>
    <row r="47" spans="1:3" s="362" customFormat="1" x14ac:dyDescent="0.2">
      <c r="A47" s="394" t="s">
        <v>279</v>
      </c>
      <c r="B47" s="357">
        <f>B43*2.5/100</f>
        <v>3004</v>
      </c>
      <c r="C47" s="22">
        <f>C43*2.5/100</f>
        <v>2916.2750000000001</v>
      </c>
    </row>
    <row r="48" spans="1:3" s="362" customFormat="1" x14ac:dyDescent="0.2">
      <c r="A48" s="394" t="s">
        <v>861</v>
      </c>
      <c r="B48" s="357">
        <f>B43*3/100</f>
        <v>3604.8</v>
      </c>
      <c r="C48" s="22">
        <f>C43*3/100</f>
        <v>3499.53</v>
      </c>
    </row>
    <row r="49" spans="1:15" s="362" customFormat="1" x14ac:dyDescent="0.2">
      <c r="A49" s="394" t="s">
        <v>860</v>
      </c>
      <c r="B49" s="357">
        <f>B43*2/100</f>
        <v>2403.1999999999998</v>
      </c>
      <c r="C49" s="22">
        <f>C43*1.5/100</f>
        <v>1749.7650000000001</v>
      </c>
    </row>
    <row r="50" spans="1:15" x14ac:dyDescent="0.2">
      <c r="A50" s="394" t="s">
        <v>280</v>
      </c>
      <c r="B50" s="357">
        <f>SUM(B47:B49)</f>
        <v>9012</v>
      </c>
      <c r="C50" s="22">
        <f>SUM(C47:C49)</f>
        <v>8165.5700000000006</v>
      </c>
    </row>
    <row r="51" spans="1:15" x14ac:dyDescent="0.2">
      <c r="A51" s="394" t="s">
        <v>281</v>
      </c>
      <c r="B51" s="357">
        <f>B25-B45-B50</f>
        <v>3669.7999999999993</v>
      </c>
      <c r="C51" s="22">
        <f>C25-C45-C50</f>
        <v>3728.1349999999993</v>
      </c>
    </row>
    <row r="52" spans="1:15" x14ac:dyDescent="0.2">
      <c r="A52" s="29"/>
      <c r="B52" s="30"/>
      <c r="C52" s="31"/>
    </row>
    <row r="53" spans="1:15" x14ac:dyDescent="0.2">
      <c r="A53" s="11" t="s">
        <v>98</v>
      </c>
      <c r="B53" s="32">
        <v>0.17879999999999999</v>
      </c>
      <c r="C53" s="33">
        <v>0.17519999999999999</v>
      </c>
    </row>
    <row r="54" spans="1:15" x14ac:dyDescent="0.2">
      <c r="A54" s="4" t="s">
        <v>686</v>
      </c>
      <c r="B54" s="32">
        <v>0.16039999999999999</v>
      </c>
      <c r="C54" s="33">
        <v>0.15629999999999999</v>
      </c>
    </row>
    <row r="55" spans="1:15" s="35" customFormat="1" x14ac:dyDescent="0.2">
      <c r="A55" s="4" t="s">
        <v>687</v>
      </c>
      <c r="B55" s="32">
        <v>1.84E-2</v>
      </c>
      <c r="C55" s="33">
        <v>1.9E-2</v>
      </c>
      <c r="J55" s="21"/>
      <c r="K55" s="21"/>
      <c r="L55" s="21"/>
      <c r="M55" s="21"/>
      <c r="N55" s="21"/>
      <c r="O55" s="21"/>
    </row>
    <row r="56" spans="1:15" s="35" customFormat="1" x14ac:dyDescent="0.2">
      <c r="A56" s="17" t="s">
        <v>171</v>
      </c>
      <c r="B56" s="32">
        <v>0.15049999999999999</v>
      </c>
      <c r="C56" s="33">
        <v>0.14699999999999999</v>
      </c>
      <c r="J56" s="21"/>
      <c r="K56" s="21"/>
      <c r="L56" s="21"/>
      <c r="M56" s="21"/>
      <c r="N56" s="21"/>
      <c r="O56" s="21"/>
    </row>
    <row r="57" spans="1:15" s="35" customFormat="1" x14ac:dyDescent="0.2">
      <c r="A57" s="17" t="s">
        <v>715</v>
      </c>
      <c r="B57" s="651">
        <v>7.3700000000000002E-2</v>
      </c>
      <c r="C57" s="642">
        <v>7.2800000000000004E-2</v>
      </c>
      <c r="J57" s="21"/>
      <c r="K57" s="21"/>
      <c r="L57" s="21"/>
      <c r="M57" s="21"/>
      <c r="N57" s="21"/>
      <c r="O57" s="21"/>
    </row>
    <row r="58" spans="1:15" x14ac:dyDescent="0.2">
      <c r="A58" s="534"/>
      <c r="B58" s="534"/>
      <c r="C58" s="534"/>
      <c r="D58" s="36"/>
      <c r="E58" s="36"/>
    </row>
    <row r="59" spans="1:15" x14ac:dyDescent="0.2">
      <c r="A59" s="35"/>
      <c r="B59" s="35"/>
      <c r="C59" s="35"/>
      <c r="D59" s="39"/>
      <c r="E59" s="39"/>
      <c r="F59" s="17"/>
      <c r="G59" s="17"/>
    </row>
    <row r="60" spans="1:15" x14ac:dyDescent="0.2">
      <c r="A60" s="35"/>
      <c r="B60" s="35"/>
      <c r="C60" s="35"/>
      <c r="D60" s="40"/>
      <c r="E60" s="40"/>
      <c r="F60" s="17"/>
      <c r="G60" s="17"/>
    </row>
    <row r="61" spans="1:15" x14ac:dyDescent="0.2">
      <c r="C61" s="36"/>
      <c r="D61" s="40"/>
      <c r="E61" s="40"/>
      <c r="F61" s="17"/>
      <c r="G61" s="17"/>
    </row>
    <row r="62" spans="1:15" x14ac:dyDescent="0.2">
      <c r="A62" s="37"/>
      <c r="B62" s="38"/>
      <c r="C62" s="38"/>
      <c r="D62" s="40"/>
      <c r="E62" s="40"/>
      <c r="F62" s="17"/>
      <c r="G62" s="17"/>
    </row>
    <row r="63" spans="1:15" x14ac:dyDescent="0.2">
      <c r="A63" s="17"/>
      <c r="B63" s="17"/>
      <c r="C63" s="38"/>
      <c r="D63" s="40"/>
      <c r="E63" s="40"/>
      <c r="F63" s="17"/>
      <c r="G63" s="17"/>
    </row>
    <row r="64" spans="1:15" x14ac:dyDescent="0.2">
      <c r="A64" s="41"/>
      <c r="B64" s="41"/>
      <c r="C64" s="42"/>
      <c r="D64" s="49"/>
      <c r="E64" s="49"/>
      <c r="F64" s="17"/>
      <c r="G64" s="17"/>
    </row>
    <row r="65" spans="1:7" x14ac:dyDescent="0.2">
      <c r="A65" s="43"/>
      <c r="B65" s="44"/>
      <c r="C65" s="40"/>
      <c r="D65" s="49"/>
      <c r="E65" s="49"/>
      <c r="F65" s="17"/>
      <c r="G65" s="17"/>
    </row>
    <row r="66" spans="1:7" x14ac:dyDescent="0.2">
      <c r="A66" s="45"/>
      <c r="B66" s="44"/>
      <c r="C66" s="40"/>
      <c r="D66" s="49"/>
      <c r="E66" s="49"/>
      <c r="F66" s="17"/>
      <c r="G66" s="17"/>
    </row>
    <row r="67" spans="1:7" x14ac:dyDescent="0.2">
      <c r="A67" s="47"/>
      <c r="B67" s="48"/>
      <c r="C67" s="49"/>
      <c r="D67" s="49"/>
      <c r="E67" s="49"/>
      <c r="F67" s="17"/>
      <c r="G67" s="17"/>
    </row>
    <row r="68" spans="1:7" x14ac:dyDescent="0.2">
      <c r="A68" s="50"/>
      <c r="B68" s="48"/>
      <c r="C68" s="49"/>
      <c r="D68" s="49"/>
      <c r="E68" s="49"/>
      <c r="F68" s="17"/>
      <c r="G68" s="17"/>
    </row>
    <row r="69" spans="1:7" x14ac:dyDescent="0.2">
      <c r="A69" s="50"/>
      <c r="B69" s="48"/>
      <c r="C69" s="49"/>
      <c r="D69" s="54"/>
      <c r="E69" s="54"/>
      <c r="F69" s="17"/>
      <c r="G69" s="17"/>
    </row>
    <row r="70" spans="1:7" x14ac:dyDescent="0.2">
      <c r="A70" s="50"/>
      <c r="B70" s="48"/>
      <c r="C70" s="49"/>
      <c r="D70" s="54"/>
      <c r="E70" s="54"/>
      <c r="F70" s="17"/>
      <c r="G70" s="17"/>
    </row>
    <row r="71" spans="1:7" x14ac:dyDescent="0.2">
      <c r="A71" s="51"/>
      <c r="B71" s="48"/>
      <c r="C71" s="49"/>
      <c r="D71" s="54"/>
      <c r="E71" s="54"/>
      <c r="F71" s="17"/>
      <c r="G71" s="17"/>
    </row>
    <row r="72" spans="1:7" x14ac:dyDescent="0.2">
      <c r="A72" s="52"/>
      <c r="B72" s="53"/>
      <c r="C72" s="54"/>
      <c r="D72" s="54"/>
      <c r="E72" s="54"/>
      <c r="F72" s="17"/>
      <c r="G72" s="17"/>
    </row>
    <row r="73" spans="1:7" x14ac:dyDescent="0.2">
      <c r="A73" s="55"/>
      <c r="B73" s="48"/>
      <c r="C73" s="54"/>
      <c r="D73" s="54"/>
      <c r="E73" s="54"/>
      <c r="F73" s="17"/>
      <c r="G73" s="17"/>
    </row>
    <row r="74" spans="1:7" x14ac:dyDescent="0.2">
      <c r="A74" s="56"/>
      <c r="B74" s="41"/>
      <c r="C74" s="54"/>
      <c r="D74" s="54"/>
      <c r="E74" s="54"/>
      <c r="F74" s="17"/>
      <c r="G74" s="17"/>
    </row>
    <row r="75" spans="1:7" x14ac:dyDescent="0.2">
      <c r="A75" s="50"/>
      <c r="B75" s="48"/>
      <c r="C75" s="54"/>
      <c r="D75" s="57"/>
      <c r="E75" s="57"/>
      <c r="F75" s="17"/>
      <c r="G75" s="17"/>
    </row>
    <row r="76" spans="1:7" x14ac:dyDescent="0.2">
      <c r="A76" s="50"/>
      <c r="B76" s="48"/>
      <c r="C76" s="54"/>
      <c r="D76" s="54"/>
      <c r="E76" s="54"/>
      <c r="F76" s="17"/>
      <c r="G76" s="17"/>
    </row>
    <row r="77" spans="1:7" x14ac:dyDescent="0.2">
      <c r="A77" s="50"/>
      <c r="B77" s="48"/>
      <c r="C77" s="54"/>
      <c r="D77" s="12"/>
      <c r="E77" s="12"/>
      <c r="F77" s="17"/>
      <c r="G77" s="17"/>
    </row>
    <row r="78" spans="1:7" x14ac:dyDescent="0.2">
      <c r="A78" s="52"/>
      <c r="B78" s="53"/>
      <c r="C78" s="57"/>
      <c r="D78" s="60"/>
      <c r="E78" s="60"/>
      <c r="F78" s="17"/>
      <c r="G78" s="17"/>
    </row>
    <row r="79" spans="1:7" x14ac:dyDescent="0.2">
      <c r="A79" s="58"/>
      <c r="B79" s="12"/>
      <c r="C79" s="54"/>
      <c r="D79" s="60"/>
      <c r="E79" s="60"/>
      <c r="F79" s="17"/>
      <c r="G79" s="17"/>
    </row>
    <row r="80" spans="1:7" x14ac:dyDescent="0.2">
      <c r="A80" s="56"/>
      <c r="B80" s="59"/>
      <c r="C80" s="12"/>
      <c r="D80" s="60"/>
      <c r="E80" s="60"/>
      <c r="F80" s="17"/>
      <c r="G80" s="17"/>
    </row>
    <row r="81" spans="1:10" x14ac:dyDescent="0.2">
      <c r="A81" s="50"/>
      <c r="B81" s="60"/>
      <c r="C81" s="60"/>
      <c r="D81" s="60"/>
      <c r="E81" s="60"/>
      <c r="F81" s="17"/>
      <c r="G81" s="17"/>
    </row>
    <row r="82" spans="1:10" x14ac:dyDescent="0.2">
      <c r="A82" s="50"/>
      <c r="B82" s="48"/>
      <c r="C82" s="60"/>
      <c r="D82" s="60"/>
      <c r="E82" s="60"/>
      <c r="F82" s="17"/>
      <c r="G82" s="17"/>
    </row>
    <row r="83" spans="1:10" x14ac:dyDescent="0.2">
      <c r="A83" s="50"/>
      <c r="B83" s="48"/>
      <c r="C83" s="60"/>
      <c r="D83" s="48"/>
      <c r="E83" s="48"/>
      <c r="F83" s="17"/>
      <c r="G83" s="17"/>
    </row>
    <row r="84" spans="1:10" x14ac:dyDescent="0.2">
      <c r="A84" s="50"/>
      <c r="B84" s="48"/>
      <c r="C84" s="60"/>
      <c r="D84" s="48"/>
      <c r="E84" s="48"/>
      <c r="F84" s="17"/>
      <c r="G84" s="17"/>
    </row>
    <row r="85" spans="1:10" x14ac:dyDescent="0.2">
      <c r="A85" s="52"/>
      <c r="B85" s="61"/>
      <c r="C85" s="60"/>
      <c r="D85" s="57"/>
      <c r="E85" s="57"/>
      <c r="F85" s="17"/>
      <c r="G85" s="17"/>
    </row>
    <row r="86" spans="1:10" x14ac:dyDescent="0.2">
      <c r="A86" s="55"/>
      <c r="B86" s="48"/>
      <c r="C86" s="48"/>
      <c r="D86" s="17"/>
      <c r="E86" s="17"/>
      <c r="F86" s="17"/>
      <c r="G86" s="17"/>
    </row>
    <row r="87" spans="1:10" x14ac:dyDescent="0.2">
      <c r="A87" s="55"/>
      <c r="B87" s="48"/>
      <c r="C87" s="48"/>
      <c r="D87" s="17"/>
      <c r="E87" s="17"/>
      <c r="F87" s="17"/>
      <c r="G87" s="17"/>
    </row>
    <row r="88" spans="1:10" x14ac:dyDescent="0.2">
      <c r="A88" s="52"/>
      <c r="B88" s="53"/>
      <c r="C88" s="57"/>
      <c r="D88" s="62"/>
      <c r="E88" s="62"/>
      <c r="F88" s="41"/>
      <c r="G88" s="41"/>
      <c r="H88" s="63"/>
      <c r="I88" s="63"/>
      <c r="J88" s="63"/>
    </row>
    <row r="89" spans="1:10" x14ac:dyDescent="0.2">
      <c r="A89" s="17"/>
      <c r="B89" s="17"/>
      <c r="C89" s="17"/>
      <c r="D89" s="62"/>
      <c r="E89" s="62"/>
      <c r="F89" s="41"/>
      <c r="G89" s="41"/>
      <c r="H89" s="63"/>
      <c r="I89" s="63"/>
      <c r="J89" s="63"/>
    </row>
    <row r="90" spans="1:10" x14ac:dyDescent="0.2">
      <c r="A90" s="17"/>
      <c r="B90" s="17"/>
      <c r="C90" s="17"/>
      <c r="D90" s="62"/>
      <c r="E90" s="62"/>
      <c r="F90" s="41"/>
      <c r="G90" s="41"/>
      <c r="H90" s="63"/>
      <c r="I90" s="63"/>
      <c r="J90" s="63"/>
    </row>
    <row r="91" spans="1:10" x14ac:dyDescent="0.2">
      <c r="A91" s="62"/>
      <c r="B91" s="62"/>
      <c r="C91" s="62"/>
      <c r="D91" s="62"/>
      <c r="E91" s="62"/>
      <c r="F91" s="41"/>
      <c r="G91" s="41"/>
      <c r="H91" s="63"/>
      <c r="I91" s="63"/>
      <c r="J91" s="63"/>
    </row>
    <row r="92" spans="1:10" x14ac:dyDescent="0.2">
      <c r="A92" s="62"/>
      <c r="B92" s="62"/>
      <c r="C92" s="62"/>
      <c r="D92" s="17"/>
      <c r="E92" s="17"/>
      <c r="F92" s="17"/>
      <c r="G92" s="17"/>
    </row>
    <row r="93" spans="1:10" x14ac:dyDescent="0.2">
      <c r="A93" s="62"/>
      <c r="B93" s="62"/>
      <c r="C93" s="62"/>
      <c r="D93" s="17"/>
      <c r="E93" s="17"/>
      <c r="F93" s="17"/>
      <c r="G93" s="17"/>
    </row>
    <row r="94" spans="1:10" x14ac:dyDescent="0.2">
      <c r="A94" s="62"/>
      <c r="B94" s="62"/>
      <c r="C94" s="62"/>
      <c r="D94" s="17"/>
      <c r="E94" s="17"/>
      <c r="F94" s="17"/>
      <c r="G94" s="17"/>
    </row>
    <row r="95" spans="1:10" x14ac:dyDescent="0.2">
      <c r="A95" s="17"/>
      <c r="B95" s="17"/>
      <c r="C95" s="17"/>
      <c r="D95" s="17"/>
      <c r="E95" s="17"/>
      <c r="F95" s="17"/>
      <c r="G95" s="17"/>
    </row>
    <row r="96" spans="1:10" x14ac:dyDescent="0.2">
      <c r="A96" s="17"/>
      <c r="B96" s="17"/>
      <c r="C96" s="17"/>
      <c r="D96" s="17"/>
      <c r="E96" s="17"/>
      <c r="F96" s="17"/>
      <c r="G96" s="17"/>
    </row>
    <row r="97" spans="1:7" x14ac:dyDescent="0.2">
      <c r="A97" s="17"/>
      <c r="B97" s="17"/>
      <c r="C97" s="17"/>
      <c r="D97" s="17"/>
      <c r="E97" s="17"/>
      <c r="F97" s="17"/>
      <c r="G97" s="17"/>
    </row>
    <row r="98" spans="1:7" x14ac:dyDescent="0.2">
      <c r="A98" s="17"/>
      <c r="B98" s="17"/>
      <c r="C98" s="17"/>
      <c r="D98" s="17"/>
      <c r="E98" s="17"/>
      <c r="F98" s="17"/>
      <c r="G98" s="17"/>
    </row>
    <row r="99" spans="1:7" x14ac:dyDescent="0.2">
      <c r="A99" s="17"/>
      <c r="B99" s="17"/>
      <c r="C99" s="17"/>
      <c r="D99" s="17"/>
      <c r="E99" s="17"/>
      <c r="F99" s="17"/>
      <c r="G99" s="17"/>
    </row>
    <row r="100" spans="1:7" x14ac:dyDescent="0.2">
      <c r="A100" s="17"/>
      <c r="B100" s="17"/>
      <c r="C100" s="17"/>
      <c r="D100" s="17"/>
      <c r="E100" s="17"/>
      <c r="F100" s="17"/>
      <c r="G100" s="17"/>
    </row>
    <row r="101" spans="1:7" x14ac:dyDescent="0.2">
      <c r="A101" s="17"/>
      <c r="B101" s="17"/>
      <c r="C101" s="17"/>
      <c r="D101" s="17"/>
      <c r="E101" s="17"/>
      <c r="F101" s="17"/>
      <c r="G101" s="17"/>
    </row>
    <row r="102" spans="1:7" x14ac:dyDescent="0.2">
      <c r="A102" s="17"/>
      <c r="B102" s="17"/>
      <c r="C102" s="17"/>
      <c r="D102" s="17"/>
      <c r="E102" s="17"/>
      <c r="F102" s="17"/>
      <c r="G102" s="17"/>
    </row>
    <row r="103" spans="1:7" x14ac:dyDescent="0.2">
      <c r="A103" s="17"/>
      <c r="B103" s="17"/>
      <c r="C103" s="17"/>
      <c r="D103" s="17"/>
      <c r="E103" s="17"/>
      <c r="F103" s="17"/>
      <c r="G103" s="17"/>
    </row>
    <row r="104" spans="1:7" x14ac:dyDescent="0.2">
      <c r="A104" s="17"/>
      <c r="B104" s="17"/>
      <c r="C104" s="17"/>
      <c r="D104" s="17"/>
      <c r="E104" s="17"/>
      <c r="F104" s="17"/>
      <c r="G104" s="17"/>
    </row>
    <row r="105" spans="1:7" x14ac:dyDescent="0.2">
      <c r="A105" s="17"/>
      <c r="B105" s="17"/>
      <c r="C105" s="17"/>
      <c r="D105" s="17"/>
      <c r="E105" s="17"/>
      <c r="F105" s="17"/>
      <c r="G105" s="17"/>
    </row>
    <row r="106" spans="1:7" x14ac:dyDescent="0.2">
      <c r="A106" s="17"/>
      <c r="B106" s="17"/>
      <c r="C106" s="17"/>
      <c r="D106" s="17"/>
      <c r="E106" s="17"/>
      <c r="F106" s="17"/>
      <c r="G106" s="17"/>
    </row>
    <row r="107" spans="1:7" x14ac:dyDescent="0.2">
      <c r="A107" s="17"/>
      <c r="B107" s="17"/>
      <c r="C107" s="17"/>
      <c r="D107" s="17"/>
      <c r="E107" s="17"/>
      <c r="F107" s="17"/>
      <c r="G107" s="17"/>
    </row>
    <row r="108" spans="1:7" x14ac:dyDescent="0.2">
      <c r="A108" s="17"/>
      <c r="B108" s="17"/>
      <c r="C108" s="17"/>
      <c r="D108" s="17"/>
      <c r="E108" s="17"/>
      <c r="F108" s="17"/>
      <c r="G108" s="17"/>
    </row>
    <row r="109" spans="1:7" x14ac:dyDescent="0.2">
      <c r="A109" s="17"/>
      <c r="B109" s="17"/>
      <c r="C109" s="17"/>
      <c r="D109" s="17"/>
      <c r="E109" s="17"/>
      <c r="F109" s="17"/>
      <c r="G109" s="17"/>
    </row>
    <row r="110" spans="1:7" x14ac:dyDescent="0.2">
      <c r="A110" s="17"/>
      <c r="B110" s="17"/>
      <c r="C110" s="17"/>
      <c r="D110" s="17"/>
      <c r="E110" s="17"/>
      <c r="F110" s="17"/>
      <c r="G110" s="17"/>
    </row>
    <row r="111" spans="1:7" x14ac:dyDescent="0.2">
      <c r="A111" s="17"/>
      <c r="B111" s="17"/>
      <c r="C111" s="17"/>
      <c r="D111" s="17"/>
      <c r="E111" s="17"/>
      <c r="F111" s="17"/>
      <c r="G111" s="17"/>
    </row>
    <row r="112" spans="1:7" x14ac:dyDescent="0.2">
      <c r="A112" s="17"/>
      <c r="B112" s="17"/>
      <c r="C112" s="17"/>
      <c r="D112" s="17"/>
      <c r="E112" s="17"/>
      <c r="F112" s="17"/>
      <c r="G112" s="17"/>
    </row>
    <row r="113" spans="1:7" x14ac:dyDescent="0.2">
      <c r="A113" s="17"/>
      <c r="B113" s="17"/>
      <c r="C113" s="17"/>
      <c r="D113" s="17"/>
      <c r="E113" s="17"/>
      <c r="F113" s="17"/>
      <c r="G113" s="17"/>
    </row>
    <row r="114" spans="1:7" x14ac:dyDescent="0.2">
      <c r="A114" s="17"/>
      <c r="B114" s="17"/>
      <c r="C114" s="17"/>
      <c r="D114" s="17"/>
      <c r="E114" s="17"/>
      <c r="F114" s="17"/>
      <c r="G114" s="17"/>
    </row>
    <row r="115" spans="1:7" x14ac:dyDescent="0.2">
      <c r="A115" s="17"/>
      <c r="B115" s="17"/>
      <c r="C115" s="17"/>
      <c r="D115" s="17"/>
      <c r="E115" s="17"/>
      <c r="F115" s="17"/>
      <c r="G115" s="17"/>
    </row>
    <row r="116" spans="1:7" x14ac:dyDescent="0.2">
      <c r="A116" s="17"/>
      <c r="B116" s="17"/>
      <c r="C116" s="17"/>
      <c r="D116" s="17"/>
      <c r="E116" s="17"/>
      <c r="F116" s="17"/>
      <c r="G116" s="17"/>
    </row>
    <row r="117" spans="1:7" x14ac:dyDescent="0.2">
      <c r="A117" s="17"/>
      <c r="B117" s="17"/>
      <c r="C117" s="17"/>
      <c r="D117" s="17"/>
      <c r="E117" s="17"/>
      <c r="F117" s="17"/>
      <c r="G117" s="17"/>
    </row>
    <row r="118" spans="1:7" x14ac:dyDescent="0.2">
      <c r="A118" s="17"/>
      <c r="B118" s="17"/>
      <c r="C118" s="17"/>
      <c r="D118" s="17"/>
      <c r="E118" s="17"/>
      <c r="F118" s="17"/>
      <c r="G118" s="17"/>
    </row>
    <row r="119" spans="1:7" x14ac:dyDescent="0.2">
      <c r="A119" s="17"/>
      <c r="B119" s="17"/>
      <c r="C119" s="17"/>
      <c r="D119" s="17"/>
      <c r="E119" s="17"/>
      <c r="F119" s="17"/>
      <c r="G119" s="17"/>
    </row>
    <row r="120" spans="1:7" x14ac:dyDescent="0.2">
      <c r="A120" s="17"/>
      <c r="B120" s="17"/>
      <c r="C120" s="17"/>
      <c r="D120" s="17"/>
      <c r="E120" s="17"/>
      <c r="F120" s="17"/>
      <c r="G120" s="17"/>
    </row>
    <row r="121" spans="1:7" x14ac:dyDescent="0.2">
      <c r="A121" s="17"/>
      <c r="B121" s="17"/>
      <c r="C121" s="17"/>
      <c r="D121" s="17"/>
      <c r="E121" s="17"/>
      <c r="F121" s="17"/>
      <c r="G121" s="17"/>
    </row>
    <row r="122" spans="1:7" x14ac:dyDescent="0.2">
      <c r="A122" s="17"/>
      <c r="B122" s="17"/>
      <c r="C122" s="17"/>
      <c r="D122" s="17"/>
      <c r="E122" s="17"/>
      <c r="F122" s="17"/>
      <c r="G122" s="17"/>
    </row>
    <row r="123" spans="1:7" x14ac:dyDescent="0.2">
      <c r="A123" s="17"/>
      <c r="B123" s="17"/>
      <c r="C123" s="17"/>
      <c r="D123" s="17"/>
      <c r="E123" s="17"/>
      <c r="F123" s="17"/>
      <c r="G123" s="17"/>
    </row>
    <row r="124" spans="1:7" x14ac:dyDescent="0.2">
      <c r="A124" s="17"/>
      <c r="B124" s="17"/>
      <c r="C124" s="17"/>
      <c r="D124" s="17"/>
      <c r="E124" s="17"/>
      <c r="F124" s="17"/>
      <c r="G124" s="17"/>
    </row>
    <row r="125" spans="1:7" x14ac:dyDescent="0.2">
      <c r="A125" s="17"/>
      <c r="B125" s="17"/>
      <c r="C125" s="17"/>
      <c r="D125" s="17"/>
      <c r="E125" s="17"/>
      <c r="F125" s="17"/>
      <c r="G125" s="17"/>
    </row>
    <row r="126" spans="1:7" x14ac:dyDescent="0.2">
      <c r="A126" s="17"/>
      <c r="B126" s="17"/>
      <c r="C126" s="17"/>
      <c r="D126" s="17"/>
      <c r="E126" s="17"/>
      <c r="F126" s="17"/>
      <c r="G126" s="17"/>
    </row>
    <row r="127" spans="1:7" x14ac:dyDescent="0.2">
      <c r="A127" s="17"/>
      <c r="B127" s="17"/>
      <c r="C127" s="17"/>
      <c r="D127" s="17"/>
      <c r="E127" s="17"/>
      <c r="F127" s="17"/>
      <c r="G127" s="17"/>
    </row>
    <row r="128" spans="1:7" x14ac:dyDescent="0.2">
      <c r="A128" s="17"/>
      <c r="B128" s="17"/>
      <c r="C128" s="17"/>
      <c r="D128" s="17"/>
      <c r="E128" s="17"/>
      <c r="F128" s="17"/>
      <c r="G128" s="17"/>
    </row>
    <row r="129" spans="1:7" x14ac:dyDescent="0.2">
      <c r="A129" s="17"/>
      <c r="B129" s="17"/>
      <c r="C129" s="17"/>
      <c r="D129" s="17"/>
      <c r="E129" s="17"/>
      <c r="F129" s="17"/>
      <c r="G129" s="17"/>
    </row>
    <row r="130" spans="1:7" x14ac:dyDescent="0.2">
      <c r="A130" s="17"/>
      <c r="B130" s="17"/>
      <c r="C130" s="17"/>
      <c r="D130" s="17"/>
      <c r="E130" s="17"/>
      <c r="F130" s="17"/>
      <c r="G130" s="17"/>
    </row>
    <row r="131" spans="1:7" x14ac:dyDescent="0.2">
      <c r="A131" s="17"/>
      <c r="B131" s="17"/>
      <c r="C131" s="17"/>
      <c r="D131" s="17"/>
      <c r="E131" s="17"/>
      <c r="F131" s="17"/>
      <c r="G131" s="17"/>
    </row>
    <row r="132" spans="1:7" x14ac:dyDescent="0.2">
      <c r="A132" s="17"/>
      <c r="B132" s="17"/>
      <c r="C132" s="17"/>
      <c r="D132" s="17"/>
      <c r="E132" s="17"/>
      <c r="F132" s="17"/>
      <c r="G132" s="17"/>
    </row>
    <row r="133" spans="1:7" x14ac:dyDescent="0.2">
      <c r="A133" s="17"/>
      <c r="B133" s="17"/>
      <c r="C133" s="17"/>
      <c r="D133" s="17"/>
      <c r="E133" s="17"/>
      <c r="F133" s="17"/>
      <c r="G133" s="17"/>
    </row>
    <row r="134" spans="1:7" x14ac:dyDescent="0.2">
      <c r="A134" s="17"/>
      <c r="B134" s="17"/>
      <c r="C134" s="17"/>
      <c r="D134" s="17"/>
      <c r="E134" s="17"/>
      <c r="F134" s="17"/>
      <c r="G134" s="17"/>
    </row>
    <row r="135" spans="1:7" x14ac:dyDescent="0.2">
      <c r="A135" s="17"/>
      <c r="B135" s="17"/>
      <c r="C135" s="17"/>
      <c r="D135" s="17"/>
      <c r="E135" s="17"/>
      <c r="F135" s="17"/>
      <c r="G135" s="17"/>
    </row>
    <row r="136" spans="1:7" x14ac:dyDescent="0.2">
      <c r="A136" s="17"/>
      <c r="B136" s="17"/>
      <c r="C136" s="17"/>
      <c r="D136" s="17"/>
      <c r="E136" s="17"/>
      <c r="F136" s="17"/>
      <c r="G136" s="17"/>
    </row>
    <row r="137" spans="1:7" x14ac:dyDescent="0.2">
      <c r="A137" s="17"/>
      <c r="B137" s="17"/>
      <c r="C137" s="17"/>
      <c r="D137" s="17"/>
      <c r="E137" s="17"/>
      <c r="F137" s="17"/>
      <c r="G137" s="17"/>
    </row>
    <row r="138" spans="1:7" x14ac:dyDescent="0.2">
      <c r="A138" s="17"/>
      <c r="B138" s="17"/>
      <c r="C138" s="17"/>
      <c r="D138" s="17"/>
      <c r="E138" s="17"/>
      <c r="F138" s="17"/>
      <c r="G138" s="17"/>
    </row>
    <row r="139" spans="1:7" x14ac:dyDescent="0.2">
      <c r="A139" s="17"/>
      <c r="B139" s="17"/>
      <c r="C139" s="17"/>
      <c r="D139" s="17"/>
      <c r="E139" s="17"/>
      <c r="F139" s="17"/>
      <c r="G139" s="17"/>
    </row>
    <row r="140" spans="1:7" x14ac:dyDescent="0.2">
      <c r="A140" s="17"/>
      <c r="B140" s="17"/>
      <c r="C140" s="17"/>
      <c r="D140" s="17"/>
      <c r="E140" s="17"/>
      <c r="F140" s="17"/>
      <c r="G140" s="17"/>
    </row>
    <row r="141" spans="1:7" x14ac:dyDescent="0.2">
      <c r="A141" s="17"/>
      <c r="B141" s="17"/>
      <c r="C141" s="17"/>
      <c r="D141" s="17"/>
      <c r="E141" s="17"/>
      <c r="F141" s="17"/>
      <c r="G141" s="17"/>
    </row>
    <row r="142" spans="1:7" x14ac:dyDescent="0.2">
      <c r="A142" s="17"/>
      <c r="B142" s="17"/>
      <c r="C142" s="17"/>
      <c r="D142" s="17"/>
      <c r="E142" s="17"/>
      <c r="F142" s="17"/>
      <c r="G142" s="17"/>
    </row>
    <row r="143" spans="1:7" x14ac:dyDescent="0.2">
      <c r="A143" s="17"/>
      <c r="B143" s="17"/>
      <c r="C143" s="17"/>
    </row>
    <row r="144" spans="1:7" x14ac:dyDescent="0.2">
      <c r="A144" s="17"/>
      <c r="B144" s="17"/>
      <c r="C144" s="17"/>
    </row>
    <row r="145" spans="1:3" x14ac:dyDescent="0.2">
      <c r="A145" s="17"/>
      <c r="B145" s="17"/>
      <c r="C145" s="17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>
    <oddFooter>&amp;R&amp;A</oddFooter>
  </headerFooter>
  <ignoredErrors>
    <ignoredError sqref="B16:C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tabColor rgb="FF00B050"/>
    <pageSetUpPr fitToPage="1"/>
  </sheetPr>
  <dimension ref="A1:K41"/>
  <sheetViews>
    <sheetView zoomScaleNormal="100" workbookViewId="0"/>
  </sheetViews>
  <sheetFormatPr baseColWidth="10" defaultColWidth="11" defaultRowHeight="12" x14ac:dyDescent="0.2"/>
  <cols>
    <col min="1" max="1" width="36.25" style="362" customWidth="1"/>
    <col min="2" max="2" width="29.625" style="362" customWidth="1"/>
    <col min="3" max="3" width="8.375" style="362" customWidth="1"/>
    <col min="4" max="4" width="8.875" style="362" customWidth="1"/>
    <col min="5" max="5" width="11.5" style="362" customWidth="1"/>
    <col min="6" max="6" width="10.625" style="362" customWidth="1"/>
    <col min="7" max="7" width="14.625" style="21" customWidth="1"/>
    <col min="8" max="8" width="11" style="21"/>
    <col min="9" max="9" width="31.25" style="21" customWidth="1"/>
    <col min="10" max="16384" width="11" style="21"/>
  </cols>
  <sheetData>
    <row r="1" spans="1:11" x14ac:dyDescent="0.2">
      <c r="A1" s="307" t="s">
        <v>267</v>
      </c>
      <c r="B1" s="534"/>
      <c r="C1" s="308"/>
      <c r="D1" s="308"/>
      <c r="E1" s="308"/>
      <c r="F1" s="308"/>
      <c r="G1" s="64"/>
      <c r="H1" s="64"/>
      <c r="J1" s="64"/>
    </row>
    <row r="2" spans="1:11" x14ac:dyDescent="0.2">
      <c r="A2" s="563" t="s">
        <v>154</v>
      </c>
      <c r="B2" s="534"/>
      <c r="C2" s="308"/>
      <c r="D2" s="308"/>
      <c r="E2" s="308"/>
      <c r="F2" s="308"/>
      <c r="G2" s="64"/>
      <c r="H2" s="64"/>
      <c r="J2" s="64"/>
    </row>
    <row r="3" spans="1:11" x14ac:dyDescent="0.2">
      <c r="A3" s="535"/>
      <c r="B3" s="535"/>
      <c r="C3" s="535"/>
      <c r="D3" s="535"/>
      <c r="E3" s="309"/>
      <c r="F3" s="534"/>
      <c r="J3" s="65"/>
    </row>
    <row r="4" spans="1:11" x14ac:dyDescent="0.2">
      <c r="A4" s="531"/>
      <c r="B4" s="531"/>
      <c r="C4" s="531"/>
      <c r="D4" s="531"/>
      <c r="E4" s="532"/>
      <c r="F4" s="532"/>
      <c r="G4" s="67"/>
    </row>
    <row r="5" spans="1:11" ht="24" x14ac:dyDescent="0.2">
      <c r="A5" s="536"/>
      <c r="B5" s="310"/>
      <c r="C5" s="311" t="s">
        <v>60</v>
      </c>
      <c r="D5" s="311" t="s">
        <v>60</v>
      </c>
      <c r="E5" s="532" t="s">
        <v>259</v>
      </c>
      <c r="F5" s="312" t="s">
        <v>259</v>
      </c>
      <c r="G5" s="70"/>
    </row>
    <row r="6" spans="1:11" x14ac:dyDescent="0.2">
      <c r="A6" s="536"/>
      <c r="B6" s="310"/>
      <c r="C6" s="311"/>
      <c r="D6" s="311" t="s">
        <v>61</v>
      </c>
      <c r="E6" s="532" t="s">
        <v>62</v>
      </c>
      <c r="F6" s="312" t="s">
        <v>62</v>
      </c>
      <c r="G6" s="67"/>
    </row>
    <row r="7" spans="1:11" ht="12.75" thickBot="1" x14ac:dyDescent="0.25">
      <c r="A7" s="313"/>
      <c r="B7" s="314"/>
      <c r="C7" s="315">
        <v>43100</v>
      </c>
      <c r="D7" s="315">
        <v>43100</v>
      </c>
      <c r="E7" s="315">
        <v>43100</v>
      </c>
      <c r="F7" s="316">
        <v>42735</v>
      </c>
      <c r="G7" s="72"/>
      <c r="I7" s="16"/>
    </row>
    <row r="8" spans="1:11" x14ac:dyDescent="0.2">
      <c r="A8" s="100" t="s">
        <v>23</v>
      </c>
      <c r="B8" s="531" t="s">
        <v>784</v>
      </c>
      <c r="C8" s="317">
        <f>36733.526</f>
        <v>36733.525999999998</v>
      </c>
      <c r="D8" s="317">
        <f>35022.339</f>
        <v>35022.339</v>
      </c>
      <c r="E8" s="317">
        <f>21916.058</f>
        <v>21916.058000000001</v>
      </c>
      <c r="F8" s="317">
        <v>19471</v>
      </c>
      <c r="G8" s="74"/>
      <c r="I8" s="16"/>
    </row>
    <row r="9" spans="1:11" s="362" customFormat="1" x14ac:dyDescent="0.2">
      <c r="A9" s="100"/>
      <c r="B9" s="531" t="s">
        <v>289</v>
      </c>
      <c r="C9" s="317">
        <f>26902.374+1.888</f>
        <v>26904.261999999999</v>
      </c>
      <c r="D9" s="317">
        <f>24348.496+1.888</f>
        <v>24350.383999999998</v>
      </c>
      <c r="E9" s="317">
        <f>19218.028+1.754</f>
        <v>19219.781999999999</v>
      </c>
      <c r="F9" s="317">
        <v>17231</v>
      </c>
      <c r="G9" s="74"/>
      <c r="I9" s="16"/>
    </row>
    <row r="10" spans="1:11" x14ac:dyDescent="0.2">
      <c r="A10" s="318"/>
      <c r="B10" s="319" t="s">
        <v>105</v>
      </c>
      <c r="C10" s="320">
        <v>9886.982</v>
      </c>
      <c r="D10" s="320">
        <v>7995.7950000000001</v>
      </c>
      <c r="E10" s="320">
        <v>6867.8559999999998</v>
      </c>
      <c r="F10" s="320">
        <v>6785</v>
      </c>
      <c r="G10" s="74"/>
      <c r="I10" s="75"/>
    </row>
    <row r="11" spans="1:11" x14ac:dyDescent="0.2">
      <c r="A11" s="305" t="s">
        <v>24</v>
      </c>
      <c r="B11" s="305" t="s">
        <v>63</v>
      </c>
      <c r="C11" s="317">
        <v>5924.4380000000001</v>
      </c>
      <c r="D11" s="317">
        <v>5920.9059999999999</v>
      </c>
      <c r="E11" s="317">
        <v>1302.95</v>
      </c>
      <c r="F11" s="317">
        <v>1194</v>
      </c>
      <c r="G11" s="74"/>
      <c r="I11" s="75"/>
    </row>
    <row r="12" spans="1:11" ht="12" customHeight="1" x14ac:dyDescent="0.2">
      <c r="A12" s="305"/>
      <c r="B12" s="305" t="s">
        <v>94</v>
      </c>
      <c r="C12" s="317">
        <v>131569.682</v>
      </c>
      <c r="D12" s="317">
        <v>131560.61600000001</v>
      </c>
      <c r="E12" s="317">
        <v>27025.888999999999</v>
      </c>
      <c r="F12" s="317">
        <v>25899</v>
      </c>
      <c r="G12" s="74"/>
      <c r="I12" s="75"/>
    </row>
    <row r="13" spans="1:11" ht="14.25" customHeight="1" x14ac:dyDescent="0.2">
      <c r="A13" s="321"/>
      <c r="B13" s="321" t="s">
        <v>95</v>
      </c>
      <c r="C13" s="320">
        <f>366.603+4236.264</f>
        <v>4602.8670000000002</v>
      </c>
      <c r="D13" s="320">
        <f>363.574+4229.021</f>
        <v>4592.5949999999993</v>
      </c>
      <c r="E13" s="320">
        <f>109.293+1832.791</f>
        <v>1942.0839999999998</v>
      </c>
      <c r="F13" s="320">
        <v>2027</v>
      </c>
      <c r="G13" s="74"/>
      <c r="I13" s="685"/>
      <c r="J13" s="685"/>
      <c r="K13" s="685"/>
    </row>
    <row r="14" spans="1:11" x14ac:dyDescent="0.2">
      <c r="A14" s="686" t="s">
        <v>264</v>
      </c>
      <c r="B14" s="686"/>
      <c r="C14" s="322">
        <f>SUM(C8:C13)</f>
        <v>215621.75700000001</v>
      </c>
      <c r="D14" s="322">
        <f>SUM(D8:D13)</f>
        <v>209442.63500000001</v>
      </c>
      <c r="E14" s="322">
        <f>SUM(E8:E13)</f>
        <v>78274.618999999992</v>
      </c>
      <c r="F14" s="317">
        <f>SUM(F8:F13)</f>
        <v>72607</v>
      </c>
      <c r="G14" s="77"/>
    </row>
    <row r="15" spans="1:11" x14ac:dyDescent="0.2">
      <c r="A15" s="310"/>
      <c r="B15" s="310"/>
      <c r="C15" s="323"/>
      <c r="D15" s="323"/>
      <c r="E15" s="323"/>
      <c r="F15" s="323"/>
      <c r="G15" s="78"/>
    </row>
    <row r="16" spans="1:11" s="362" customFormat="1" ht="12" customHeight="1" x14ac:dyDescent="0.2">
      <c r="A16" s="652" t="s">
        <v>862</v>
      </c>
      <c r="B16" s="652"/>
      <c r="C16" s="317">
        <f>6279.724</f>
        <v>6279.7240000000002</v>
      </c>
      <c r="D16" s="317"/>
      <c r="E16" s="317">
        <f>51.017</f>
        <v>51.017000000000003</v>
      </c>
      <c r="F16" s="317">
        <f>68</f>
        <v>68</v>
      </c>
      <c r="G16" s="78"/>
    </row>
    <row r="17" spans="1:10" ht="12" customHeight="1" x14ac:dyDescent="0.2">
      <c r="A17" s="531" t="s">
        <v>863</v>
      </c>
      <c r="B17" s="531"/>
      <c r="C17" s="317">
        <f>696.087+8.671+2645.432</f>
        <v>3350.1899999999996</v>
      </c>
      <c r="D17" s="317"/>
      <c r="E17" s="317">
        <f>138.765+1.734</f>
        <v>140.499</v>
      </c>
      <c r="F17" s="317">
        <f>312+21</f>
        <v>333</v>
      </c>
      <c r="G17" s="74"/>
      <c r="H17" s="79"/>
    </row>
    <row r="18" spans="1:10" x14ac:dyDescent="0.2">
      <c r="A18" s="531" t="s">
        <v>30</v>
      </c>
      <c r="B18" s="531"/>
      <c r="C18" s="317">
        <v>13176.245999999999</v>
      </c>
      <c r="D18" s="317"/>
      <c r="E18" s="317">
        <v>1864.5050000000001</v>
      </c>
      <c r="F18" s="317">
        <v>2169</v>
      </c>
      <c r="G18" s="74"/>
      <c r="H18" s="79"/>
    </row>
    <row r="19" spans="1:10" x14ac:dyDescent="0.2">
      <c r="A19" s="531" t="s">
        <v>23</v>
      </c>
      <c r="B19" s="531"/>
      <c r="C19" s="647">
        <f>14361.611+169.188</f>
        <v>14530.799000000001</v>
      </c>
      <c r="D19" s="317"/>
      <c r="E19" s="317">
        <f>9258.624+215.065</f>
        <v>9473.6890000000003</v>
      </c>
      <c r="F19" s="317">
        <v>7446</v>
      </c>
      <c r="G19" s="74"/>
      <c r="H19" s="79"/>
    </row>
    <row r="20" spans="1:10" ht="12" customHeight="1" x14ac:dyDescent="0.2">
      <c r="A20" s="531" t="s">
        <v>24</v>
      </c>
      <c r="B20" s="531"/>
      <c r="C20" s="317">
        <f>7908.641+1855.357</f>
        <v>9763.9979999999996</v>
      </c>
      <c r="D20" s="317"/>
      <c r="E20" s="317">
        <f>2530.85+1352.846</f>
        <v>3883.6959999999999</v>
      </c>
      <c r="F20" s="317">
        <f>2058+2506</f>
        <v>4564</v>
      </c>
      <c r="G20" s="74"/>
      <c r="H20" s="79"/>
    </row>
    <row r="21" spans="1:10" s="362" customFormat="1" ht="12" customHeight="1" x14ac:dyDescent="0.2">
      <c r="A21" s="531" t="s">
        <v>698</v>
      </c>
      <c r="B21" s="531"/>
      <c r="C21" s="317">
        <v>26858.089</v>
      </c>
      <c r="D21" s="317"/>
      <c r="E21" s="317">
        <v>2685.8090000000002</v>
      </c>
      <c r="F21" s="317">
        <v>1817</v>
      </c>
      <c r="G21" s="74"/>
      <c r="H21" s="79"/>
    </row>
    <row r="22" spans="1:10" s="362" customFormat="1" ht="12" customHeight="1" x14ac:dyDescent="0.2">
      <c r="A22" s="531" t="s">
        <v>716</v>
      </c>
      <c r="B22" s="531"/>
      <c r="C22" s="317">
        <v>2312.1219999999998</v>
      </c>
      <c r="D22" s="317"/>
      <c r="E22" s="317">
        <v>5036.2020000000002</v>
      </c>
      <c r="F22" s="317">
        <v>4850</v>
      </c>
      <c r="G22" s="74"/>
      <c r="H22" s="79"/>
    </row>
    <row r="23" spans="1:10" ht="12" customHeight="1" x14ac:dyDescent="0.2">
      <c r="A23" s="319" t="s">
        <v>66</v>
      </c>
      <c r="B23" s="319"/>
      <c r="C23" s="320">
        <v>2131.1010000000001</v>
      </c>
      <c r="D23" s="501"/>
      <c r="E23" s="320">
        <v>1677.654</v>
      </c>
      <c r="F23" s="320">
        <v>1826</v>
      </c>
      <c r="G23" s="74"/>
      <c r="H23" s="79"/>
    </row>
    <row r="24" spans="1:10" x14ac:dyDescent="0.2">
      <c r="A24" s="686" t="s">
        <v>265</v>
      </c>
      <c r="B24" s="686"/>
      <c r="C24" s="322">
        <f>SUM(C16:C23)</f>
        <v>78402.269</v>
      </c>
      <c r="D24" s="322"/>
      <c r="E24" s="322">
        <f t="shared" ref="E24:F24" si="0">SUM(E16:E23)</f>
        <v>24813.071</v>
      </c>
      <c r="F24" s="317">
        <f t="shared" si="0"/>
        <v>23073</v>
      </c>
      <c r="G24" s="77"/>
      <c r="H24" s="79"/>
    </row>
    <row r="25" spans="1:10" x14ac:dyDescent="0.2">
      <c r="A25" s="310"/>
      <c r="B25" s="310"/>
      <c r="C25" s="322"/>
      <c r="D25" s="322"/>
      <c r="E25" s="322"/>
      <c r="F25" s="317"/>
      <c r="G25" s="77"/>
      <c r="H25" s="79"/>
    </row>
    <row r="26" spans="1:10" x14ac:dyDescent="0.2">
      <c r="A26" s="325" t="s">
        <v>266</v>
      </c>
      <c r="B26" s="326"/>
      <c r="C26" s="327"/>
      <c r="D26" s="373"/>
      <c r="E26" s="327">
        <f>E14+E24</f>
        <v>103087.68999999999</v>
      </c>
      <c r="F26" s="373">
        <f>F14+F24</f>
        <v>95680</v>
      </c>
      <c r="G26" s="83"/>
    </row>
    <row r="29" spans="1:10" x14ac:dyDescent="0.2">
      <c r="A29" s="653" t="s">
        <v>785</v>
      </c>
      <c r="B29" s="653"/>
      <c r="C29" s="653"/>
      <c r="D29" s="653"/>
      <c r="E29" s="653"/>
      <c r="F29" s="653"/>
      <c r="G29" s="653"/>
      <c r="H29" s="362"/>
      <c r="I29" s="362"/>
      <c r="J29" s="362"/>
    </row>
    <row r="30" spans="1:10" x14ac:dyDescent="0.2">
      <c r="A30" s="653" t="s">
        <v>786</v>
      </c>
      <c r="B30" s="653"/>
      <c r="C30" s="653"/>
      <c r="D30" s="653"/>
      <c r="E30" s="653"/>
      <c r="F30" s="22"/>
      <c r="G30" s="653"/>
      <c r="H30" s="362"/>
      <c r="I30" s="362"/>
      <c r="J30" s="362"/>
    </row>
    <row r="31" spans="1:10" x14ac:dyDescent="0.2">
      <c r="A31" s="653" t="s">
        <v>789</v>
      </c>
      <c r="B31" s="653"/>
      <c r="C31" s="653"/>
      <c r="D31" s="653"/>
      <c r="E31" s="653"/>
      <c r="F31" s="653"/>
      <c r="G31" s="653"/>
      <c r="H31" s="362"/>
      <c r="I31" s="362"/>
      <c r="J31" s="362"/>
    </row>
    <row r="32" spans="1:10" x14ac:dyDescent="0.2">
      <c r="A32" s="653" t="s">
        <v>787</v>
      </c>
      <c r="B32" s="653"/>
      <c r="C32" s="653"/>
      <c r="D32" s="653"/>
      <c r="E32" s="653"/>
      <c r="F32" s="653"/>
      <c r="G32" s="653"/>
      <c r="H32" s="362"/>
      <c r="I32" s="362"/>
      <c r="J32" s="362"/>
    </row>
    <row r="33" spans="1:10" x14ac:dyDescent="0.2">
      <c r="A33" s="653" t="s">
        <v>788</v>
      </c>
      <c r="B33" s="653"/>
      <c r="C33" s="653"/>
      <c r="D33" s="653"/>
      <c r="E33" s="653"/>
      <c r="F33" s="653"/>
      <c r="G33" s="653"/>
      <c r="H33" s="362"/>
      <c r="I33" s="362"/>
      <c r="J33" s="362"/>
    </row>
    <row r="34" spans="1:10" x14ac:dyDescent="0.2">
      <c r="A34" s="534" t="s">
        <v>907</v>
      </c>
      <c r="B34" s="534"/>
      <c r="C34" s="534"/>
      <c r="D34" s="534"/>
      <c r="E34" s="534"/>
      <c r="F34" s="534"/>
      <c r="G34" s="23"/>
    </row>
    <row r="35" spans="1:10" x14ac:dyDescent="0.2">
      <c r="A35" s="534"/>
      <c r="B35" s="534"/>
      <c r="C35" s="534"/>
      <c r="D35" s="534"/>
      <c r="E35" s="534"/>
      <c r="F35" s="534"/>
      <c r="G35" s="23"/>
    </row>
    <row r="36" spans="1:10" x14ac:dyDescent="0.2">
      <c r="A36" s="534"/>
      <c r="B36" s="534"/>
      <c r="C36" s="534"/>
      <c r="D36" s="534"/>
      <c r="E36" s="534"/>
      <c r="F36" s="534"/>
      <c r="G36" s="23"/>
    </row>
    <row r="37" spans="1:10" x14ac:dyDescent="0.2">
      <c r="A37" s="672"/>
      <c r="B37" s="534"/>
      <c r="C37" s="534"/>
      <c r="D37" s="534"/>
      <c r="E37" s="534"/>
      <c r="F37" s="534"/>
      <c r="G37" s="23"/>
    </row>
    <row r="38" spans="1:10" x14ac:dyDescent="0.2">
      <c r="A38" s="534"/>
      <c r="B38" s="534"/>
      <c r="C38" s="534"/>
      <c r="D38" s="534"/>
      <c r="E38" s="534"/>
      <c r="F38" s="534"/>
      <c r="G38" s="23"/>
    </row>
    <row r="39" spans="1:10" x14ac:dyDescent="0.2">
      <c r="A39" s="534"/>
      <c r="B39" s="534"/>
      <c r="C39" s="534"/>
      <c r="D39" s="534"/>
      <c r="E39" s="534"/>
      <c r="F39" s="534"/>
      <c r="G39" s="23"/>
    </row>
    <row r="40" spans="1:10" x14ac:dyDescent="0.2">
      <c r="A40" s="534"/>
      <c r="B40" s="534"/>
      <c r="C40" s="534"/>
      <c r="D40" s="534"/>
      <c r="E40" s="534"/>
      <c r="F40" s="534"/>
      <c r="G40" s="23"/>
    </row>
    <row r="41" spans="1:10" x14ac:dyDescent="0.2">
      <c r="A41" s="534"/>
      <c r="B41" s="534"/>
      <c r="C41" s="534"/>
      <c r="D41" s="534"/>
      <c r="E41" s="534"/>
      <c r="F41" s="534"/>
      <c r="G41" s="23"/>
    </row>
  </sheetData>
  <mergeCells count="3">
    <mergeCell ref="I13:K13"/>
    <mergeCell ref="A14:B14"/>
    <mergeCell ref="A24:B2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2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  <ignoredErrors>
    <ignoredError sqref="E14:F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>
    <tabColor rgb="FF00B050"/>
    <pageSetUpPr fitToPage="1"/>
  </sheetPr>
  <dimension ref="A1:H25"/>
  <sheetViews>
    <sheetView workbookViewId="0"/>
  </sheetViews>
  <sheetFormatPr baseColWidth="10" defaultColWidth="11" defaultRowHeight="12" x14ac:dyDescent="0.2"/>
  <cols>
    <col min="1" max="1" width="35" style="362" customWidth="1"/>
    <col min="2" max="2" width="1" style="362" customWidth="1"/>
    <col min="3" max="6" width="12.625" style="362" customWidth="1"/>
    <col min="7" max="7" width="12.625" style="21" customWidth="1"/>
    <col min="8" max="8" width="11" style="21"/>
    <col min="9" max="9" width="31.25" style="21" customWidth="1"/>
    <col min="10" max="16384" width="11" style="21"/>
  </cols>
  <sheetData>
    <row r="1" spans="1:8" ht="14.25" x14ac:dyDescent="0.2">
      <c r="A1" s="363" t="s">
        <v>286</v>
      </c>
      <c r="B1" s="534"/>
      <c r="C1" s="534"/>
      <c r="D1" s="534"/>
      <c r="E1" s="534"/>
      <c r="F1" s="534"/>
      <c r="G1" s="23"/>
      <c r="H1" s="362"/>
    </row>
    <row r="2" spans="1:8" x14ac:dyDescent="0.2">
      <c r="A2" s="534" t="s">
        <v>154</v>
      </c>
      <c r="B2" s="534"/>
      <c r="C2" s="534"/>
      <c r="D2" s="534"/>
      <c r="E2" s="534"/>
      <c r="F2" s="534"/>
      <c r="G2" s="23"/>
      <c r="H2" s="362"/>
    </row>
    <row r="3" spans="1:8" x14ac:dyDescent="0.2">
      <c r="A3" s="101"/>
      <c r="B3" s="101"/>
      <c r="C3" s="311"/>
      <c r="D3" s="687" t="s">
        <v>641</v>
      </c>
      <c r="E3" s="311"/>
      <c r="F3" s="311"/>
      <c r="G3" s="311"/>
      <c r="H3" s="362"/>
    </row>
    <row r="4" spans="1:8" ht="27" thickBot="1" x14ac:dyDescent="0.25">
      <c r="A4" s="364">
        <v>2017</v>
      </c>
      <c r="B4" s="365"/>
      <c r="C4" s="533" t="s">
        <v>62</v>
      </c>
      <c r="D4" s="688"/>
      <c r="E4" s="533" t="s">
        <v>648</v>
      </c>
      <c r="F4" s="533" t="s">
        <v>246</v>
      </c>
      <c r="G4" s="637" t="s">
        <v>823</v>
      </c>
      <c r="H4" s="362"/>
    </row>
    <row r="5" spans="1:8" x14ac:dyDescent="0.2">
      <c r="A5" s="690" t="s">
        <v>82</v>
      </c>
      <c r="B5" s="690"/>
      <c r="C5" s="270">
        <f>300728*0.0125</f>
        <v>3759.1000000000004</v>
      </c>
      <c r="D5" s="270"/>
      <c r="E5" s="270"/>
      <c r="F5" s="270"/>
      <c r="G5" s="270"/>
      <c r="H5" s="116"/>
    </row>
    <row r="6" spans="1:8" x14ac:dyDescent="0.2">
      <c r="A6" s="690" t="s">
        <v>83</v>
      </c>
      <c r="B6" s="690"/>
      <c r="C6" s="270">
        <f>272470*0.0125</f>
        <v>3405.875</v>
      </c>
      <c r="D6" s="270"/>
      <c r="E6" s="270"/>
      <c r="F6" s="270"/>
      <c r="G6" s="270"/>
      <c r="H6" s="116"/>
    </row>
    <row r="7" spans="1:8" x14ac:dyDescent="0.2">
      <c r="A7" s="690" t="s">
        <v>84</v>
      </c>
      <c r="B7" s="690"/>
      <c r="C7" s="270">
        <f>-19635*0.0125</f>
        <v>-245.4375</v>
      </c>
      <c r="D7" s="270"/>
      <c r="E7" s="270"/>
      <c r="F7" s="270"/>
      <c r="G7" s="270"/>
      <c r="H7" s="116"/>
    </row>
    <row r="8" spans="1:8" s="362" customFormat="1" x14ac:dyDescent="0.2">
      <c r="A8" s="690" t="s">
        <v>247</v>
      </c>
      <c r="B8" s="690"/>
      <c r="C8" s="270">
        <f>SUM(D8:G8)</f>
        <v>510</v>
      </c>
      <c r="D8" s="270">
        <v>70</v>
      </c>
      <c r="E8" s="270">
        <v>52</v>
      </c>
      <c r="F8" s="270">
        <v>256</v>
      </c>
      <c r="G8" s="270">
        <v>132</v>
      </c>
      <c r="H8" s="116"/>
    </row>
    <row r="9" spans="1:8" x14ac:dyDescent="0.2">
      <c r="A9" s="325" t="s">
        <v>85</v>
      </c>
      <c r="B9" s="325"/>
      <c r="C9" s="366">
        <f>SUM(C5:C8)</f>
        <v>7429.5375000000004</v>
      </c>
      <c r="D9" s="366">
        <f t="shared" ref="D9:F9" si="0">SUM(D5:D8)</f>
        <v>70</v>
      </c>
      <c r="E9" s="366">
        <f t="shared" si="0"/>
        <v>52</v>
      </c>
      <c r="F9" s="366">
        <f t="shared" si="0"/>
        <v>256</v>
      </c>
      <c r="G9" s="366">
        <f t="shared" ref="G9" si="1">SUM(G5:G8)</f>
        <v>132</v>
      </c>
      <c r="H9" s="116"/>
    </row>
    <row r="10" spans="1:8" x14ac:dyDescent="0.2">
      <c r="A10" s="534"/>
      <c r="B10" s="534"/>
      <c r="C10" s="367"/>
      <c r="D10" s="367"/>
      <c r="E10" s="367"/>
      <c r="F10" s="367"/>
      <c r="G10" s="367"/>
      <c r="H10" s="116"/>
    </row>
    <row r="11" spans="1:8" s="362" customFormat="1" ht="12" customHeight="1" x14ac:dyDescent="0.2">
      <c r="A11" s="101"/>
      <c r="B11" s="101"/>
      <c r="C11" s="311"/>
      <c r="D11" s="687" t="s">
        <v>244</v>
      </c>
      <c r="E11" s="311"/>
      <c r="F11" s="311"/>
      <c r="G11" s="367"/>
      <c r="H11" s="116"/>
    </row>
    <row r="12" spans="1:8" s="362" customFormat="1" ht="12.75" thickBot="1" x14ac:dyDescent="0.25">
      <c r="A12" s="364">
        <v>2016</v>
      </c>
      <c r="B12" s="365"/>
      <c r="C12" s="533" t="s">
        <v>62</v>
      </c>
      <c r="D12" s="688"/>
      <c r="E12" s="533" t="s">
        <v>245</v>
      </c>
      <c r="F12" s="533" t="s">
        <v>246</v>
      </c>
      <c r="G12" s="367"/>
      <c r="H12" s="116"/>
    </row>
    <row r="13" spans="1:8" s="362" customFormat="1" x14ac:dyDescent="0.2">
      <c r="A13" s="690" t="s">
        <v>82</v>
      </c>
      <c r="B13" s="690"/>
      <c r="C13" s="270">
        <v>3894</v>
      </c>
      <c r="D13" s="270"/>
      <c r="E13" s="270"/>
      <c r="F13" s="270"/>
      <c r="G13" s="367"/>
      <c r="H13" s="116"/>
    </row>
    <row r="14" spans="1:8" s="362" customFormat="1" x14ac:dyDescent="0.2">
      <c r="A14" s="690" t="s">
        <v>83</v>
      </c>
      <c r="B14" s="690"/>
      <c r="C14" s="270">
        <v>3049</v>
      </c>
      <c r="D14" s="270"/>
      <c r="E14" s="270"/>
      <c r="F14" s="270"/>
      <c r="G14" s="367"/>
      <c r="H14" s="116"/>
    </row>
    <row r="15" spans="1:8" s="362" customFormat="1" x14ac:dyDescent="0.2">
      <c r="A15" s="690" t="s">
        <v>84</v>
      </c>
      <c r="B15" s="690"/>
      <c r="C15" s="270">
        <v>-302</v>
      </c>
      <c r="D15" s="270"/>
      <c r="E15" s="270"/>
      <c r="F15" s="270"/>
      <c r="G15" s="367"/>
      <c r="H15" s="116"/>
    </row>
    <row r="16" spans="1:8" s="362" customFormat="1" x14ac:dyDescent="0.2">
      <c r="A16" s="690" t="s">
        <v>247</v>
      </c>
      <c r="B16" s="690"/>
      <c r="C16" s="270">
        <f>SUM(D16:F16)</f>
        <v>413</v>
      </c>
      <c r="D16" s="270">
        <v>101</v>
      </c>
      <c r="E16" s="270">
        <v>51</v>
      </c>
      <c r="F16" s="270">
        <v>261</v>
      </c>
      <c r="G16" s="367"/>
      <c r="H16" s="116"/>
    </row>
    <row r="17" spans="1:8" x14ac:dyDescent="0.2">
      <c r="A17" s="325" t="s">
        <v>85</v>
      </c>
      <c r="B17" s="325"/>
      <c r="C17" s="366">
        <f>SUM(C13:C16)</f>
        <v>7054</v>
      </c>
      <c r="D17" s="366">
        <f>SUM(D16)</f>
        <v>101</v>
      </c>
      <c r="E17" s="366">
        <f t="shared" ref="E17:F17" si="2">SUM(E16)</f>
        <v>51</v>
      </c>
      <c r="F17" s="366">
        <f t="shared" si="2"/>
        <v>261</v>
      </c>
      <c r="G17" s="367"/>
      <c r="H17" s="116"/>
    </row>
    <row r="18" spans="1:8" x14ac:dyDescent="0.2">
      <c r="A18" s="534"/>
      <c r="B18" s="534"/>
      <c r="C18" s="367"/>
      <c r="D18" s="367"/>
      <c r="E18" s="367"/>
      <c r="F18" s="367"/>
      <c r="G18" s="367"/>
      <c r="H18" s="116"/>
    </row>
    <row r="19" spans="1:8" x14ac:dyDescent="0.2">
      <c r="A19" s="534"/>
      <c r="B19" s="534"/>
      <c r="C19" s="367"/>
      <c r="D19" s="367"/>
      <c r="E19" s="367"/>
      <c r="F19" s="367"/>
      <c r="G19" s="367"/>
      <c r="H19" s="116"/>
    </row>
    <row r="20" spans="1:8" x14ac:dyDescent="0.2">
      <c r="A20" s="689" t="s">
        <v>272</v>
      </c>
      <c r="B20" s="689"/>
      <c r="C20" s="689"/>
      <c r="D20" s="689"/>
      <c r="E20" s="689"/>
      <c r="F20" s="689"/>
      <c r="G20" s="689"/>
      <c r="H20" s="362"/>
    </row>
    <row r="21" spans="1:8" x14ac:dyDescent="0.2">
      <c r="A21" s="689" t="s">
        <v>218</v>
      </c>
      <c r="B21" s="689"/>
      <c r="C21" s="689"/>
      <c r="D21" s="689"/>
      <c r="E21" s="689"/>
      <c r="F21" s="689"/>
      <c r="G21" s="689"/>
      <c r="H21" s="362"/>
    </row>
    <row r="22" spans="1:8" x14ac:dyDescent="0.2">
      <c r="A22" s="534" t="s">
        <v>219</v>
      </c>
      <c r="B22" s="534"/>
      <c r="C22" s="534"/>
      <c r="D22" s="534"/>
      <c r="E22" s="534"/>
      <c r="F22" s="534"/>
      <c r="G22" s="23"/>
      <c r="H22" s="362"/>
    </row>
    <row r="23" spans="1:8" x14ac:dyDescent="0.2">
      <c r="A23" s="534"/>
      <c r="B23" s="534"/>
      <c r="C23" s="534"/>
      <c r="D23" s="534"/>
      <c r="E23" s="534"/>
      <c r="F23" s="534"/>
      <c r="G23" s="23"/>
      <c r="H23" s="362"/>
    </row>
    <row r="24" spans="1:8" ht="14.25" x14ac:dyDescent="0.2">
      <c r="A24" s="395" t="s">
        <v>287</v>
      </c>
      <c r="B24" s="534"/>
      <c r="C24" s="534"/>
      <c r="D24" s="534"/>
      <c r="E24" s="534"/>
      <c r="F24" s="534"/>
      <c r="G24" s="23"/>
    </row>
    <row r="25" spans="1:8" ht="14.25" x14ac:dyDescent="0.2">
      <c r="A25" s="362" t="s">
        <v>824</v>
      </c>
    </row>
  </sheetData>
  <mergeCells count="12">
    <mergeCell ref="D3:D4"/>
    <mergeCell ref="A20:G20"/>
    <mergeCell ref="A21:G21"/>
    <mergeCell ref="A5:B5"/>
    <mergeCell ref="A6:B6"/>
    <mergeCell ref="A7:B7"/>
    <mergeCell ref="A13:B13"/>
    <mergeCell ref="A14:B14"/>
    <mergeCell ref="D11:D12"/>
    <mergeCell ref="A15:B15"/>
    <mergeCell ref="A8:B8"/>
    <mergeCell ref="A16:B1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67"/>
  <sheetViews>
    <sheetView showGridLines="0" zoomScaleNormal="100" workbookViewId="0"/>
  </sheetViews>
  <sheetFormatPr baseColWidth="10" defaultColWidth="11" defaultRowHeight="12" x14ac:dyDescent="0.2"/>
  <cols>
    <col min="1" max="1" width="20.375" style="21" customWidth="1"/>
    <col min="2" max="2" width="2.75" style="21" customWidth="1"/>
    <col min="3" max="3" width="40.875" style="21" customWidth="1"/>
    <col min="4" max="4" width="12" style="21" customWidth="1"/>
    <col min="5" max="5" width="10.625" style="21" customWidth="1"/>
    <col min="6" max="6" width="9.875" style="21" customWidth="1"/>
    <col min="7" max="9" width="11" style="21"/>
    <col min="10" max="10" width="9.875" style="21" bestFit="1" customWidth="1"/>
    <col min="11" max="11" width="19.75" style="21" bestFit="1" customWidth="1"/>
    <col min="12" max="16384" width="11" style="21"/>
  </cols>
  <sheetData>
    <row r="1" spans="1:7" x14ac:dyDescent="0.2">
      <c r="A1" s="118" t="s">
        <v>702</v>
      </c>
      <c r="B1" s="36"/>
      <c r="C1" s="36"/>
      <c r="D1" s="119"/>
      <c r="E1" s="119"/>
    </row>
    <row r="2" spans="1:7" x14ac:dyDescent="0.2">
      <c r="C2" s="36"/>
      <c r="D2" s="40"/>
      <c r="E2" s="36"/>
    </row>
    <row r="3" spans="1:7" x14ac:dyDescent="0.2">
      <c r="A3" s="63"/>
      <c r="B3" s="63"/>
      <c r="C3" s="63"/>
      <c r="D3" s="120"/>
      <c r="E3" s="40" t="s">
        <v>138</v>
      </c>
      <c r="F3" s="63"/>
      <c r="G3" s="63"/>
    </row>
    <row r="4" spans="1:7" x14ac:dyDescent="0.2">
      <c r="A4" s="691" t="s">
        <v>99</v>
      </c>
      <c r="B4" s="691"/>
      <c r="C4" s="121" t="s">
        <v>104</v>
      </c>
      <c r="D4" s="122" t="s">
        <v>100</v>
      </c>
      <c r="E4" s="122" t="s">
        <v>132</v>
      </c>
      <c r="F4" s="123">
        <v>2017</v>
      </c>
      <c r="G4" s="124">
        <v>2016</v>
      </c>
    </row>
    <row r="5" spans="1:7" x14ac:dyDescent="0.2">
      <c r="A5" s="45"/>
      <c r="B5" s="125"/>
      <c r="C5" s="44"/>
      <c r="D5" s="40"/>
      <c r="E5" s="40"/>
      <c r="F5" s="45"/>
      <c r="G5" s="46"/>
    </row>
    <row r="6" spans="1:7" x14ac:dyDescent="0.2">
      <c r="A6" s="692" t="s">
        <v>133</v>
      </c>
      <c r="B6" s="692"/>
      <c r="C6" s="4"/>
      <c r="D6" s="126"/>
      <c r="E6" s="126"/>
      <c r="F6" s="127"/>
      <c r="G6" s="128"/>
    </row>
    <row r="7" spans="1:7" s="362" customFormat="1" x14ac:dyDescent="0.2">
      <c r="A7" s="129" t="s">
        <v>893</v>
      </c>
      <c r="B7" s="130"/>
      <c r="C7" s="4" t="s">
        <v>895</v>
      </c>
      <c r="D7" s="126">
        <v>2029</v>
      </c>
      <c r="E7" s="126">
        <v>2024</v>
      </c>
      <c r="F7" s="131">
        <v>300</v>
      </c>
      <c r="G7" s="132"/>
    </row>
    <row r="8" spans="1:7" s="362" customFormat="1" ht="12.75" x14ac:dyDescent="0.2">
      <c r="A8" s="129" t="s">
        <v>894</v>
      </c>
      <c r="B8" s="130"/>
      <c r="C8" s="4" t="s">
        <v>896</v>
      </c>
      <c r="D8" s="126">
        <v>2028</v>
      </c>
      <c r="E8" s="664">
        <v>0</v>
      </c>
      <c r="F8" s="131">
        <v>625</v>
      </c>
      <c r="G8" s="132"/>
    </row>
    <row r="9" spans="1:7" x14ac:dyDescent="0.2">
      <c r="A9" s="129" t="s">
        <v>103</v>
      </c>
      <c r="B9" s="130"/>
      <c r="C9" s="4" t="s">
        <v>693</v>
      </c>
      <c r="D9" s="126">
        <v>2023</v>
      </c>
      <c r="E9" s="126">
        <v>2018</v>
      </c>
      <c r="F9" s="131">
        <v>499</v>
      </c>
      <c r="G9" s="132">
        <v>499</v>
      </c>
    </row>
    <row r="10" spans="1:7" x14ac:dyDescent="0.2">
      <c r="A10" s="129" t="s">
        <v>688</v>
      </c>
      <c r="B10" s="130"/>
      <c r="C10" s="4" t="s">
        <v>898</v>
      </c>
      <c r="D10" s="126">
        <v>2030</v>
      </c>
      <c r="E10" s="126">
        <v>2030</v>
      </c>
      <c r="F10" s="131">
        <v>492</v>
      </c>
      <c r="G10" s="132">
        <v>465</v>
      </c>
    </row>
    <row r="11" spans="1:7" ht="12.75" x14ac:dyDescent="0.2">
      <c r="A11" s="129" t="s">
        <v>170</v>
      </c>
      <c r="B11" s="130"/>
      <c r="C11" s="4" t="s">
        <v>694</v>
      </c>
      <c r="D11" s="126">
        <v>2022</v>
      </c>
      <c r="E11" s="126">
        <v>2017</v>
      </c>
      <c r="F11" s="664">
        <v>0</v>
      </c>
      <c r="G11" s="132">
        <v>825</v>
      </c>
    </row>
    <row r="12" spans="1:7" x14ac:dyDescent="0.2">
      <c r="A12" s="133" t="s">
        <v>19</v>
      </c>
      <c r="B12" s="134"/>
      <c r="C12" s="135"/>
      <c r="D12" s="136"/>
      <c r="E12" s="136"/>
      <c r="F12" s="137">
        <f>SUM(F7:F11)</f>
        <v>1916</v>
      </c>
      <c r="G12" s="138">
        <f>SUM(G7:G11)</f>
        <v>1789</v>
      </c>
    </row>
    <row r="13" spans="1:7" x14ac:dyDescent="0.2">
      <c r="A13" s="129"/>
      <c r="B13" s="130"/>
      <c r="C13" s="4"/>
      <c r="D13" s="139"/>
      <c r="E13" s="139"/>
      <c r="F13" s="127"/>
      <c r="G13" s="128"/>
    </row>
    <row r="14" spans="1:7" ht="14.25" x14ac:dyDescent="0.2">
      <c r="A14" s="140"/>
      <c r="B14" s="141"/>
      <c r="C14" s="7"/>
      <c r="D14" s="139"/>
      <c r="E14" s="139"/>
      <c r="F14" s="142"/>
      <c r="G14" s="143"/>
    </row>
    <row r="15" spans="1:7" ht="14.25" x14ac:dyDescent="0.2">
      <c r="A15" s="692" t="s">
        <v>129</v>
      </c>
      <c r="B15" s="692"/>
      <c r="C15" s="144"/>
      <c r="D15" s="7"/>
      <c r="E15" s="7"/>
      <c r="F15" s="145"/>
      <c r="G15" s="146"/>
    </row>
    <row r="16" spans="1:7" x14ac:dyDescent="0.2">
      <c r="A16" s="147" t="s">
        <v>123</v>
      </c>
      <c r="B16" s="130"/>
      <c r="C16" s="4" t="s">
        <v>695</v>
      </c>
      <c r="D16" s="60"/>
      <c r="E16" s="475">
        <v>2019</v>
      </c>
      <c r="F16" s="131">
        <v>723</v>
      </c>
      <c r="G16" s="132">
        <v>732</v>
      </c>
    </row>
    <row r="17" spans="1:12" x14ac:dyDescent="0.2">
      <c r="A17" s="148" t="s">
        <v>124</v>
      </c>
      <c r="B17" s="149"/>
      <c r="C17" s="150" t="s">
        <v>696</v>
      </c>
      <c r="D17" s="151"/>
      <c r="E17" s="507">
        <v>2019</v>
      </c>
      <c r="F17" s="506">
        <v>116</v>
      </c>
      <c r="G17" s="558">
        <v>116</v>
      </c>
    </row>
    <row r="18" spans="1:12" x14ac:dyDescent="0.2">
      <c r="A18" s="152" t="s">
        <v>20</v>
      </c>
      <c r="B18" s="149"/>
      <c r="C18" s="153"/>
      <c r="D18" s="151"/>
      <c r="E18" s="151"/>
      <c r="F18" s="506">
        <f>SUM(F16:F17)</f>
        <v>839</v>
      </c>
      <c r="G18" s="558">
        <f>SUM(G16:G17)</f>
        <v>848</v>
      </c>
    </row>
    <row r="19" spans="1:12" x14ac:dyDescent="0.2">
      <c r="A19" s="129"/>
      <c r="B19" s="154"/>
      <c r="C19" s="4"/>
      <c r="D19" s="4"/>
      <c r="E19" s="4"/>
      <c r="F19" s="11"/>
      <c r="G19" s="4"/>
    </row>
    <row r="20" spans="1:12" x14ac:dyDescent="0.2">
      <c r="A20" s="129" t="s">
        <v>167</v>
      </c>
      <c r="B20" s="154"/>
      <c r="C20" s="4"/>
      <c r="D20" s="4"/>
      <c r="E20" s="4"/>
      <c r="F20" s="131">
        <v>9</v>
      </c>
      <c r="G20" s="132">
        <v>9</v>
      </c>
    </row>
    <row r="21" spans="1:12" x14ac:dyDescent="0.2">
      <c r="A21" s="129"/>
      <c r="B21" s="154"/>
      <c r="C21" s="4"/>
      <c r="D21" s="4"/>
      <c r="E21" s="4"/>
      <c r="F21" s="11"/>
      <c r="G21" s="4"/>
    </row>
    <row r="22" spans="1:12" x14ac:dyDescent="0.2">
      <c r="A22" s="133" t="s">
        <v>21</v>
      </c>
      <c r="B22" s="155"/>
      <c r="C22" s="135"/>
      <c r="D22" s="156"/>
      <c r="E22" s="156"/>
      <c r="F22" s="137">
        <f>+F20+F18+F12</f>
        <v>2764</v>
      </c>
      <c r="G22" s="138">
        <f>+G20+G18+G12</f>
        <v>2646</v>
      </c>
    </row>
    <row r="24" spans="1:12" x14ac:dyDescent="0.2">
      <c r="A24" s="157" t="s">
        <v>168</v>
      </c>
      <c r="B24" s="63"/>
      <c r="C24" s="157"/>
      <c r="D24" s="157"/>
      <c r="E24" s="157"/>
      <c r="F24" s="157"/>
      <c r="G24" s="157"/>
      <c r="H24" s="63"/>
      <c r="I24" s="63"/>
    </row>
    <row r="25" spans="1:12" x14ac:dyDescent="0.2">
      <c r="A25" s="671" t="s">
        <v>897</v>
      </c>
      <c r="B25" s="63"/>
      <c r="C25" s="157"/>
      <c r="D25" s="157"/>
      <c r="E25" s="157"/>
      <c r="F25" s="157"/>
      <c r="G25" s="157"/>
      <c r="H25" s="63"/>
      <c r="I25" s="63"/>
    </row>
    <row r="26" spans="1:12" x14ac:dyDescent="0.2">
      <c r="A26" s="157" t="s">
        <v>169</v>
      </c>
      <c r="B26" s="63"/>
      <c r="C26" s="157"/>
      <c r="D26" s="157"/>
      <c r="E26" s="157"/>
      <c r="F26" s="157"/>
      <c r="G26" s="157"/>
      <c r="H26" s="63"/>
      <c r="I26" s="63"/>
    </row>
    <row r="27" spans="1:12" x14ac:dyDescent="0.2">
      <c r="A27" s="694"/>
      <c r="B27" s="694"/>
      <c r="C27" s="694"/>
      <c r="D27" s="694"/>
      <c r="E27" s="694"/>
      <c r="F27" s="694"/>
      <c r="G27" s="63"/>
      <c r="H27" s="63"/>
      <c r="I27" s="63"/>
      <c r="J27" s="63"/>
      <c r="K27" s="63"/>
      <c r="L27" s="63"/>
    </row>
    <row r="28" spans="1:12" x14ac:dyDescent="0.2">
      <c r="A28" s="694"/>
      <c r="B28" s="694"/>
      <c r="C28" s="694"/>
      <c r="D28" s="694"/>
      <c r="E28" s="694"/>
      <c r="F28" s="694"/>
      <c r="G28" s="63"/>
      <c r="H28" s="63"/>
      <c r="I28" s="63"/>
      <c r="J28" s="63"/>
      <c r="K28" s="63"/>
      <c r="L28" s="63"/>
    </row>
    <row r="29" spans="1:12" x14ac:dyDescent="0.2">
      <c r="A29" s="157"/>
      <c r="B29" s="157"/>
      <c r="C29" s="157"/>
      <c r="D29" s="157"/>
      <c r="E29" s="157"/>
      <c r="F29" s="157"/>
      <c r="G29" s="63"/>
      <c r="H29" s="63"/>
      <c r="I29" s="63"/>
      <c r="J29" s="63"/>
      <c r="K29" s="63"/>
      <c r="L29" s="63"/>
    </row>
    <row r="30" spans="1:12" x14ac:dyDescent="0.2">
      <c r="A30" s="694"/>
      <c r="B30" s="694"/>
      <c r="C30" s="694"/>
      <c r="D30" s="694"/>
      <c r="E30" s="694"/>
      <c r="F30" s="694"/>
      <c r="G30" s="63"/>
      <c r="H30" s="63"/>
      <c r="I30" s="63"/>
      <c r="J30" s="63"/>
      <c r="K30" s="63"/>
      <c r="L30" s="63"/>
    </row>
    <row r="36" spans="1:7" ht="12.75" x14ac:dyDescent="0.2">
      <c r="A36" s="158"/>
      <c r="B36" s="158"/>
      <c r="C36" s="158"/>
      <c r="D36" s="158"/>
      <c r="E36" s="158"/>
      <c r="F36" s="158"/>
      <c r="G36" s="158"/>
    </row>
    <row r="37" spans="1:7" x14ac:dyDescent="0.2">
      <c r="A37" s="159"/>
      <c r="B37" s="160"/>
      <c r="C37" s="160"/>
      <c r="D37" s="160"/>
      <c r="E37" s="160"/>
      <c r="F37" s="693"/>
      <c r="G37" s="693"/>
    </row>
    <row r="63" spans="10:12" ht="12.75" x14ac:dyDescent="0.2">
      <c r="J63" s="63"/>
      <c r="K63" s="158"/>
      <c r="L63" s="158"/>
    </row>
    <row r="64" spans="10:12" ht="12.75" x14ac:dyDescent="0.2">
      <c r="J64" s="63"/>
      <c r="K64" s="158"/>
      <c r="L64" s="158"/>
    </row>
    <row r="65" spans="10:12" ht="12.75" x14ac:dyDescent="0.2">
      <c r="J65" s="63"/>
      <c r="K65" s="158"/>
      <c r="L65" s="158"/>
    </row>
    <row r="66" spans="10:12" ht="12.75" x14ac:dyDescent="0.2">
      <c r="J66" s="63"/>
      <c r="K66" s="158"/>
      <c r="L66" s="158"/>
    </row>
    <row r="67" spans="10:12" ht="12.75" x14ac:dyDescent="0.2">
      <c r="J67" s="63"/>
      <c r="K67" s="158"/>
      <c r="L67" s="158"/>
    </row>
  </sheetData>
  <mergeCells count="7">
    <mergeCell ref="A4:B4"/>
    <mergeCell ref="A6:B6"/>
    <mergeCell ref="A15:B15"/>
    <mergeCell ref="F37:G37"/>
    <mergeCell ref="A27:F27"/>
    <mergeCell ref="A28:F28"/>
    <mergeCell ref="A30:F30"/>
  </mergeCells>
  <pageMargins left="0.74803149606299213" right="0.27559055118110237" top="0.98425196850393704" bottom="0.98425196850393704" header="0.51181102362204722" footer="0.51181102362204722"/>
  <pageSetup paperSize="9" scale="63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tabColor rgb="FF00B050"/>
    <pageSetUpPr fitToPage="1"/>
  </sheetPr>
  <dimension ref="A1:N26"/>
  <sheetViews>
    <sheetView zoomScaleNormal="100" workbookViewId="0"/>
  </sheetViews>
  <sheetFormatPr baseColWidth="10" defaultColWidth="11" defaultRowHeight="12" x14ac:dyDescent="0.2"/>
  <cols>
    <col min="1" max="1" width="22.75" style="329" customWidth="1"/>
    <col min="2" max="2" width="14.25" style="329" customWidth="1"/>
    <col min="3" max="3" width="12.875" style="329" customWidth="1"/>
    <col min="4" max="4" width="11.5" style="329" customWidth="1"/>
    <col min="5" max="5" width="10.375" style="329" customWidth="1"/>
    <col min="6" max="6" width="10.375" style="21" customWidth="1"/>
    <col min="7" max="16384" width="11" style="21"/>
  </cols>
  <sheetData>
    <row r="1" spans="1:11" x14ac:dyDescent="0.2">
      <c r="A1" s="161" t="s">
        <v>192</v>
      </c>
      <c r="B1" s="80"/>
    </row>
    <row r="2" spans="1:11" x14ac:dyDescent="0.2">
      <c r="A2" s="76" t="s">
        <v>154</v>
      </c>
      <c r="B2" s="80"/>
      <c r="H2" s="289"/>
      <c r="I2" s="289"/>
      <c r="J2" s="289"/>
      <c r="K2" s="289"/>
    </row>
    <row r="3" spans="1:11" x14ac:dyDescent="0.2">
      <c r="A3" s="85"/>
      <c r="B3" s="80"/>
      <c r="H3" s="289"/>
      <c r="I3" s="289"/>
      <c r="J3" s="289"/>
      <c r="K3" s="289"/>
    </row>
    <row r="4" spans="1:11" s="362" customFormat="1" ht="12.75" thickBot="1" x14ac:dyDescent="0.25">
      <c r="A4" s="561">
        <v>2017</v>
      </c>
      <c r="B4" s="355" t="s">
        <v>174</v>
      </c>
      <c r="C4" s="162" t="s">
        <v>36</v>
      </c>
      <c r="D4" s="162" t="s">
        <v>37</v>
      </c>
      <c r="E4" s="162" t="s">
        <v>93</v>
      </c>
    </row>
    <row r="5" spans="1:11" s="362" customFormat="1" x14ac:dyDescent="0.2">
      <c r="A5" s="80" t="s">
        <v>32</v>
      </c>
      <c r="B5" s="93">
        <v>117331</v>
      </c>
      <c r="C5" s="93">
        <v>15250</v>
      </c>
      <c r="D5" s="93">
        <v>5997</v>
      </c>
      <c r="E5" s="93">
        <f>SUM(B5:D5)</f>
        <v>138578</v>
      </c>
    </row>
    <row r="6" spans="1:11" s="362" customFormat="1" x14ac:dyDescent="0.2">
      <c r="A6" s="80" t="s">
        <v>33</v>
      </c>
      <c r="B6" s="93">
        <v>15848</v>
      </c>
      <c r="C6" s="93">
        <v>2088</v>
      </c>
      <c r="D6" s="93">
        <v>822</v>
      </c>
      <c r="E6" s="93">
        <f t="shared" ref="E6:E8" si="0">SUM(B6:D6)</f>
        <v>18758</v>
      </c>
    </row>
    <row r="7" spans="1:11" s="362" customFormat="1" x14ac:dyDescent="0.2">
      <c r="A7" s="17" t="s">
        <v>34</v>
      </c>
      <c r="B7" s="93">
        <v>26651</v>
      </c>
      <c r="C7" s="93">
        <v>3608</v>
      </c>
      <c r="D7" s="93">
        <v>1517</v>
      </c>
      <c r="E7" s="93">
        <f t="shared" si="0"/>
        <v>31776</v>
      </c>
    </row>
    <row r="8" spans="1:11" s="362" customFormat="1" x14ac:dyDescent="0.2">
      <c r="A8" s="17" t="s">
        <v>35</v>
      </c>
      <c r="B8" s="93">
        <v>12724</v>
      </c>
      <c r="C8" s="93">
        <v>1766</v>
      </c>
      <c r="D8" s="93">
        <v>784</v>
      </c>
      <c r="E8" s="93">
        <f t="shared" si="0"/>
        <v>15274</v>
      </c>
    </row>
    <row r="9" spans="1:11" s="362" customFormat="1" x14ac:dyDescent="0.2">
      <c r="A9" s="94" t="s">
        <v>38</v>
      </c>
      <c r="B9" s="164">
        <f>SUM(B5:B8)</f>
        <v>172554</v>
      </c>
      <c r="C9" s="164">
        <f>SUM(C5:C8)</f>
        <v>22712</v>
      </c>
      <c r="D9" s="164">
        <f>SUM(D5:D8)</f>
        <v>9120</v>
      </c>
      <c r="E9" s="164">
        <f>SUM(E5:E8)</f>
        <v>204386</v>
      </c>
    </row>
    <row r="10" spans="1:11" s="362" customFormat="1" x14ac:dyDescent="0.2">
      <c r="A10" s="85"/>
      <c r="B10" s="80"/>
    </row>
    <row r="11" spans="1:11" s="362" customFormat="1" x14ac:dyDescent="0.2">
      <c r="A11" s="85"/>
      <c r="B11" s="80"/>
    </row>
    <row r="12" spans="1:11" ht="12.75" thickBot="1" x14ac:dyDescent="0.25">
      <c r="A12" s="386">
        <v>2016</v>
      </c>
      <c r="B12" s="355" t="s">
        <v>174</v>
      </c>
      <c r="C12" s="162" t="s">
        <v>36</v>
      </c>
      <c r="D12" s="162" t="s">
        <v>37</v>
      </c>
      <c r="E12" s="162" t="s">
        <v>93</v>
      </c>
      <c r="F12" s="69"/>
      <c r="H12" s="289"/>
      <c r="I12" s="289"/>
      <c r="J12" s="289"/>
      <c r="K12" s="289"/>
    </row>
    <row r="13" spans="1:11" x14ac:dyDescent="0.2">
      <c r="A13" s="80" t="s">
        <v>32</v>
      </c>
      <c r="B13" s="93">
        <v>109307</v>
      </c>
      <c r="C13" s="93">
        <v>14587</v>
      </c>
      <c r="D13" s="93">
        <v>6820</v>
      </c>
      <c r="E13" s="93">
        <f>SUM(B13:D13)</f>
        <v>130714</v>
      </c>
      <c r="F13" s="163"/>
    </row>
    <row r="14" spans="1:11" x14ac:dyDescent="0.2">
      <c r="A14" s="80" t="s">
        <v>33</v>
      </c>
      <c r="B14" s="93">
        <v>13985</v>
      </c>
      <c r="C14" s="93">
        <v>1866</v>
      </c>
      <c r="D14" s="93">
        <v>873</v>
      </c>
      <c r="E14" s="93">
        <f t="shared" ref="E14:E16" si="1">SUM(B14:D14)</f>
        <v>16724</v>
      </c>
      <c r="F14" s="163"/>
    </row>
    <row r="15" spans="1:11" x14ac:dyDescent="0.2">
      <c r="A15" s="17" t="s">
        <v>34</v>
      </c>
      <c r="B15" s="93">
        <v>24118</v>
      </c>
      <c r="C15" s="93">
        <v>3219</v>
      </c>
      <c r="D15" s="93">
        <v>1505</v>
      </c>
      <c r="E15" s="93">
        <f t="shared" si="1"/>
        <v>28842</v>
      </c>
      <c r="F15" s="163"/>
    </row>
    <row r="16" spans="1:11" x14ac:dyDescent="0.2">
      <c r="A16" s="17" t="s">
        <v>35</v>
      </c>
      <c r="B16" s="93">
        <v>10228</v>
      </c>
      <c r="C16" s="93">
        <v>1365</v>
      </c>
      <c r="D16" s="93">
        <v>637</v>
      </c>
      <c r="E16" s="93">
        <f t="shared" si="1"/>
        <v>12230</v>
      </c>
      <c r="F16" s="163"/>
    </row>
    <row r="17" spans="1:14" x14ac:dyDescent="0.2">
      <c r="A17" s="94" t="s">
        <v>38</v>
      </c>
      <c r="B17" s="164">
        <f t="shared" ref="B17:D17" si="2">SUM(B13:B16)</f>
        <v>157638</v>
      </c>
      <c r="C17" s="164">
        <f t="shared" si="2"/>
        <v>21037</v>
      </c>
      <c r="D17" s="164">
        <f t="shared" si="2"/>
        <v>9835</v>
      </c>
      <c r="E17" s="164">
        <f>SUM(E13:E16)</f>
        <v>188510</v>
      </c>
      <c r="F17" s="163"/>
      <c r="I17" s="27"/>
    </row>
    <row r="18" spans="1:14" x14ac:dyDescent="0.2">
      <c r="A18" s="362"/>
      <c r="B18" s="362"/>
      <c r="C18" s="362"/>
      <c r="D18" s="362"/>
      <c r="E18" s="362"/>
      <c r="F18" s="17"/>
      <c r="I18" s="27"/>
    </row>
    <row r="19" spans="1:14" x14ac:dyDescent="0.2">
      <c r="A19" s="362"/>
      <c r="B19" s="362"/>
      <c r="C19" s="362"/>
      <c r="D19" s="362"/>
      <c r="E19" s="362"/>
      <c r="F19" s="69"/>
    </row>
    <row r="21" spans="1:14" x14ac:dyDescent="0.2">
      <c r="J21" s="165"/>
      <c r="K21" s="166"/>
      <c r="L21" s="289"/>
      <c r="M21" s="289"/>
      <c r="N21" s="289"/>
    </row>
    <row r="22" spans="1:14" x14ac:dyDescent="0.2">
      <c r="K22" s="166"/>
      <c r="L22" s="289"/>
      <c r="M22" s="289"/>
      <c r="N22" s="289"/>
    </row>
    <row r="23" spans="1:14" x14ac:dyDescent="0.2">
      <c r="L23" s="289"/>
      <c r="M23" s="289"/>
      <c r="N23" s="289"/>
    </row>
    <row r="24" spans="1:14" x14ac:dyDescent="0.2">
      <c r="L24" s="166"/>
      <c r="M24" s="289"/>
      <c r="N24" s="166"/>
    </row>
    <row r="25" spans="1:14" x14ac:dyDescent="0.2">
      <c r="L25" s="289"/>
      <c r="M25" s="289"/>
      <c r="N25" s="289"/>
    </row>
    <row r="26" spans="1:14" x14ac:dyDescent="0.2">
      <c r="L26" s="289"/>
      <c r="M26" s="289"/>
      <c r="N26" s="289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Navngitte områder</vt:lpstr>
      </vt:variant>
      <vt:variant>
        <vt:i4>26</vt:i4>
      </vt:variant>
    </vt:vector>
  </HeadingPairs>
  <TitlesOfParts>
    <vt:vector size="60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'19'!Utskriftsområde</vt:lpstr>
      <vt:lpstr>'2'!Utskriftsområde</vt:lpstr>
      <vt:lpstr>'21'!Utskriftsområde</vt:lpstr>
      <vt:lpstr>'22'!Utskriftsområde</vt:lpstr>
      <vt:lpstr>'23'!Utskriftsområde</vt:lpstr>
      <vt:lpstr>'24'!Utskriftsområde</vt:lpstr>
      <vt:lpstr>'25'!Utskriftsområde</vt:lpstr>
      <vt:lpstr>'26'!Utskriftsområde</vt:lpstr>
      <vt:lpstr>'27'!Utskriftsområde</vt:lpstr>
      <vt:lpstr>'28'!Utskriftsområde</vt:lpstr>
      <vt:lpstr>'3'!Utskriftsområde</vt:lpstr>
      <vt:lpstr>'4'!Utskriftsområde</vt:lpstr>
      <vt:lpstr>'5'!Utskriftsområde</vt:lpstr>
      <vt:lpstr>'7'!Utskriftsområde</vt:lpstr>
      <vt:lpstr>'8'!Utskriftsområde</vt:lpstr>
      <vt:lpstr>'9'!Utskriftsområde</vt:lpstr>
    </vt:vector>
  </TitlesOfParts>
  <Company>SR-Bank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hjustnes</dc:creator>
  <cp:lastModifiedBy>Hanne Kathrin Westgård Østråt</cp:lastModifiedBy>
  <cp:lastPrinted>2018-03-13T10:32:14Z</cp:lastPrinted>
  <dcterms:created xsi:type="dcterms:W3CDTF">2008-04-01T14:46:24Z</dcterms:created>
  <dcterms:modified xsi:type="dcterms:W3CDTF">2018-03-26T06:27:02Z</dcterms:modified>
</cp:coreProperties>
</file>