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M:\Risikostyring\Pilar 3\2018\Q3 2018\"/>
    </mc:Choice>
  </mc:AlternateContent>
  <bookViews>
    <workbookView xWindow="480" yWindow="630" windowWidth="14880" windowHeight="6600" tabRatio="763"/>
  </bookViews>
  <sheets>
    <sheet name="Contents" sheetId="27" r:id="rId1"/>
    <sheet name="1" sheetId="32" r:id="rId2"/>
    <sheet name="2" sheetId="36" r:id="rId3"/>
    <sheet name="3" sheetId="31" r:id="rId4"/>
    <sheet name="4" sheetId="4" r:id="rId5"/>
    <sheet name="5" sheetId="14" r:id="rId6"/>
    <sheet name="6" sheetId="6" r:id="rId7"/>
    <sheet name="7" sheetId="28" r:id="rId8"/>
    <sheet name="8" sheetId="20" r:id="rId9"/>
    <sheet name="9" sheetId="21" r:id="rId10"/>
    <sheet name="10" sheetId="19" r:id="rId11"/>
    <sheet name="11" sheetId="18" r:id="rId12"/>
    <sheet name="12" sheetId="17" r:id="rId13"/>
    <sheet name="13" sheetId="9" r:id="rId14"/>
    <sheet name="14" sheetId="16" r:id="rId15"/>
    <sheet name="15" sheetId="15" r:id="rId16"/>
    <sheet name="16" sheetId="13" r:id="rId17"/>
    <sheet name="17" sheetId="29" r:id="rId18"/>
    <sheet name="18" sheetId="42" r:id="rId19"/>
    <sheet name="19" sheetId="30" r:id="rId20"/>
    <sheet name="20" sheetId="43" r:id="rId21"/>
    <sheet name="21" sheetId="8" r:id="rId22"/>
    <sheet name="22" sheetId="10" r:id="rId23"/>
    <sheet name="23" sheetId="5" r:id="rId24"/>
    <sheet name="24" sheetId="26" r:id="rId25"/>
    <sheet name="25" sheetId="25" r:id="rId26"/>
    <sheet name="26" sheetId="23" r:id="rId27"/>
    <sheet name="27" sheetId="11" r:id="rId28"/>
    <sheet name="28" sheetId="37" r:id="rId29"/>
    <sheet name="29" sheetId="38" r:id="rId30"/>
    <sheet name="30" sheetId="39" r:id="rId31"/>
    <sheet name="31" sheetId="41" r:id="rId32"/>
    <sheet name="32" sheetId="45" r:id="rId33"/>
    <sheet name="33" sheetId="47" r:id="rId34"/>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'1'!$A$1:$G$44</definedName>
    <definedName name="_xlnm.Print_Area" localSheetId="10">'10'!$A$1:$E$39</definedName>
    <definedName name="_xlnm.Print_Area" localSheetId="11">'11'!$A$1:$F$21</definedName>
    <definedName name="_xlnm.Print_Area" localSheetId="12">'12'!$A$3:$E$43</definedName>
    <definedName name="_xlnm.Print_Area" localSheetId="13">'13'!$A$1:$D$17</definedName>
    <definedName name="_xlnm.Print_Area" localSheetId="14">'14'!$A$1:$D$22</definedName>
    <definedName name="_xlnm.Print_Area" localSheetId="15">'15'!$A$1:$E$17</definedName>
    <definedName name="_xlnm.Print_Area" localSheetId="16">'16'!$A$1:$G$165</definedName>
    <definedName name="_xlnm.Print_Area" localSheetId="17">'17'!$A$1:$D$22</definedName>
    <definedName name="_xlnm.Print_Area" localSheetId="18">'18'!$A$1:$D$3</definedName>
    <definedName name="_xlnm.Print_Area" localSheetId="19">'19'!$A$1:$E$3</definedName>
    <definedName name="_xlnm.Print_Area" localSheetId="2">'2'!$A$1:$G$25</definedName>
    <definedName name="_xlnm.Print_Area" localSheetId="21">'21'!$A$1:$I$3</definedName>
    <definedName name="_xlnm.Print_Area" localSheetId="22">'22'!$A$1:$I$15</definedName>
    <definedName name="_xlnm.Print_Area" localSheetId="23">'23'!$A$1:$D$25</definedName>
    <definedName name="_xlnm.Print_Area" localSheetId="24">'24'!$A$1:$F$21</definedName>
    <definedName name="_xlnm.Print_Area" localSheetId="25">'25'!$A$1:$E$10</definedName>
    <definedName name="_xlnm.Print_Area" localSheetId="26">'26'!$A$1:$E$10</definedName>
    <definedName name="_xlnm.Print_Area" localSheetId="27">'27'!$A$1:$E$37</definedName>
    <definedName name="_xlnm.Print_Area" localSheetId="3">'3'!$A$1:$H$16</definedName>
    <definedName name="_xlnm.Print_Area" localSheetId="4">'4'!$A$1:$E$62</definedName>
    <definedName name="_xlnm.Print_Area" localSheetId="5">'5'!$A$1:$F$29</definedName>
    <definedName name="_xlnm.Print_Area" localSheetId="6">'6'!#REF!</definedName>
    <definedName name="_xlnm.Print_Area" localSheetId="7">'7'!$A$1:$I$27</definedName>
    <definedName name="_xlnm.Print_Area" localSheetId="8">'8'!$A$1:$G$18</definedName>
    <definedName name="_xlnm.Print_Area" localSheetId="9">'9'!$A$1:$C$29</definedName>
  </definedNames>
  <calcPr calcId="152511"/>
</workbook>
</file>

<file path=xl/calcChain.xml><?xml version="1.0" encoding="utf-8"?>
<calcChain xmlns="http://schemas.openxmlformats.org/spreadsheetml/2006/main">
  <c r="J9" i="45" l="1"/>
  <c r="I9" i="45"/>
  <c r="H9" i="45"/>
  <c r="G9" i="45"/>
  <c r="F9" i="45"/>
  <c r="E9" i="45"/>
  <c r="D9" i="45"/>
  <c r="C9" i="45"/>
  <c r="K8" i="45"/>
  <c r="K9" i="45" s="1"/>
  <c r="B8" i="45"/>
  <c r="B9" i="45" s="1"/>
  <c r="B39" i="41"/>
  <c r="B38" i="41"/>
  <c r="B32" i="41"/>
  <c r="B33" i="41" s="1"/>
  <c r="H38" i="39"/>
  <c r="H37" i="39"/>
  <c r="H36" i="39"/>
  <c r="H35" i="39"/>
  <c r="H34" i="39"/>
  <c r="H29" i="39"/>
  <c r="H28" i="39"/>
  <c r="H27" i="39"/>
  <c r="H26" i="39"/>
  <c r="E25" i="39"/>
  <c r="D25" i="39"/>
  <c r="C25" i="39"/>
  <c r="H25" i="39" s="1"/>
  <c r="H24" i="39"/>
  <c r="B24" i="39"/>
  <c r="H23" i="39"/>
  <c r="H22" i="39"/>
  <c r="C22" i="39"/>
  <c r="H21" i="39"/>
  <c r="H20" i="39"/>
  <c r="H19" i="39"/>
  <c r="G19" i="39"/>
  <c r="H15" i="39"/>
  <c r="B15" i="39"/>
  <c r="H14" i="39"/>
  <c r="H13" i="39"/>
  <c r="H12" i="39"/>
  <c r="G12" i="39"/>
  <c r="H11" i="39"/>
  <c r="H10" i="39"/>
  <c r="H9" i="39"/>
  <c r="H8" i="39"/>
  <c r="G7" i="39"/>
  <c r="H7" i="39" s="1"/>
  <c r="H6" i="39"/>
  <c r="C127" i="38"/>
  <c r="C110" i="38"/>
  <c r="C111" i="38" s="1"/>
  <c r="C109" i="38"/>
  <c r="C91" i="38"/>
  <c r="C81" i="38"/>
  <c r="C82" i="38" s="1"/>
  <c r="C58" i="38"/>
  <c r="C63" i="38" s="1"/>
  <c r="C53" i="38"/>
  <c r="C54" i="38" s="1"/>
  <c r="C20" i="38"/>
  <c r="C9" i="38"/>
  <c r="C16" i="38" s="1"/>
  <c r="E15" i="17"/>
  <c r="D15" i="17"/>
  <c r="F20" i="14"/>
  <c r="E20" i="14"/>
  <c r="C20" i="14"/>
  <c r="F19" i="14"/>
  <c r="E19" i="14"/>
  <c r="C19" i="14"/>
  <c r="F17" i="14"/>
  <c r="E17" i="14"/>
  <c r="C17" i="14"/>
  <c r="F16" i="14"/>
  <c r="F13" i="14"/>
  <c r="E13" i="14"/>
  <c r="D13" i="14"/>
  <c r="C13" i="14"/>
  <c r="F9" i="14"/>
  <c r="E9" i="14"/>
  <c r="D9" i="14"/>
  <c r="C9" i="14"/>
  <c r="F8" i="14"/>
  <c r="B53" i="4"/>
  <c r="C52" i="4"/>
  <c r="B52" i="4"/>
  <c r="C51" i="4"/>
  <c r="B51" i="4"/>
  <c r="C50" i="4"/>
  <c r="C53" i="4" s="1"/>
  <c r="B50" i="4"/>
  <c r="C48" i="4"/>
  <c r="B48" i="4"/>
  <c r="B54" i="4" s="1"/>
  <c r="C28" i="4"/>
  <c r="B28" i="4"/>
  <c r="C54" i="4" l="1"/>
  <c r="C8" i="6"/>
  <c r="C7" i="6"/>
  <c r="C6" i="6"/>
  <c r="C5" i="6"/>
  <c r="C15" i="32"/>
  <c r="C35" i="17" l="1"/>
  <c r="D35" i="17"/>
  <c r="E35" i="17"/>
  <c r="B35" i="17"/>
  <c r="G17" i="6"/>
  <c r="F17" i="6"/>
  <c r="E17" i="6"/>
  <c r="D17" i="6"/>
  <c r="C16" i="6"/>
  <c r="C15" i="6"/>
  <c r="C14" i="6"/>
  <c r="C13" i="6"/>
  <c r="C17" i="6" s="1"/>
  <c r="C9" i="6"/>
  <c r="D9" i="6"/>
  <c r="E9" i="6"/>
  <c r="F9" i="6"/>
  <c r="G9" i="6"/>
  <c r="E14" i="14"/>
  <c r="D14" i="14"/>
  <c r="C14" i="14"/>
  <c r="F14" i="14"/>
  <c r="B17" i="4"/>
  <c r="E12" i="15" l="1"/>
  <c r="E11" i="15"/>
  <c r="E10" i="15"/>
  <c r="E5" i="15"/>
  <c r="E4" i="15"/>
  <c r="C15" i="5" l="1"/>
  <c r="H10" i="10"/>
  <c r="F10" i="10"/>
  <c r="D10" i="10"/>
  <c r="H9" i="10"/>
  <c r="F9" i="10"/>
  <c r="C9" i="10"/>
  <c r="D9" i="10" s="1"/>
  <c r="H8" i="10"/>
  <c r="F8" i="10"/>
  <c r="D8" i="10"/>
  <c r="G7" i="10"/>
  <c r="H7" i="10" s="1"/>
  <c r="C7" i="10"/>
  <c r="D7" i="10" s="1"/>
  <c r="H6" i="10"/>
  <c r="F6" i="10"/>
  <c r="D6" i="10"/>
  <c r="H5" i="10"/>
  <c r="F5" i="10"/>
  <c r="D5" i="10"/>
  <c r="G4" i="10"/>
  <c r="H4" i="10" s="1"/>
  <c r="E4" i="10"/>
  <c r="F4" i="10" s="1"/>
  <c r="C13" i="8"/>
  <c r="D13" i="8" s="1"/>
  <c r="D12" i="8"/>
  <c r="D11" i="8"/>
  <c r="D9" i="8"/>
  <c r="C8" i="8"/>
  <c r="D8" i="8" s="1"/>
  <c r="D7" i="8"/>
  <c r="F7" i="10" l="1"/>
  <c r="C4" i="10"/>
  <c r="D4" i="10" s="1"/>
  <c r="D17" i="13" l="1"/>
  <c r="C17" i="13"/>
  <c r="D30" i="13"/>
  <c r="C30" i="13"/>
  <c r="D43" i="13"/>
  <c r="C43" i="13"/>
  <c r="D56" i="13"/>
  <c r="C56" i="13"/>
  <c r="D69" i="13"/>
  <c r="C69" i="13"/>
  <c r="D81" i="13"/>
  <c r="C81" i="13"/>
  <c r="D98" i="13"/>
  <c r="C98" i="13"/>
  <c r="D111" i="13"/>
  <c r="C111" i="13"/>
  <c r="D124" i="13"/>
  <c r="C124" i="13"/>
  <c r="D137" i="13"/>
  <c r="C137" i="13"/>
  <c r="D162" i="13"/>
  <c r="C162" i="13"/>
  <c r="D150" i="13"/>
  <c r="C150" i="13"/>
  <c r="F20" i="18"/>
  <c r="F19" i="18"/>
  <c r="F16" i="18"/>
  <c r="F15" i="18"/>
  <c r="F14" i="18"/>
  <c r="F11" i="18"/>
  <c r="F10" i="18"/>
  <c r="F7" i="18"/>
  <c r="F6" i="18"/>
  <c r="F5" i="18"/>
  <c r="D37" i="19"/>
  <c r="B36" i="19"/>
  <c r="B38" i="19" s="1"/>
  <c r="D36" i="19"/>
  <c r="D18" i="19"/>
  <c r="D17" i="19"/>
  <c r="D16" i="19"/>
  <c r="D15" i="19"/>
  <c r="D14" i="19"/>
  <c r="D13" i="19"/>
  <c r="D12" i="19"/>
  <c r="D11" i="19"/>
  <c r="D10" i="19"/>
  <c r="D9" i="19"/>
  <c r="D8" i="19"/>
  <c r="D7" i="19"/>
  <c r="D6" i="19"/>
  <c r="D5" i="19"/>
  <c r="C4" i="21"/>
  <c r="C13" i="21"/>
  <c r="C12" i="21"/>
  <c r="C9" i="21"/>
  <c r="C8" i="21"/>
  <c r="C7" i="21"/>
  <c r="B6" i="21"/>
  <c r="B10" i="21" s="1"/>
  <c r="B14" i="21" s="1"/>
  <c r="C5" i="21"/>
  <c r="C6" i="21"/>
  <c r="C10" i="21" s="1"/>
  <c r="C14" i="21" s="1"/>
  <c r="C27" i="21"/>
  <c r="C26" i="21"/>
  <c r="C23" i="21"/>
  <c r="C22" i="21"/>
  <c r="C21" i="21"/>
  <c r="C20" i="21"/>
  <c r="B20" i="21"/>
  <c r="B24" i="21" s="1"/>
  <c r="B28" i="21" s="1"/>
  <c r="D38" i="19" l="1"/>
  <c r="C36" i="19"/>
  <c r="C38" i="19" s="1"/>
  <c r="E16" i="20"/>
  <c r="E15" i="20"/>
  <c r="E14" i="20"/>
  <c r="E13" i="20"/>
  <c r="E8" i="20"/>
  <c r="E7" i="20"/>
  <c r="E6" i="20"/>
  <c r="E5" i="20"/>
  <c r="E24" i="14"/>
  <c r="C24" i="14"/>
  <c r="F24" i="14"/>
  <c r="C31" i="39" l="1"/>
  <c r="G31" i="39"/>
  <c r="B31" i="39"/>
  <c r="D31" i="39"/>
  <c r="F31" i="39"/>
  <c r="H31" i="39" l="1"/>
  <c r="E31" i="39"/>
  <c r="C17" i="4"/>
  <c r="D16" i="39" l="1"/>
  <c r="H39" i="39" l="1"/>
  <c r="G39" i="39"/>
  <c r="F39" i="39"/>
  <c r="E39" i="39"/>
  <c r="D39" i="39"/>
  <c r="C39" i="39"/>
  <c r="B39" i="39"/>
  <c r="F16" i="39"/>
  <c r="B16" i="39"/>
  <c r="C16" i="39"/>
  <c r="G16" i="39" l="1"/>
  <c r="H41" i="39"/>
  <c r="C41" i="39"/>
  <c r="H16" i="39"/>
  <c r="E16" i="39"/>
  <c r="B41" i="39"/>
  <c r="F41" i="39"/>
  <c r="G41" i="39"/>
  <c r="D41" i="39"/>
  <c r="E41" i="39"/>
  <c r="D15" i="5" l="1"/>
  <c r="F14" i="8"/>
  <c r="C17" i="19" l="1"/>
  <c r="B17" i="19"/>
  <c r="B46" i="4"/>
  <c r="C46" i="4"/>
  <c r="B31" i="4" l="1"/>
  <c r="E38" i="17" l="1"/>
  <c r="D38" i="17"/>
  <c r="C38" i="17"/>
  <c r="B38" i="17"/>
  <c r="E18" i="17"/>
  <c r="D18" i="17"/>
  <c r="F26" i="14"/>
  <c r="E26" i="14" l="1"/>
  <c r="C36" i="4" l="1"/>
  <c r="B36" i="4"/>
  <c r="E10" i="31" l="1"/>
  <c r="C10" i="31"/>
  <c r="C31" i="4" l="1"/>
  <c r="C38" i="4" s="1"/>
  <c r="B38" i="4"/>
  <c r="D21" i="5"/>
  <c r="C21" i="5"/>
  <c r="C14" i="8"/>
  <c r="E17" i="18" l="1"/>
  <c r="D17" i="18"/>
  <c r="C17" i="18"/>
  <c r="B17" i="18"/>
  <c r="F8" i="18"/>
  <c r="E8" i="18"/>
  <c r="D8" i="18"/>
  <c r="C8" i="18"/>
  <c r="B8" i="18"/>
  <c r="F17" i="18" l="1"/>
  <c r="D7" i="15" l="1"/>
  <c r="C7" i="15"/>
  <c r="B7" i="15"/>
  <c r="D17" i="20"/>
  <c r="C17" i="20"/>
  <c r="B17" i="20"/>
  <c r="B9" i="20"/>
  <c r="D9" i="20"/>
  <c r="E7" i="15" l="1"/>
  <c r="E9" i="20"/>
  <c r="C9" i="20"/>
  <c r="E17" i="20"/>
  <c r="D7" i="23" l="1"/>
  <c r="B10" i="11" l="1"/>
  <c r="C10" i="11"/>
  <c r="C29" i="11"/>
  <c r="C21" i="11"/>
  <c r="G18" i="28"/>
  <c r="G12" i="28"/>
  <c r="G22" i="28" l="1"/>
  <c r="C11" i="10" l="1"/>
  <c r="E11" i="10"/>
  <c r="G11" i="10"/>
  <c r="C7" i="25"/>
  <c r="F11" i="10" l="1"/>
  <c r="D11" i="10"/>
  <c r="I11" i="10"/>
  <c r="H11" i="10" s="1"/>
  <c r="D18" i="5" l="1"/>
  <c r="D22" i="5" s="1"/>
  <c r="C18" i="5" l="1"/>
  <c r="D12" i="16" l="1"/>
  <c r="B29" i="11" l="1"/>
  <c r="B21" i="11"/>
  <c r="D13" i="15" l="1"/>
  <c r="C13" i="15"/>
  <c r="B13" i="15"/>
  <c r="D22" i="16"/>
  <c r="C22" i="16"/>
  <c r="B22" i="16"/>
  <c r="D16" i="9"/>
  <c r="C16" i="9"/>
  <c r="B19" i="19"/>
  <c r="C19" i="19"/>
  <c r="E13" i="15" l="1"/>
  <c r="D19" i="19"/>
  <c r="C27" i="32" l="1"/>
  <c r="F18" i="28" l="1"/>
  <c r="F12" i="28"/>
  <c r="F22" i="28" l="1"/>
  <c r="E7" i="23" l="1"/>
  <c r="C7" i="23"/>
  <c r="F8" i="26" l="1"/>
  <c r="C8" i="26"/>
  <c r="B8" i="26"/>
  <c r="E8" i="26"/>
  <c r="D8" i="26"/>
  <c r="B7" i="25" l="1"/>
  <c r="C22" i="5"/>
  <c r="F15" i="26"/>
  <c r="E15" i="26"/>
  <c r="D15" i="26"/>
  <c r="C15" i="26"/>
  <c r="B15" i="26"/>
</calcChain>
</file>

<file path=xl/sharedStrings.xml><?xml version="1.0" encoding="utf-8"?>
<sst xmlns="http://schemas.openxmlformats.org/spreadsheetml/2006/main" count="2088" uniqueCount="1183">
  <si>
    <t>SpareBank 1 Næringskreditt AS</t>
  </si>
  <si>
    <t xml:space="preserve">SpareBank 1 Boligkreditt AS and BN Bank AS use the IRB approach in its capital adequacy reporting. </t>
  </si>
  <si>
    <t xml:space="preserve">SpareBank 1 Næringskreditt AS uses the standard approach for reporting capital adequacy. </t>
  </si>
  <si>
    <t>Ownership percentage</t>
  </si>
  <si>
    <t>Book value</t>
  </si>
  <si>
    <t>Ownership percentage</t>
  </si>
  <si>
    <t>Book value</t>
  </si>
  <si>
    <r>
      <rPr>
        <sz val="9"/>
        <rFont val="Calibri"/>
        <family val="2"/>
      </rPr>
      <t>Amounts in NOK million</t>
    </r>
  </si>
  <si>
    <t>SpareBank 1 Gruppen</t>
  </si>
  <si>
    <t>Sandnes Sparebank</t>
  </si>
  <si>
    <t>Total</t>
  </si>
  <si>
    <r>
      <rPr>
        <i/>
        <sz val="9"/>
        <rFont val="Calibri"/>
        <family val="2"/>
      </rPr>
      <t xml:space="preserve"> Regulatory capital </t>
    </r>
  </si>
  <si>
    <r>
      <rPr>
        <b/>
        <sz val="9"/>
        <rFont val="Calibri"/>
        <family val="2"/>
      </rPr>
      <t>Group</t>
    </r>
    <r>
      <rPr>
        <sz val="9"/>
        <rFont val="Calibri"/>
        <family val="2"/>
      </rPr>
      <t xml:space="preserve"> (Amounts in NOK million)</t>
    </r>
  </si>
  <si>
    <r>
      <rPr>
        <sz val="9"/>
        <rFont val="Calibri"/>
        <family val="2"/>
      </rPr>
      <t>Share capital</t>
    </r>
  </si>
  <si>
    <r>
      <rPr>
        <sz val="9"/>
        <rFont val="Calibri"/>
        <family val="2"/>
      </rPr>
      <t>Share premium reserve</t>
    </r>
  </si>
  <si>
    <r>
      <rPr>
        <sz val="9"/>
        <rFont val="Calibri"/>
        <family val="2"/>
      </rPr>
      <t>Allocated dividend</t>
    </r>
  </si>
  <si>
    <r>
      <rPr>
        <sz val="9"/>
        <rFont val="Calibri"/>
        <family val="2"/>
      </rPr>
      <t>Fund for unrealised gains</t>
    </r>
  </si>
  <si>
    <r>
      <rPr>
        <sz val="9"/>
        <rFont val="Calibri"/>
        <family val="2"/>
      </rPr>
      <t>Other equity</t>
    </r>
  </si>
  <si>
    <r>
      <rPr>
        <b/>
        <sz val="9"/>
        <rFont val="Calibri"/>
        <family val="2"/>
      </rPr>
      <t>Total recorded equity</t>
    </r>
  </si>
  <si>
    <r>
      <rPr>
        <b/>
        <sz val="9"/>
        <rFont val="Calibri"/>
        <family val="2"/>
      </rPr>
      <t>Core (Tier 1) capital</t>
    </r>
  </si>
  <si>
    <r>
      <rPr>
        <sz val="9"/>
        <rFont val="Calibri"/>
        <family val="2"/>
      </rPr>
      <t>Deferred tax, goodwill and other intangible assets</t>
    </r>
  </si>
  <si>
    <r>
      <rPr>
        <sz val="9"/>
        <rFont val="Calibri"/>
        <family val="2"/>
      </rPr>
      <t>Deduction for allocated dividend</t>
    </r>
  </si>
  <si>
    <t>Value adjustments due to the requirements for prudent valuation</t>
  </si>
  <si>
    <r>
      <rPr>
        <b/>
        <sz val="9"/>
        <rFont val="Calibri"/>
        <family val="2"/>
      </rPr>
      <t>Total core (Tier 1) capital</t>
    </r>
  </si>
  <si>
    <r>
      <t>Hybrid Tier 1 bond</t>
    </r>
    <r>
      <rPr>
        <vertAlign val="superscript"/>
        <sz val="9"/>
        <rFont val="Calibri"/>
        <family val="2"/>
      </rPr>
      <t xml:space="preserve"> 1)</t>
    </r>
  </si>
  <si>
    <r>
      <rPr>
        <b/>
        <sz val="9"/>
        <rFont val="Calibri"/>
        <family val="2"/>
      </rPr>
      <t>Total core (Tier 1) capital</t>
    </r>
  </si>
  <si>
    <r>
      <rPr>
        <b/>
        <sz val="9"/>
        <rFont val="Calibri"/>
        <family val="2"/>
      </rPr>
      <t>Supplementary (Tier 2) capital in excess of core (Tier 1) capital</t>
    </r>
  </si>
  <si>
    <r>
      <rPr>
        <sz val="9"/>
        <rFont val="Calibri"/>
        <family val="2"/>
      </rPr>
      <t>Non-perpetual subordinated capital</t>
    </r>
  </si>
  <si>
    <t>Deduction for investments in other financial institutions</t>
  </si>
  <si>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</si>
  <si>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</si>
  <si>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family val="2"/>
      </rPr>
      <t>Terms and conditions are presented in the table "Subordinated loan capital and hybrid Tier 1 bonds"</t>
    </r>
  </si>
  <si>
    <t>Risk weighted assets</t>
  </si>
  <si>
    <t>Credit value adjustment risk (CVA)</t>
  </si>
  <si>
    <r>
      <rPr>
        <sz val="9"/>
        <rFont val="Calibri"/>
        <family val="2"/>
      </rPr>
      <t xml:space="preserve">Operational risk </t>
    </r>
  </si>
  <si>
    <r>
      <rPr>
        <sz val="9"/>
        <rFont val="Calibri"/>
        <family val="2"/>
      </rPr>
      <t>Capital adequacy requirements related to transitional arrangements</t>
    </r>
  </si>
  <si>
    <t>Risk weighted assets</t>
  </si>
  <si>
    <t>Common equity Tier 1 capital requirement 4.5 %</t>
  </si>
  <si>
    <t>Buffer requirements</t>
  </si>
  <si>
    <t>Systemic risk buffer 3 %</t>
  </si>
  <si>
    <t>Combined buffer requirement</t>
  </si>
  <si>
    <t>Surplus CET1</t>
  </si>
  <si>
    <r>
      <rPr>
        <b/>
        <sz val="9"/>
        <rFont val="Calibri"/>
        <family val="2"/>
      </rPr>
      <t>Capital adequacy</t>
    </r>
  </si>
  <si>
    <r>
      <rPr>
        <sz val="9"/>
        <rFont val="Calibri"/>
        <family val="2"/>
      </rPr>
      <t>Of which core capital</t>
    </r>
  </si>
  <si>
    <r>
      <rPr>
        <sz val="9"/>
        <rFont val="Calibri"/>
        <family val="2"/>
      </rPr>
      <t>Of which supplementary capital</t>
    </r>
  </si>
  <si>
    <t>Common equity tier 1 ratio</t>
  </si>
  <si>
    <t xml:space="preserve"> Risk weighted assets for credit risk divided into commitment categories and subcategories</t>
  </si>
  <si>
    <t>Risk weighted assets</t>
  </si>
  <si>
    <t>Risk weighted assets</t>
  </si>
  <si>
    <t>EAD</t>
  </si>
  <si>
    <t>Consolidated</t>
  </si>
  <si>
    <t>Consolidated</t>
  </si>
  <si>
    <t>Enterprises</t>
  </si>
  <si>
    <t>Mass market</t>
  </si>
  <si>
    <t>Risk weighted assets credit risk - IRB</t>
  </si>
  <si>
    <t>Risk weighted assets credit risk - standard method</t>
  </si>
  <si>
    <t xml:space="preserve">Total risk weighted assets credit risk </t>
  </si>
  <si>
    <r>
      <t xml:space="preserve"> Minimum regulatory capital requirements for operational risk according to the standardised approach  </t>
    </r>
    <r>
      <rPr>
        <i/>
        <vertAlign val="superscript"/>
        <sz val="9"/>
        <rFont val="Calibri"/>
        <family val="2"/>
      </rPr>
      <t>1)</t>
    </r>
  </si>
  <si>
    <r>
      <rPr>
        <sz val="9"/>
        <rFont val="Calibri"/>
        <family val="2"/>
      </rPr>
      <t>(Amounts in NOK million)</t>
    </r>
  </si>
  <si>
    <r>
      <rPr>
        <b/>
        <sz val="9"/>
        <rFont val="Calibri"/>
        <family val="2"/>
      </rPr>
      <t>Consolidated</t>
    </r>
  </si>
  <si>
    <t>BN Bank</t>
  </si>
  <si>
    <t>Banking services for mass market customers</t>
  </si>
  <si>
    <t>Banking services for corporate customers</t>
  </si>
  <si>
    <t>Payment and settlement services</t>
  </si>
  <si>
    <t>Total</t>
  </si>
  <si>
    <t>BN Bank</t>
  </si>
  <si>
    <t>Banking services for mass market customers</t>
  </si>
  <si>
    <t>Banking services for corporate customers</t>
  </si>
  <si>
    <t>Payment and settlement services</t>
  </si>
  <si>
    <t>Total</t>
  </si>
  <si>
    <r>
      <rPr>
        <i/>
        <sz val="9"/>
        <rFont val="Calibri"/>
        <family val="2"/>
      </rPr>
      <t xml:space="preserve"> The actual changes in value for the individual commitment category and development from previous periods (IRB):</t>
    </r>
  </si>
  <si>
    <t>Value
31/12/2014</t>
  </si>
  <si>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</si>
  <si>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</si>
  <si>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</si>
  <si>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</si>
  <si>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t>Specialist lending</t>
  </si>
  <si>
    <t>Other enterprises</t>
  </si>
  <si>
    <r>
      <rPr>
        <i/>
        <sz val="9"/>
        <rFont val="Calibri"/>
        <family val="2"/>
      </rPr>
      <t xml:space="preserve"> Summary of counterparty risk for derivatives etc. outside the trading portfolio.</t>
    </r>
  </si>
  <si>
    <t>Amounts in NOK million</t>
  </si>
  <si>
    <r>
      <rPr>
        <b/>
        <sz val="9"/>
        <rFont val="Calibri"/>
        <family val="2"/>
      </rPr>
      <t>Nominal value</t>
    </r>
  </si>
  <si>
    <t xml:space="preserve">Interest rate and currency instruments </t>
  </si>
  <si>
    <t>Credit value adjustment risk (CVA)</t>
  </si>
  <si>
    <r>
      <rPr>
        <b/>
        <sz val="9"/>
        <rFont val="Calibri"/>
        <family val="2"/>
      </rPr>
      <t>Total financial derivatives</t>
    </r>
  </si>
  <si>
    <t>Certificates and bonds</t>
  </si>
  <si>
    <t>Fixed-rate loans to customers</t>
  </si>
  <si>
    <t>Other loans and deposits</t>
  </si>
  <si>
    <t>Debt due to issue of securities</t>
  </si>
  <si>
    <t>Other</t>
  </si>
  <si>
    <t>Total interest-rate risk</t>
  </si>
  <si>
    <t>Maturity</t>
  </si>
  <si>
    <t>0 -  3 months</t>
  </si>
  <si>
    <t>3 -  6 months</t>
  </si>
  <si>
    <t>6 -  9 months</t>
  </si>
  <si>
    <t>9 - 12 months</t>
  </si>
  <si>
    <t>12 - 18 months</t>
  </si>
  <si>
    <t>18 - 24 months</t>
  </si>
  <si>
    <t>2 - 10 yr</t>
  </si>
  <si>
    <t>10 yr +</t>
  </si>
  <si>
    <t>Total interest-rate risk</t>
  </si>
  <si>
    <t>Currency</t>
  </si>
  <si>
    <t>NOK</t>
  </si>
  <si>
    <t>EUR</t>
  </si>
  <si>
    <t>USD</t>
  </si>
  <si>
    <t xml:space="preserve">CHF </t>
  </si>
  <si>
    <t>Øvrige</t>
  </si>
  <si>
    <t>Total interest-rate risk</t>
  </si>
  <si>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</si>
  <si>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</si>
  <si>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sz val="9"/>
        <rFont val="Calibri"/>
        <family val="2"/>
      </rPr>
      <t>(Amounts in NOK million)</t>
    </r>
  </si>
  <si>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</si>
  <si>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</si>
  <si>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</si>
  <si>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</si>
  <si>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</si>
  <si>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</si>
  <si>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</si>
  <si>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</si>
  <si>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</si>
  <si>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</si>
  <si>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</si>
  <si>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</si>
  <si>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</si>
  <si>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</si>
  <si>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</si>
  <si>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</si>
  <si>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i/>
        <sz val="9"/>
        <rFont val="Calibri"/>
        <family val="2"/>
      </rPr>
      <t xml:space="preserve"> Defaulted and doubtful commitments broken down by customer group</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</si>
  <si>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</si>
  <si>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</si>
  <si>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</si>
  <si>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</si>
  <si>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</si>
  <si>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</si>
  <si>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</si>
  <si>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</si>
  <si>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</si>
  <si>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</si>
  <si>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</si>
  <si>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</si>
  <si>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</si>
  <si>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</si>
  <si>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</si>
  <si>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b/>
        <sz val="9"/>
        <rFont val="Calibri"/>
        <family val="2"/>
      </rPr>
      <t>Total commitment amount</t>
    </r>
  </si>
  <si>
    <t>Doubtful</t>
  </si>
  <si>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</si>
  <si>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</si>
  <si>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</si>
  <si>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</si>
  <si>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</si>
  <si>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</si>
  <si>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</si>
  <si>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</si>
  <si>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</si>
  <si>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</si>
  <si>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</si>
  <si>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</si>
  <si>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</si>
  <si>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</si>
  <si>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</si>
  <si>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</si>
  <si>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</si>
  <si>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t>Predicted LGD</t>
  </si>
  <si>
    <t>Observed LGD</t>
  </si>
  <si>
    <t>Predicted LGD</t>
  </si>
  <si>
    <t>Observed LGD</t>
  </si>
  <si>
    <t>Portfolio</t>
  </si>
  <si>
    <r>
      <rPr>
        <sz val="9"/>
        <rFont val="Calibri"/>
        <family val="2"/>
      </rPr>
      <t>Mass market with mortgage on real estate</t>
    </r>
  </si>
  <si>
    <t>Other mass market</t>
  </si>
  <si>
    <r>
      <rPr>
        <sz val="9"/>
        <rFont val="Calibri"/>
        <family val="2"/>
      </rPr>
      <t>Enterprises</t>
    </r>
  </si>
  <si>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</si>
  <si>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</si>
  <si>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</si>
  <si>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</si>
  <si>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</si>
  <si>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Unutilised credit and guarantees</t>
    </r>
  </si>
  <si>
    <r>
      <rPr>
        <sz val="9"/>
        <rFont val="Calibri"/>
        <family val="2"/>
      </rPr>
      <t>Total</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</si>
  <si>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</si>
  <si>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</si>
  <si>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</si>
  <si>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</si>
  <si>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</si>
  <si>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</si>
  <si>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</si>
  <si>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</si>
  <si>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</si>
  <si>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</si>
  <si>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sz val="9"/>
        <rFont val="Calibri"/>
        <family val="2"/>
      </rPr>
      <t>Not allocated (added value fixed interest lending)</t>
    </r>
  </si>
  <si>
    <r>
      <rPr>
        <b/>
        <sz val="9"/>
        <rFont val="Calibri"/>
        <family val="2"/>
      </rPr>
      <t>Total for enterprises</t>
    </r>
  </si>
  <si>
    <r>
      <rPr>
        <sz val="9"/>
        <rFont val="Calibri"/>
        <family val="2"/>
      </rPr>
      <t>Mass market</t>
    </r>
  </si>
  <si>
    <r>
      <rPr>
        <b/>
        <sz val="9"/>
        <rFont val="Calibri"/>
        <family val="2"/>
      </rPr>
      <t>Total gross commitments, customers</t>
    </r>
  </si>
  <si>
    <r>
      <rPr>
        <i/>
        <sz val="9"/>
        <rFont val="Calibri"/>
        <family val="2"/>
      </rPr>
      <t>Distribution by risk classes in which the IRB approach is used</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</si>
  <si>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</si>
  <si>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</si>
  <si>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</si>
  <si>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</si>
  <si>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</si>
  <si>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</si>
  <si>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t>A</t>
  </si>
  <si>
    <t>B</t>
  </si>
  <si>
    <t>C</t>
  </si>
  <si>
    <t>D</t>
  </si>
  <si>
    <t>E</t>
  </si>
  <si>
    <t>F</t>
  </si>
  <si>
    <t>G</t>
  </si>
  <si>
    <t>H</t>
  </si>
  <si>
    <t>I</t>
  </si>
  <si>
    <t>J</t>
  </si>
  <si>
    <t>K</t>
  </si>
  <si>
    <t>Specialised enterprises</t>
  </si>
  <si>
    <t>A</t>
  </si>
  <si>
    <t>B</t>
  </si>
  <si>
    <t>C</t>
  </si>
  <si>
    <t>D</t>
  </si>
  <si>
    <t>E</t>
  </si>
  <si>
    <t>F</t>
  </si>
  <si>
    <t>G</t>
  </si>
  <si>
    <t>H</t>
  </si>
  <si>
    <t>I</t>
  </si>
  <si>
    <t>J</t>
  </si>
  <si>
    <t>K</t>
  </si>
  <si>
    <t>Total specialised enterprises</t>
  </si>
  <si>
    <t>Other enterprises</t>
  </si>
  <si>
    <t>A</t>
  </si>
  <si>
    <t>B</t>
  </si>
  <si>
    <t>C</t>
  </si>
  <si>
    <t>D</t>
  </si>
  <si>
    <t>E</t>
  </si>
  <si>
    <t>F</t>
  </si>
  <si>
    <t>G</t>
  </si>
  <si>
    <t>H</t>
  </si>
  <si>
    <t>I</t>
  </si>
  <si>
    <t>J</t>
  </si>
  <si>
    <t>K</t>
  </si>
  <si>
    <t>Total other enterprises</t>
  </si>
  <si>
    <t>A</t>
  </si>
  <si>
    <t>B</t>
  </si>
  <si>
    <t>C</t>
  </si>
  <si>
    <t>D</t>
  </si>
  <si>
    <t>E</t>
  </si>
  <si>
    <t>F</t>
  </si>
  <si>
    <t>G</t>
  </si>
  <si>
    <t>H</t>
  </si>
  <si>
    <t>I</t>
  </si>
  <si>
    <t>J</t>
  </si>
  <si>
    <t>K</t>
  </si>
  <si>
    <t>Mass market with mortgage on real estate</t>
  </si>
  <si>
    <t>A</t>
  </si>
  <si>
    <t>B</t>
  </si>
  <si>
    <t>C</t>
  </si>
  <si>
    <t>D</t>
  </si>
  <si>
    <t>E</t>
  </si>
  <si>
    <t>F</t>
  </si>
  <si>
    <t>G</t>
  </si>
  <si>
    <t>H</t>
  </si>
  <si>
    <t>I</t>
  </si>
  <si>
    <t>J</t>
  </si>
  <si>
    <t>K</t>
  </si>
  <si>
    <t>Total mass market, real estate</t>
  </si>
  <si>
    <t>Other mass market</t>
  </si>
  <si>
    <t>A</t>
  </si>
  <si>
    <t>B</t>
  </si>
  <si>
    <t>C</t>
  </si>
  <si>
    <t>D</t>
  </si>
  <si>
    <t>E</t>
  </si>
  <si>
    <t>F</t>
  </si>
  <si>
    <t>G</t>
  </si>
  <si>
    <t>H</t>
  </si>
  <si>
    <t>I</t>
  </si>
  <si>
    <t>J</t>
  </si>
  <si>
    <t>K</t>
  </si>
  <si>
    <t>Total other mass market</t>
  </si>
  <si>
    <t>Total enterprises</t>
  </si>
  <si>
    <t>2)</t>
  </si>
  <si>
    <r>
      <rPr>
        <vertAlign val="superscript"/>
        <sz val="9"/>
        <rFont val="Calibri"/>
        <family val="2"/>
      </rPr>
      <t>1)</t>
    </r>
    <r>
      <rPr>
        <sz val="9"/>
        <rFont val="Calibri"/>
        <family val="2"/>
      </rPr>
      <t xml:space="preserve"> Percentage of total commitment with such security in relation to total commitment for the relevant commitment category</t>
    </r>
  </si>
  <si>
    <r>
      <rPr>
        <vertAlign val="superscript"/>
        <sz val="9"/>
        <rFont val="Calibri"/>
        <family val="2"/>
      </rPr>
      <t>2)</t>
    </r>
    <r>
      <rPr>
        <sz val="9"/>
        <rFont val="Calibri"/>
        <family val="2"/>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</si>
  <si>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</si>
  <si>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</si>
  <si>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</si>
  <si>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</si>
  <si>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</si>
  <si>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</si>
  <si>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</si>
  <si>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</si>
  <si>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</si>
  <si>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</si>
  <si>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</si>
  <si>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</si>
  <si>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t xml:space="preserve">  -  </t>
  </si>
  <si>
    <r>
      <rPr>
        <sz val="9"/>
        <rFont val="Calibri"/>
        <family val="2"/>
      </rPr>
      <t>Institutions</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</si>
  <si>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</si>
  <si>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</si>
  <si>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</si>
  <si>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</si>
  <si>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</si>
  <si>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</si>
  <si>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</si>
  <si>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</si>
  <si>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</si>
  <si>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</si>
  <si>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r>
      <rPr>
        <sz val="9"/>
        <rFont val="Calibri"/>
        <family val="2"/>
      </rPr>
      <t>Institutions</t>
    </r>
  </si>
  <si>
    <r>
      <rPr>
        <i/>
        <sz val="9"/>
        <rFont val="Calibri"/>
        <family val="2"/>
      </rPr>
      <t xml:space="preserve"> The total commitment amount, defined as gross lending to customers + guarantees + unutilised credit in the Group, after any write-down and without taking account of any security pledged and the average size of the commitments during the period, broken down by type of commitment</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</si>
  <si>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</si>
  <si>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</si>
  <si>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</si>
  <si>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</si>
  <si>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</si>
  <si>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</si>
  <si>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</si>
  <si>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</si>
  <si>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</si>
  <si>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</si>
  <si>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</si>
  <si>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</si>
  <si>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</si>
  <si>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</si>
  <si>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</si>
  <si>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</si>
  <si>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</si>
  <si>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</si>
  <si>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</si>
  <si>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</si>
  <si>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</si>
  <si>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</si>
  <si>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</si>
  <si>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</si>
  <si>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</si>
  <si>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t>IRB default level - PD per default class</t>
  </si>
  <si>
    <t>Predicted</t>
  </si>
  <si>
    <t>Observed</t>
  </si>
  <si>
    <t>Predicted</t>
  </si>
  <si>
    <t>Observed</t>
  </si>
  <si>
    <t>Predicted</t>
  </si>
  <si>
    <t>Observed</t>
  </si>
  <si>
    <t>Predicted</t>
  </si>
  <si>
    <t>Observed</t>
  </si>
  <si>
    <t>Other mass market</t>
  </si>
  <si>
    <t>Predicted</t>
  </si>
  <si>
    <t>Observed</t>
  </si>
  <si>
    <t>Predicted</t>
  </si>
  <si>
    <t>Observed</t>
  </si>
  <si>
    <t>Enterprises</t>
  </si>
  <si>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</si>
  <si>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</si>
  <si>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</si>
  <si>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</si>
  <si>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</si>
  <si>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t>Rogaland</t>
  </si>
  <si>
    <t>Agder</t>
  </si>
  <si>
    <t>Hordaland</t>
  </si>
  <si>
    <t>Other</t>
  </si>
  <si>
    <r>
      <rPr>
        <b/>
        <sz val="9"/>
        <rFont val="Calibri"/>
        <family val="2"/>
      </rPr>
      <t>Total gross commitments, customers</t>
    </r>
  </si>
  <si>
    <t>Rogaland</t>
  </si>
  <si>
    <t>Agder</t>
  </si>
  <si>
    <t>Hordaland</t>
  </si>
  <si>
    <r>
      <rPr>
        <b/>
        <sz val="9"/>
        <rFont val="Calibri"/>
        <family val="2"/>
      </rPr>
      <t>Total gross commitments, customers</t>
    </r>
  </si>
  <si>
    <r>
      <rPr>
        <i/>
        <sz val="9"/>
        <rFont val="Calibri"/>
        <family val="2"/>
      </rPr>
      <t xml:space="preserve"> Investments (equity positions outside the trading portfolio) by purpose</t>
    </r>
  </si>
  <si>
    <t>Investments</t>
  </si>
  <si>
    <r>
      <rPr>
        <b/>
        <sz val="9"/>
        <rFont val="Calibri"/>
        <family val="2"/>
      </rPr>
      <t>Financial investments at fair value through profit and loss</t>
    </r>
  </si>
  <si>
    <t>Hitec Vision Private Equity IV LP</t>
  </si>
  <si>
    <t>SR-PE-Feeder III KS</t>
  </si>
  <si>
    <r>
      <rPr>
        <b/>
        <sz val="9"/>
        <rFont val="Calibri"/>
        <family val="2"/>
      </rPr>
      <t>Total financial investments at fair value through profit and loss</t>
    </r>
  </si>
  <si>
    <r>
      <rPr>
        <b/>
        <sz val="9"/>
        <rFont val="Calibri"/>
        <family val="2"/>
      </rPr>
      <t>Strategic investments at fair value through profit and loss</t>
    </r>
  </si>
  <si>
    <r>
      <rPr>
        <b/>
        <sz val="9"/>
        <rFont val="Calibri"/>
        <family val="2"/>
      </rPr>
      <t>Total strategic investments at fair value through profit and loss</t>
    </r>
  </si>
  <si>
    <r>
      <rPr>
        <b/>
        <sz val="9"/>
        <rFont val="Calibri"/>
        <family val="2"/>
      </rPr>
      <t>Strategic investments available for sale</t>
    </r>
  </si>
  <si>
    <r>
      <rPr>
        <b/>
        <sz val="9"/>
        <rFont val="Calibri"/>
        <family val="2"/>
      </rPr>
      <t>Total</t>
    </r>
  </si>
  <si>
    <r>
      <rPr>
        <i/>
        <sz val="9"/>
        <rFont val="Calibri"/>
        <family val="2"/>
      </rPr>
      <t>Overview of book value and fair value, gains and losses</t>
    </r>
  </si>
  <si>
    <r>
      <rPr>
        <sz val="9"/>
        <rFont val="Calibri"/>
        <family val="2"/>
      </rPr>
      <t>(Amounts in NOK million)</t>
    </r>
  </si>
  <si>
    <r>
      <rPr>
        <b/>
        <sz val="9"/>
        <rFont val="Calibri"/>
        <family val="2"/>
      </rPr>
      <t>Book 
value</t>
    </r>
  </si>
  <si>
    <r>
      <rPr>
        <b/>
        <sz val="9"/>
        <rFont val="Calibri"/>
        <family val="2"/>
      </rPr>
      <t>Fair
value</t>
    </r>
  </si>
  <si>
    <t>Total realised gains
or losses</t>
  </si>
  <si>
    <t>Unrealised gains
or losses</t>
  </si>
  <si>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</si>
  <si>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</si>
  <si>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</si>
  <si>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</si>
  <si>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t>Total</t>
  </si>
  <si>
    <r>
      <rPr>
        <sz val="9"/>
        <rFont val="Calibri"/>
        <family val="2"/>
      </rPr>
      <t>Financial investments at fair value through profit and loss</t>
    </r>
  </si>
  <si>
    <r>
      <rPr>
        <sz val="9"/>
        <rFont val="Calibri"/>
        <family val="2"/>
      </rPr>
      <t>Strategic investments available for sale</t>
    </r>
  </si>
  <si>
    <t>Total</t>
  </si>
  <si>
    <r>
      <rPr>
        <sz val="9"/>
        <rFont val="Calibri"/>
        <family val="2"/>
      </rPr>
      <t>(Amounts in NOK million)</t>
    </r>
  </si>
  <si>
    <t>Rogaland</t>
  </si>
  <si>
    <t>Agder</t>
  </si>
  <si>
    <t>Hordaland</t>
  </si>
  <si>
    <t>Other</t>
  </si>
  <si>
    <t>Total</t>
  </si>
  <si>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</si>
  <si>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</si>
  <si>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</si>
  <si>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</si>
  <si>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</si>
  <si>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</si>
  <si>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</si>
  <si>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</si>
  <si>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</si>
  <si>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t>IRB default level - PD (EAD-weighted)</t>
  </si>
  <si>
    <t>Principal</t>
  </si>
  <si>
    <r>
      <rPr>
        <b/>
        <sz val="9"/>
        <rFont val="Calibri"/>
        <family val="2"/>
      </rPr>
      <t>Terms</t>
    </r>
  </si>
  <si>
    <r>
      <rPr>
        <b/>
        <sz val="9"/>
        <rFont val="Calibri"/>
        <family val="2"/>
      </rPr>
      <t>Maturity</t>
    </r>
  </si>
  <si>
    <t>Non-perpetual</t>
  </si>
  <si>
    <t>NOK 500</t>
  </si>
  <si>
    <t>NOK 825</t>
  </si>
  <si>
    <r>
      <rPr>
        <b/>
        <sz val="9"/>
        <rFont val="Calibri"/>
        <family val="2"/>
      </rPr>
      <t>Total non-perpetual</t>
    </r>
  </si>
  <si>
    <t>Hybrid tier 1 bonds</t>
  </si>
  <si>
    <t>NOK 684</t>
  </si>
  <si>
    <t>NOK 116</t>
  </si>
  <si>
    <r>
      <rPr>
        <b/>
        <sz val="9"/>
        <rFont val="Calibri"/>
        <family val="2"/>
      </rPr>
      <t>Total hybrids</t>
    </r>
  </si>
  <si>
    <r>
      <rPr>
        <sz val="9"/>
        <rFont val="Calibri"/>
        <family val="2"/>
      </rPr>
      <t>Accrued interest</t>
    </r>
  </si>
  <si>
    <t>Total subordinated loan capital</t>
  </si>
  <si>
    <r>
      <rPr>
        <i/>
        <sz val="9"/>
        <rFont val="Calibri"/>
        <family val="2"/>
      </rPr>
      <t xml:space="preserve"> Consolidation basis</t>
    </r>
  </si>
  <si>
    <r>
      <rPr>
        <b/>
        <sz val="9"/>
        <rFont val="Calibri"/>
        <family val="2"/>
      </rPr>
      <t>Subsidiaries</t>
    </r>
  </si>
  <si>
    <t>Number of shares</t>
  </si>
  <si>
    <t>Book value</t>
  </si>
  <si>
    <t>Voting rights</t>
  </si>
  <si>
    <t>Consolidation method</t>
  </si>
  <si>
    <t>Wholly consolidated companies</t>
  </si>
  <si>
    <t>EiendomsMegler 1 SR-Eiendom AS</t>
  </si>
  <si>
    <t>SR-Forvaltning AS</t>
  </si>
  <si>
    <t>Rygir Industrier AS konsern</t>
  </si>
  <si>
    <t>Finansparken Bjergsted AS</t>
  </si>
  <si>
    <r>
      <rPr>
        <b/>
        <sz val="9"/>
        <rFont val="Calibri"/>
        <family val="2"/>
      </rPr>
      <t>Total</t>
    </r>
  </si>
  <si>
    <r>
      <rPr>
        <b/>
        <sz val="9"/>
        <rFont val="Calibri"/>
        <family val="2"/>
      </rPr>
      <t>Subsidiaries</t>
    </r>
  </si>
  <si>
    <t>Number of shares</t>
  </si>
  <si>
    <t>Book value</t>
  </si>
  <si>
    <t>Voting rights</t>
  </si>
  <si>
    <t>Consolidation method</t>
  </si>
  <si>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</si>
  <si>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</si>
  <si>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</si>
  <si>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</si>
  <si>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</si>
  <si>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</si>
  <si>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</si>
  <si>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b/>
        <sz val="9"/>
        <rFont val="Calibri"/>
        <family val="2"/>
      </rPr>
      <t>Total</t>
    </r>
  </si>
  <si>
    <r>
      <rPr>
        <sz val="9"/>
        <rFont val="Calibri"/>
        <family val="2"/>
      </rPr>
      <t>Amounts in NOK million</t>
    </r>
  </si>
  <si>
    <t>SR-Forvaltning</t>
  </si>
  <si>
    <r>
      <rPr>
        <sz val="9"/>
        <rFont val="Calibri"/>
        <family val="2"/>
      </rPr>
      <t>Net regulatory capital</t>
    </r>
  </si>
  <si>
    <r>
      <rPr>
        <sz val="9"/>
        <rFont val="Calibri"/>
        <family val="2"/>
      </rPr>
      <t>Minimum regulatory capital requirements</t>
    </r>
  </si>
  <si>
    <r>
      <rPr>
        <sz val="9"/>
        <rFont val="Calibri"/>
        <family val="2"/>
      </rPr>
      <t>Capital ratio %</t>
    </r>
  </si>
  <si>
    <r>
      <rPr>
        <sz val="10"/>
        <rFont val="Calibri"/>
        <family val="2"/>
      </rPr>
      <t>(Amounts in NOK million)</t>
    </r>
  </si>
  <si>
    <r>
      <rPr>
        <sz val="9"/>
        <rFont val="Calibri"/>
        <family val="2"/>
      </rPr>
      <t>A (0.00–0.10 %)</t>
    </r>
  </si>
  <si>
    <r>
      <rPr>
        <sz val="9"/>
        <rFont val="Calibri"/>
        <family val="2"/>
      </rPr>
      <t>B (0.10–0.25 %)</t>
    </r>
  </si>
  <si>
    <r>
      <rPr>
        <sz val="9"/>
        <rFont val="Calibri"/>
        <family val="2"/>
      </rPr>
      <t>C (0.25–0.50 %)</t>
    </r>
  </si>
  <si>
    <r>
      <rPr>
        <sz val="9"/>
        <rFont val="Calibri"/>
        <family val="2"/>
      </rPr>
      <t>D (0.50–0.75 %)</t>
    </r>
  </si>
  <si>
    <r>
      <rPr>
        <sz val="9"/>
        <rFont val="Calibri"/>
        <family val="2"/>
      </rPr>
      <t>E (0.75–1.25 %)</t>
    </r>
  </si>
  <si>
    <r>
      <rPr>
        <sz val="9"/>
        <rFont val="Calibri"/>
        <family val="2"/>
      </rPr>
      <t>F (1.25–2.50 %)</t>
    </r>
  </si>
  <si>
    <r>
      <rPr>
        <sz val="9"/>
        <rFont val="Calibri"/>
        <family val="2"/>
      </rPr>
      <t>G (2.50–5.00 %)</t>
    </r>
  </si>
  <si>
    <r>
      <rPr>
        <sz val="9"/>
        <rFont val="Calibri"/>
        <family val="2"/>
      </rPr>
      <t>H (5.00–10.00 %)</t>
    </r>
  </si>
  <si>
    <r>
      <rPr>
        <sz val="9"/>
        <rFont val="Calibri"/>
        <family val="2"/>
      </rPr>
      <t>I (10.00 –   )</t>
    </r>
  </si>
  <si>
    <r>
      <rPr>
        <sz val="9"/>
        <rFont val="Calibri"/>
        <family val="2"/>
      </rPr>
      <t>J</t>
    </r>
  </si>
  <si>
    <r>
      <rPr>
        <sz val="9"/>
        <rFont val="Calibri"/>
        <family val="2"/>
      </rPr>
      <t>K</t>
    </r>
  </si>
  <si>
    <r>
      <rPr>
        <b/>
        <sz val="9"/>
        <rFont val="Calibri"/>
        <family val="2"/>
      </rPr>
      <t>Total</t>
    </r>
  </si>
  <si>
    <t>Pillar 3 - Annex</t>
  </si>
  <si>
    <t>Tab</t>
  </si>
  <si>
    <t>Contents</t>
  </si>
  <si>
    <t>Page in Pillar 3 report</t>
  </si>
  <si>
    <t>Updated</t>
  </si>
  <si>
    <r>
      <rPr>
        <sz val="10"/>
        <color theme="1"/>
        <rFont val="Calibri"/>
        <family val="2"/>
      </rPr>
      <t>Consolidation – subsidiaries</t>
    </r>
  </si>
  <si>
    <t>Quarterly</t>
  </si>
  <si>
    <r>
      <rPr>
        <sz val="10"/>
        <color theme="1"/>
        <rFont val="Calibri"/>
        <family val="2"/>
      </rPr>
      <t>Investments in associated companies and joint ventures</t>
    </r>
  </si>
  <si>
    <t>Quarterly</t>
  </si>
  <si>
    <r>
      <rPr>
        <sz val="10"/>
        <color theme="1"/>
        <rFont val="Calibri"/>
        <family val="2"/>
      </rPr>
      <t>Regulatory capital in other financial institutions</t>
    </r>
  </si>
  <si>
    <t>Quarterly</t>
  </si>
  <si>
    <r>
      <rPr>
        <sz val="10"/>
        <color theme="1"/>
        <rFont val="Calibri"/>
        <family val="2"/>
      </rPr>
      <t>Regulatory capital</t>
    </r>
  </si>
  <si>
    <t>Quarterly</t>
  </si>
  <si>
    <r>
      <rPr>
        <sz val="10"/>
        <color theme="1"/>
        <rFont val="Calibri"/>
        <family val="2"/>
      </rPr>
      <t>Minimum regulatory capital requirements for credit risk divided into commitment categories and subcategories</t>
    </r>
  </si>
  <si>
    <t>Quarterly</t>
  </si>
  <si>
    <t>Annually</t>
  </si>
  <si>
    <t xml:space="preserve">IRB default level – PD </t>
  </si>
  <si>
    <t>IRB loss given default for defaulted loans – LGD</t>
  </si>
  <si>
    <r>
      <rPr>
        <sz val="9"/>
        <rFont val="Calibri"/>
        <family val="2"/>
      </rPr>
      <t>Amounts in NOK million</t>
    </r>
  </si>
  <si>
    <r>
      <rPr>
        <sz val="9"/>
        <rFont val="Calibri"/>
        <family val="2"/>
      </rPr>
      <t>Unlisted</t>
    </r>
  </si>
  <si>
    <r>
      <rPr>
        <sz val="9"/>
        <rFont val="Calibri"/>
        <family val="2"/>
      </rPr>
      <t>Traded on an exchange</t>
    </r>
  </si>
  <si>
    <r>
      <rPr>
        <sz val="9"/>
        <rFont val="Calibri"/>
        <family val="2"/>
      </rPr>
      <t>Other</t>
    </r>
  </si>
  <si>
    <t>Total</t>
  </si>
  <si>
    <t>Calculation of unweighted tier 1 capital ratio (leverage ratio)</t>
  </si>
  <si>
    <r>
      <rPr>
        <b/>
        <sz val="9"/>
        <rFont val="Calibri"/>
        <family val="2"/>
      </rPr>
      <t xml:space="preserve">SpareBank 1 SR-Bank ASA's share of SpareBank 1 Boligkreditt </t>
    </r>
  </si>
  <si>
    <r>
      <rPr>
        <b/>
        <sz val="9"/>
        <rFont val="Calibri"/>
        <family val="2"/>
      </rPr>
      <t xml:space="preserve">SpareBank 1 SR-Bank ASA's share of SpareBank 1 Næringskreditt </t>
    </r>
  </si>
  <si>
    <r>
      <rPr>
        <b/>
        <sz val="9"/>
        <rFont val="Calibri"/>
        <family val="2"/>
      </rPr>
      <t xml:space="preserve">Eliminations </t>
    </r>
  </si>
  <si>
    <r>
      <rPr>
        <b/>
        <sz val="9"/>
        <rFont val="Calibri"/>
        <family val="2"/>
      </rPr>
      <t>Reference</t>
    </r>
  </si>
  <si>
    <r>
      <rPr>
        <b/>
        <sz val="9"/>
        <rFont val="Calibri"/>
        <family val="2"/>
      </rPr>
      <t>Assets</t>
    </r>
  </si>
  <si>
    <r>
      <rPr>
        <sz val="9"/>
        <rFont val="Calibri"/>
        <family val="2"/>
      </rPr>
      <t>Cash and receivables from the central bank</t>
    </r>
  </si>
  <si>
    <r>
      <rPr>
        <sz val="9"/>
        <rFont val="Calibri"/>
        <family val="2"/>
      </rPr>
      <t>Loans to and receivables from financial institutions</t>
    </r>
  </si>
  <si>
    <r>
      <rPr>
        <sz val="9"/>
        <rFont val="Calibri"/>
        <family val="2"/>
      </rPr>
      <t>Loans to customers</t>
    </r>
  </si>
  <si>
    <r>
      <rPr>
        <sz val="9"/>
        <rFont val="Calibri"/>
        <family val="2"/>
      </rPr>
      <t>Certificates and bonds</t>
    </r>
  </si>
  <si>
    <r>
      <rPr>
        <sz val="9"/>
        <rFont val="Calibri"/>
        <family val="2"/>
      </rPr>
      <t>Financial derivatives</t>
    </r>
  </si>
  <si>
    <r>
      <rPr>
        <sz val="9"/>
        <rFont val="Calibri"/>
        <family val="2"/>
      </rPr>
      <t>Equities, units and other equity interests</t>
    </r>
  </si>
  <si>
    <r>
      <rPr>
        <sz val="9"/>
        <rFont val="Calibri"/>
        <family val="2"/>
      </rPr>
      <t>Investments in ownership interests</t>
    </r>
  </si>
  <si>
    <r>
      <rPr>
        <sz val="9"/>
        <rFont val="Calibri"/>
        <family val="2"/>
      </rPr>
      <t>Operations that will be sold</t>
    </r>
  </si>
  <si>
    <r>
      <rPr>
        <sz val="9"/>
        <rFont val="Calibri"/>
        <family val="2"/>
      </rPr>
      <t>Intangible assets</t>
    </r>
  </si>
  <si>
    <r>
      <rPr>
        <sz val="9"/>
        <rFont val="Calibri"/>
        <family val="2"/>
      </rPr>
      <t>Other assets</t>
    </r>
  </si>
  <si>
    <r>
      <rPr>
        <b/>
        <sz val="9"/>
        <rFont val="Calibri"/>
        <family val="2"/>
      </rPr>
      <t>Total assets</t>
    </r>
  </si>
  <si>
    <r>
      <rPr>
        <b/>
        <sz val="9"/>
        <rFont val="Calibri"/>
        <family val="2"/>
      </rPr>
      <t xml:space="preserve">Liabilities </t>
    </r>
  </si>
  <si>
    <r>
      <rPr>
        <sz val="9"/>
        <rFont val="Calibri"/>
        <family val="2"/>
      </rPr>
      <t>Debt to financial institutions</t>
    </r>
  </si>
  <si>
    <r>
      <rPr>
        <sz val="9"/>
        <rFont val="Calibri"/>
        <family val="2"/>
      </rPr>
      <t>Deposits from customers</t>
    </r>
  </si>
  <si>
    <r>
      <rPr>
        <sz val="9"/>
        <rFont val="Calibri"/>
        <family val="2"/>
      </rPr>
      <t>Securities issued</t>
    </r>
  </si>
  <si>
    <r>
      <rPr>
        <sz val="9"/>
        <rFont val="Calibri"/>
        <family val="2"/>
      </rPr>
      <t>Deferred tax</t>
    </r>
  </si>
  <si>
    <r>
      <rPr>
        <sz val="9"/>
        <rFont val="Calibri"/>
        <family val="2"/>
      </rPr>
      <t>Other liabilities and book value of liabilities</t>
    </r>
  </si>
  <si>
    <r>
      <rPr>
        <sz val="9"/>
        <rFont val="Calibri"/>
        <family val="2"/>
      </rPr>
      <t>Subordinated loan capital</t>
    </r>
  </si>
  <si>
    <r>
      <rPr>
        <i/>
        <sz val="9"/>
        <rFont val="Calibri"/>
        <family val="2"/>
      </rPr>
      <t>Of which subordinated loan capital that qualifies as other approved tier 2 capital</t>
    </r>
  </si>
  <si>
    <r>
      <rPr>
        <i/>
        <sz val="9"/>
        <rFont val="Calibri"/>
        <family val="2"/>
      </rPr>
      <t>Of which subordinated loans under the transitional rules</t>
    </r>
  </si>
  <si>
    <r>
      <rPr>
        <i/>
        <sz val="9"/>
        <rFont val="Calibri"/>
        <family val="2"/>
      </rPr>
      <t>Of which tier 1 capital instruments under the transitional rules</t>
    </r>
  </si>
  <si>
    <r>
      <rPr>
        <b/>
        <sz val="9"/>
        <rFont val="Calibri"/>
        <family val="2"/>
      </rPr>
      <t>Total liabilities</t>
    </r>
  </si>
  <si>
    <r>
      <rPr>
        <b/>
        <sz val="9"/>
        <rFont val="Calibri"/>
        <family val="2"/>
      </rPr>
      <t>Equity</t>
    </r>
  </si>
  <si>
    <r>
      <rPr>
        <sz val="9"/>
        <rFont val="Calibri"/>
        <family val="2"/>
      </rPr>
      <t>Shareholders' equity</t>
    </r>
  </si>
  <si>
    <r>
      <rPr>
        <sz val="9"/>
        <rFont val="Calibri"/>
        <family val="2"/>
      </rPr>
      <t>Fund for unrealised gains</t>
    </r>
  </si>
  <si>
    <r>
      <rPr>
        <sz val="9"/>
        <rFont val="Calibri"/>
        <family val="2"/>
      </rPr>
      <t>Other equity</t>
    </r>
  </si>
  <si>
    <r>
      <rPr>
        <b/>
        <sz val="9"/>
        <rFont val="Calibri"/>
        <family val="2"/>
      </rPr>
      <t>Total equity</t>
    </r>
  </si>
  <si>
    <r>
      <rPr>
        <b/>
        <sz val="9"/>
        <rFont val="Calibri"/>
        <family val="2"/>
      </rPr>
      <t>Total liabilities and equity</t>
    </r>
  </si>
  <si>
    <t>Relationship between primary capital in the financial statements and the primary capital that is calculated for capital adequacy purposes.</t>
  </si>
  <si>
    <r>
      <rPr>
        <b/>
        <sz val="9"/>
        <rFont val="Calibri"/>
        <family val="2"/>
      </rPr>
      <t>Common equity tier 1 capital: Instruments and earned capital</t>
    </r>
  </si>
  <si>
    <r>
      <rPr>
        <b/>
        <i/>
        <sz val="9"/>
        <rFont val="Calibri"/>
        <family val="2"/>
      </rPr>
      <t>(A) Amount on the date of publication</t>
    </r>
  </si>
  <si>
    <r>
      <rPr>
        <b/>
        <sz val="9"/>
        <rFont val="Calibri"/>
        <family val="2"/>
      </rPr>
      <t>(B) References to articles in the directive (CRR)</t>
    </r>
  </si>
  <si>
    <r>
      <rPr>
        <b/>
        <i/>
        <sz val="9"/>
        <rFont val="Calibri"/>
        <family val="2"/>
      </rPr>
      <t>(C) Amount covered by transitional rules</t>
    </r>
  </si>
  <si>
    <r>
      <rPr>
        <sz val="9"/>
        <rFont val="Calibri"/>
        <family val="2"/>
      </rPr>
      <t>Capital instruments and associated share premium reserve</t>
    </r>
  </si>
  <si>
    <r>
      <rPr>
        <sz val="9"/>
        <rFont val="Calibri"/>
        <family val="2"/>
      </rPr>
      <t>26 (1), 27, 28 and 29</t>
    </r>
  </si>
  <si>
    <r>
      <rPr>
        <sz val="9"/>
        <rFont val="Calibri"/>
        <family val="2"/>
      </rPr>
      <t>N/A</t>
    </r>
  </si>
  <si>
    <r>
      <rPr>
        <sz val="9"/>
        <rFont val="Calibri"/>
        <family val="2"/>
      </rPr>
      <t xml:space="preserve">  of which: instrument type 1</t>
    </r>
  </si>
  <si>
    <r>
      <rPr>
        <sz val="9"/>
        <rFont val="Calibri"/>
        <family val="2"/>
      </rPr>
      <t xml:space="preserve">  of which: instrument type 2</t>
    </r>
  </si>
  <si>
    <r>
      <rPr>
        <sz val="9"/>
        <rFont val="Calibri"/>
        <family val="2"/>
      </rPr>
      <t xml:space="preserve">  of which: instrument type 3</t>
    </r>
  </si>
  <si>
    <r>
      <rPr>
        <sz val="9"/>
        <rFont val="Calibri"/>
        <family val="2"/>
      </rPr>
      <t>Earned equity in the form of previous years' retained results</t>
    </r>
  </si>
  <si>
    <r>
      <rPr>
        <sz val="9"/>
        <rFont val="Calibri"/>
        <family val="2"/>
      </rPr>
      <t>26 (1) (C)</t>
    </r>
  </si>
  <si>
    <r>
      <rPr>
        <sz val="9"/>
        <rFont val="Calibri"/>
        <family val="2"/>
      </rPr>
      <t>Accumulated other operating income and costs and other funds, etc.</t>
    </r>
  </si>
  <si>
    <r>
      <rPr>
        <sz val="9"/>
        <rFont val="Calibri"/>
        <family val="2"/>
      </rPr>
      <t>26 (1) (d) and (e)</t>
    </r>
  </si>
  <si>
    <r>
      <rPr>
        <sz val="9"/>
        <rFont val="Calibri"/>
        <family val="2"/>
      </rPr>
      <t>3a</t>
    </r>
  </si>
  <si>
    <r>
      <rPr>
        <sz val="9"/>
        <rFont val="Calibri"/>
        <family val="2"/>
      </rPr>
      <t>Provisions for general banking risk</t>
    </r>
  </si>
  <si>
    <r>
      <rPr>
        <sz val="9"/>
        <rFont val="Calibri"/>
        <family val="2"/>
      </rPr>
      <t>26 (1) (f)</t>
    </r>
  </si>
  <si>
    <r>
      <rPr>
        <sz val="9"/>
        <rFont val="Calibri"/>
        <family val="2"/>
      </rPr>
      <t>Common equity tier 1 instruments covered by transitional rules</t>
    </r>
  </si>
  <si>
    <r>
      <rPr>
        <sz val="9"/>
        <rFont val="Calibri"/>
        <family val="2"/>
      </rPr>
      <t>Government contributions of common equity tier 1 capital covered by transitional rules</t>
    </r>
  </si>
  <si>
    <r>
      <rPr>
        <sz val="9"/>
        <rFont val="Calibri"/>
        <family val="2"/>
      </rPr>
      <t>Minority interests</t>
    </r>
  </si>
  <si>
    <r>
      <rPr>
        <sz val="9"/>
        <rFont val="Calibri"/>
        <family val="2"/>
      </rPr>
      <t>5a</t>
    </r>
  </si>
  <si>
    <r>
      <rPr>
        <sz val="9"/>
        <rFont val="Calibri"/>
        <family val="2"/>
      </rPr>
      <t>Revised interim profit less foreseeable tax, etc. and dividends</t>
    </r>
  </si>
  <si>
    <r>
      <rPr>
        <sz val="9"/>
        <rFont val="Calibri"/>
        <family val="2"/>
      </rPr>
      <t>26 (2)</t>
    </r>
  </si>
  <si>
    <r>
      <rPr>
        <b/>
        <sz val="9"/>
        <rFont val="Calibri"/>
        <family val="2"/>
      </rPr>
      <t>Common equity tier 1 capital before regulatory adjustments</t>
    </r>
  </si>
  <si>
    <r>
      <rPr>
        <sz val="9"/>
        <rFont val="Calibri"/>
        <family val="2"/>
      </rPr>
      <t>Total row 1 to 5a</t>
    </r>
  </si>
  <si>
    <r>
      <rPr>
        <b/>
        <sz val="9"/>
        <rFont val="Calibri"/>
        <family val="2"/>
      </rPr>
      <t>Common equity tier 1 capital: Regulatory adjustments</t>
    </r>
  </si>
  <si>
    <r>
      <rPr>
        <sz val="9"/>
        <rFont val="Calibri"/>
        <family val="2"/>
      </rPr>
      <t>Value adjustments due to requirements concerning proper valuation (negative amount)</t>
    </r>
  </si>
  <si>
    <r>
      <rPr>
        <sz val="9"/>
        <rFont val="Calibri"/>
        <family val="2"/>
      </rPr>
      <t>34 and 105</t>
    </r>
  </si>
  <si>
    <r>
      <rPr>
        <sz val="9"/>
        <rFont val="Calibri"/>
        <family val="2"/>
      </rPr>
      <t>Intangible assets reduced by deferred tax (negative amount)</t>
    </r>
  </si>
  <si>
    <r>
      <rPr>
        <sz val="9"/>
        <rFont val="Calibri"/>
        <family val="2"/>
      </rPr>
      <t>36 (1) (b) and 37</t>
    </r>
  </si>
  <si>
    <r>
      <rPr>
        <sz val="9"/>
        <rFont val="Calibri"/>
        <family val="2"/>
      </rPr>
      <t>Empty field in EEA</t>
    </r>
  </si>
  <si>
    <r>
      <rPr>
        <sz val="9"/>
        <rFont val="Calibri"/>
        <family val="2"/>
      </rPr>
      <t>Deferred tax asset not due to temporary differences reduced by deferred tax that can be offset (negative amount)</t>
    </r>
  </si>
  <si>
    <r>
      <rPr>
        <sz val="9"/>
        <rFont val="Calibri"/>
        <family val="2"/>
      </rPr>
      <t>36 (1) (c) and 38</t>
    </r>
  </si>
  <si>
    <r>
      <rPr>
        <sz val="9"/>
        <rFont val="Calibri"/>
        <family val="2"/>
      </rPr>
      <t>Value changes for hedging instruments for cash flow hedging</t>
    </r>
  </si>
  <si>
    <r>
      <rPr>
        <sz val="9"/>
        <rFont val="Calibri"/>
        <family val="2"/>
      </rPr>
      <t>33 (1) (a)</t>
    </r>
  </si>
  <si>
    <r>
      <rPr>
        <sz val="9"/>
        <rFont val="Calibri"/>
        <family val="2"/>
      </rPr>
      <t>Positive values of adjusted expected loss pursuant to section 15-7 of the Capital Requirements Regulations (included as negative amount)</t>
    </r>
  </si>
  <si>
    <r>
      <rPr>
        <sz val="9"/>
        <rFont val="Calibri"/>
        <family val="2"/>
      </rPr>
      <t>36 (1) (d), 40 and 159</t>
    </r>
  </si>
  <si>
    <r>
      <rPr>
        <sz val="9"/>
        <rFont val="Calibri"/>
        <family val="2"/>
      </rPr>
      <t>Increase in equity linked to future income due to securitised assets (negative amount)</t>
    </r>
  </si>
  <si>
    <r>
      <rPr>
        <sz val="9"/>
        <rFont val="Calibri"/>
        <family val="2"/>
      </rPr>
      <t>32 (1)</t>
    </r>
  </si>
  <si>
    <r>
      <rPr>
        <sz val="9"/>
        <rFont val="Calibri"/>
        <family val="2"/>
      </rPr>
      <t>Gains or losses on liabilities measured at fair value due to changes in own creditworthiness</t>
    </r>
  </si>
  <si>
    <r>
      <rPr>
        <sz val="9"/>
        <rFont val="Calibri"/>
        <family val="2"/>
      </rPr>
      <t>33 (1) (b) and (c)</t>
    </r>
  </si>
  <si>
    <r>
      <rPr>
        <sz val="9"/>
        <rFont val="Calibri"/>
        <family val="2"/>
      </rPr>
      <t>Over funding of pension liabilities (negative amount)</t>
    </r>
  </si>
  <si>
    <r>
      <rPr>
        <sz val="9"/>
        <rFont val="Calibri"/>
        <family val="2"/>
      </rPr>
      <t>36 (1) (e) and 41</t>
    </r>
  </si>
  <si>
    <r>
      <rPr>
        <sz val="9"/>
        <rFont val="Calibri"/>
        <family val="2"/>
      </rPr>
      <t>Direct, indirect and synthetic holdings of own common equity tier 1 instruments (negative amount)</t>
    </r>
  </si>
  <si>
    <r>
      <rPr>
        <sz val="9"/>
        <rFont val="Calibri"/>
        <family val="2"/>
      </rPr>
      <t>36 (1) (f) and 42</t>
    </r>
  </si>
  <si>
    <r>
      <rPr>
        <sz val="9"/>
        <rFont val="Calibri"/>
        <family val="2"/>
      </rPr>
      <t>Holding of common equity tier 1 capital in another company in the financial sector, which has a mutual investment of primary capital (negative amount)</t>
    </r>
  </si>
  <si>
    <r>
      <rPr>
        <sz val="9"/>
        <rFont val="Calibri"/>
        <family val="2"/>
      </rPr>
      <t>36 (1) (g) and 44</t>
    </r>
  </si>
  <si>
    <r>
      <rPr>
        <sz val="9"/>
        <rFont val="Calibri"/>
        <family val="2"/>
      </rPr>
      <t>Direct, indirect and synthetic holdings of common equity tier 1 capital in other companies in the financial sector in which the institution has no significant investment. Amount that exceeds the 10% threshold calculated after the deductions permitted for short positions (negative amount)</t>
    </r>
  </si>
  <si>
    <r>
      <rPr>
        <sz val="9"/>
        <rFont val="Calibri"/>
        <family val="2"/>
      </rPr>
      <t>36 (1) (h), 43, 45, 46, 49 (2), 79, 469 (1) (a), 472 (10) and 478 (1)</t>
    </r>
  </si>
  <si>
    <r>
      <rPr>
        <sz val="9"/>
        <rFont val="Calibri"/>
        <family val="2"/>
      </rPr>
      <t>Direct, indirect and synthetic holdings of common equity tier 1 capital in other companies in the financial sector in which the institution has significant investments that combined exceed the 10% threshold. Amount calculated after the deductions permitted for short positions (negative amount)</t>
    </r>
  </si>
  <si>
    <r>
      <rPr>
        <sz val="9"/>
        <rFont val="Calibri"/>
        <family val="2"/>
      </rPr>
      <t>36 (1) (i), 43, 45, 47, 48 (1) (b), 49 (1) to (3) and 79</t>
    </r>
  </si>
  <si>
    <r>
      <rPr>
        <sz val="9"/>
        <rFont val="Calibri"/>
        <family val="2"/>
      </rPr>
      <t>20a</t>
    </r>
  </si>
  <si>
    <r>
      <rPr>
        <sz val="9"/>
        <rFont val="Calibri"/>
        <family val="2"/>
      </rPr>
      <t>Items that alternatively may get a risk weighting of 1,250% (negative amount)</t>
    </r>
  </si>
  <si>
    <r>
      <rPr>
        <sz val="9"/>
        <rFont val="Calibri"/>
        <family val="2"/>
      </rPr>
      <t>36 (1) (k)</t>
    </r>
  </si>
  <si>
    <r>
      <rPr>
        <sz val="9"/>
        <rFont val="Calibri"/>
        <family val="2"/>
      </rPr>
      <t>20b</t>
    </r>
  </si>
  <si>
    <r>
      <rPr>
        <sz val="9"/>
        <rFont val="Calibri"/>
        <family val="2"/>
      </rPr>
      <t>of which: qualified assets in companies outside the financial sector (negative amount)</t>
    </r>
  </si>
  <si>
    <r>
      <rPr>
        <sz val="9"/>
        <rFont val="Calibri"/>
        <family val="2"/>
      </rPr>
      <t>36 (1) (k) (i) and 89 to 91</t>
    </r>
  </si>
  <si>
    <r>
      <rPr>
        <sz val="9"/>
        <rFont val="Calibri"/>
        <family val="2"/>
      </rPr>
      <t>20c</t>
    </r>
  </si>
  <si>
    <r>
      <rPr>
        <sz val="9"/>
        <rFont val="Calibri"/>
        <family val="2"/>
      </rPr>
      <t>of which: securitising positions (negative amount)</t>
    </r>
  </si>
  <si>
    <r>
      <rPr>
        <sz val="9"/>
        <rFont val="Calibri"/>
        <family val="2"/>
      </rPr>
      <t>36 (1) (k) (ii), 243 (1) (b), 244 (1) (b) and 258</t>
    </r>
  </si>
  <si>
    <r>
      <rPr>
        <sz val="9"/>
        <rFont val="Calibri"/>
        <family val="2"/>
      </rPr>
      <t>20d</t>
    </r>
  </si>
  <si>
    <r>
      <rPr>
        <sz val="9"/>
        <rFont val="Calibri"/>
        <family val="2"/>
      </rPr>
      <t>of which: counterparty risk for transactions that have not been concluded (negative amount)</t>
    </r>
  </si>
  <si>
    <r>
      <rPr>
        <sz val="9"/>
        <rFont val="Calibri"/>
        <family val="2"/>
      </rPr>
      <t>36 (1) (k) (iii) and 379 (3)</t>
    </r>
  </si>
  <si>
    <r>
      <rPr>
        <sz val="9"/>
        <rFont val="Calibri"/>
        <family val="2"/>
      </rPr>
      <t>Deferred tax asset due to temporary differences and that exceed the exception threshold of 10% reduced by deferred tax that can be offset (negative amount)</t>
    </r>
  </si>
  <si>
    <r>
      <rPr>
        <sz val="9"/>
        <rFont val="Calibri"/>
        <family val="2"/>
      </rPr>
      <t>36 (1) (c), 38 and 48 (1) (a)</t>
    </r>
  </si>
  <si>
    <r>
      <rPr>
        <sz val="9"/>
        <rFont val="Calibri"/>
        <family val="2"/>
      </rPr>
      <t>Amounts that exceeds the exception threshold of 17.65% (negative amount)</t>
    </r>
  </si>
  <si>
    <r>
      <rPr>
        <sz val="9"/>
        <rFont val="Calibri"/>
        <family val="2"/>
      </rPr>
      <t>48 (1)</t>
    </r>
  </si>
  <si>
    <r>
      <rPr>
        <sz val="9"/>
        <rFont val="Calibri"/>
        <family val="2"/>
      </rPr>
      <t>of which: direct, indirect and synthetic holdings of common equity tier 1 capital in other companies in the financial sector in which the institution has a significant investment (negative amount)</t>
    </r>
  </si>
  <si>
    <r>
      <rPr>
        <sz val="9"/>
        <rFont val="Calibri"/>
        <family val="2"/>
      </rPr>
      <t>36 (1) (i) and 48 (1) (b)</t>
    </r>
  </si>
  <si>
    <r>
      <rPr>
        <sz val="9"/>
        <rFont val="Calibri"/>
        <family val="2"/>
      </rPr>
      <t>of which: deferred tax asset that is due to temporary differences (negative amount)</t>
    </r>
  </si>
  <si>
    <r>
      <rPr>
        <sz val="9"/>
        <rFont val="Calibri"/>
        <family val="2"/>
      </rPr>
      <t>25a</t>
    </r>
  </si>
  <si>
    <r>
      <rPr>
        <sz val="9"/>
        <rFont val="Calibri"/>
        <family val="2"/>
      </rPr>
      <t>Accumulated surplus in current accounting year (negative amount)</t>
    </r>
  </si>
  <si>
    <r>
      <rPr>
        <sz val="9"/>
        <rFont val="Calibri"/>
        <family val="2"/>
      </rPr>
      <t>36 (1) (a)</t>
    </r>
  </si>
  <si>
    <r>
      <rPr>
        <sz val="9"/>
        <rFont val="Calibri"/>
        <family val="2"/>
      </rPr>
      <t>25b</t>
    </r>
  </si>
  <si>
    <r>
      <rPr>
        <sz val="9"/>
        <rFont val="Calibri"/>
        <family val="2"/>
      </rPr>
      <t>Foreseeable tax related to common equity tier 1 capital items (negative amount)</t>
    </r>
  </si>
  <si>
    <r>
      <rPr>
        <sz val="9"/>
        <rFont val="Calibri"/>
        <family val="2"/>
      </rPr>
      <t>36 (1) (l)</t>
    </r>
  </si>
  <si>
    <r>
      <rPr>
        <sz val="9"/>
        <rFont val="Calibri"/>
        <family val="2"/>
      </rPr>
      <t>Adjustments in common equity tier 1 capital due to transitional rules</t>
    </r>
  </si>
  <si>
    <r>
      <rPr>
        <sz val="9"/>
        <rFont val="Calibri"/>
        <family val="2"/>
      </rPr>
      <t>Total 26a and 26b</t>
    </r>
  </si>
  <si>
    <r>
      <rPr>
        <sz val="9"/>
        <rFont val="Calibri"/>
        <family val="2"/>
      </rPr>
      <t>26a</t>
    </r>
  </si>
  <si>
    <r>
      <rPr>
        <sz val="9"/>
        <rFont val="Calibri"/>
        <family val="2"/>
      </rPr>
      <t>Transitional rules for regulatory filters related to unrealised gains and losses</t>
    </r>
  </si>
  <si>
    <r>
      <rPr>
        <sz val="9"/>
        <rFont val="Calibri"/>
        <family val="2"/>
      </rPr>
      <t>of which: filter for unrealised loss 1</t>
    </r>
  </si>
  <si>
    <r>
      <rPr>
        <sz val="9"/>
        <rFont val="Calibri"/>
        <family val="2"/>
      </rPr>
      <t>of which: filter for unrealised loss 2</t>
    </r>
  </si>
  <si>
    <r>
      <rPr>
        <sz val="9"/>
        <rFont val="Calibri"/>
        <family val="2"/>
      </rPr>
      <t>of which: filter for unrealised gain 1 (negative amount)</t>
    </r>
  </si>
  <si>
    <r>
      <rPr>
        <sz val="9"/>
        <rFont val="Calibri"/>
        <family val="2"/>
      </rPr>
      <t>of which: filter for unrealised gain 2 (negative amount)</t>
    </r>
  </si>
  <si>
    <r>
      <rPr>
        <sz val="9"/>
        <rFont val="Calibri"/>
        <family val="2"/>
      </rPr>
      <t>26b</t>
    </r>
  </si>
  <si>
    <r>
      <rPr>
        <sz val="9"/>
        <rFont val="Calibri"/>
        <family val="2"/>
      </rPr>
      <t>Amounts that must be deducted from or added to common equity tier 1 capital due to transitional rules for other filters and deductions</t>
    </r>
  </si>
  <si>
    <r>
      <rPr>
        <sz val="9"/>
        <rFont val="Calibri"/>
        <family val="2"/>
      </rPr>
      <t>of which:...</t>
    </r>
  </si>
  <si>
    <r>
      <rPr>
        <sz val="9"/>
        <rFont val="Calibri"/>
        <family val="2"/>
      </rPr>
      <t>Excess deduction in other approved tier 1 capital (negative amount)</t>
    </r>
  </si>
  <si>
    <r>
      <rPr>
        <sz val="9"/>
        <rFont val="Calibri"/>
        <family val="2"/>
      </rPr>
      <t>36 (1) (j)</t>
    </r>
  </si>
  <si>
    <r>
      <rPr>
        <b/>
        <sz val="9"/>
        <rFont val="Calibri"/>
        <family val="2"/>
      </rPr>
      <t>Total regulatory adjustments in common equity tier 1 capital</t>
    </r>
  </si>
  <si>
    <r>
      <rPr>
        <sz val="9"/>
        <rFont val="Calibri"/>
        <family val="2"/>
      </rPr>
      <t>Total row 7 to 20a, 21, 22, 25a, 25b, 26 and 27</t>
    </r>
  </si>
  <si>
    <r>
      <rPr>
        <b/>
        <sz val="9"/>
        <rFont val="Calibri"/>
        <family val="2"/>
      </rPr>
      <t>Common equity tier 1 capital</t>
    </r>
  </si>
  <si>
    <r>
      <rPr>
        <sz val="9"/>
        <rFont val="Calibri"/>
        <family val="2"/>
      </rPr>
      <t>Row 6 plus row 28 if the amount in row 28 is negative or minus</t>
    </r>
  </si>
  <si>
    <r>
      <rPr>
        <b/>
        <sz val="9"/>
        <rFont val="Calibri"/>
        <family val="2"/>
      </rPr>
      <t>Other approved tier 1 capital: Instruments</t>
    </r>
  </si>
  <si>
    <r>
      <rPr>
        <sz val="9"/>
        <rFont val="Calibri"/>
        <family val="2"/>
      </rPr>
      <t>51 and 52</t>
    </r>
  </si>
  <si>
    <r>
      <rPr>
        <sz val="9"/>
        <rFont val="Calibri"/>
        <family val="2"/>
      </rPr>
      <t>of which: classified as equity in accordance with current accounting standard</t>
    </r>
  </si>
  <si>
    <r>
      <rPr>
        <sz val="9"/>
        <rFont val="Calibri"/>
        <family val="2"/>
      </rPr>
      <t>of which: classified as liabilities in accordance with current accounting standard</t>
    </r>
  </si>
  <si>
    <r>
      <rPr>
        <sz val="9"/>
        <rFont val="Calibri"/>
        <family val="2"/>
      </rPr>
      <t>Tier 1 capital instruments capital covered by transitional rules</t>
    </r>
  </si>
  <si>
    <r>
      <rPr>
        <sz val="9"/>
        <rFont val="Calibri"/>
        <family val="2"/>
      </rPr>
      <t>486 (3) and (5)</t>
    </r>
  </si>
  <si>
    <r>
      <rPr>
        <sz val="9"/>
        <rFont val="Calibri"/>
        <family val="2"/>
      </rPr>
      <t>Government contributions of tier 1 capital instruments capital covered by transitional rules</t>
    </r>
  </si>
  <si>
    <r>
      <rPr>
        <sz val="9"/>
        <rFont val="Calibri"/>
        <family val="2"/>
      </rPr>
      <t>85 and 86</t>
    </r>
  </si>
  <si>
    <r>
      <rPr>
        <sz val="9"/>
        <rFont val="Calibri"/>
        <family val="2"/>
      </rPr>
      <t>of which: instruments covered by transitional rules</t>
    </r>
  </si>
  <si>
    <r>
      <rPr>
        <b/>
        <sz val="9"/>
        <rFont val="Calibri"/>
        <family val="2"/>
      </rPr>
      <t>Other approved common equity tier 1 capital before regulatory adjustments</t>
    </r>
  </si>
  <si>
    <r>
      <rPr>
        <sz val="9"/>
        <rFont val="Calibri"/>
        <family val="2"/>
      </rPr>
      <t>Total rows 30, 33 and 34</t>
    </r>
  </si>
  <si>
    <r>
      <rPr>
        <b/>
        <sz val="9"/>
        <rFont val="Calibri"/>
        <family val="2"/>
      </rPr>
      <t>Other approved tier 1 capital: Regulatory adjustments</t>
    </r>
  </si>
  <si>
    <r>
      <rPr>
        <sz val="9"/>
        <rFont val="Calibri"/>
        <family val="2"/>
      </rPr>
      <t>Direct, indirect and synthetic holdings of own tier 1 capital instruments capital (negative amount)</t>
    </r>
  </si>
  <si>
    <r>
      <rPr>
        <sz val="9"/>
        <rFont val="Calibri"/>
        <family val="2"/>
      </rPr>
      <t>52 (1) (b), 56 (a) and 57</t>
    </r>
  </si>
  <si>
    <r>
      <rPr>
        <sz val="9"/>
        <rFont val="Calibri"/>
        <family val="2"/>
      </rPr>
      <t>Holding of other approved tier 1 capital in another company in the financial sector, which has a mutual investment of primary capital (negative amount)</t>
    </r>
  </si>
  <si>
    <r>
      <rPr>
        <sz val="9"/>
        <rFont val="Calibri"/>
        <family val="2"/>
      </rPr>
      <t>56 (b) and 58</t>
    </r>
  </si>
  <si>
    <r>
      <rPr>
        <sz val="9"/>
        <rFont val="Calibri"/>
        <family val="2"/>
      </rPr>
      <t>Direct, indirect and synthetic holdings of tier 1 capital instruments capital in other companies in the financial sector in which the institution has no significant investment. Amount that exceeds the 10% threshold calculated after the deductions permitted for short positions (negative amount)</t>
    </r>
  </si>
  <si>
    <r>
      <rPr>
        <sz val="9"/>
        <rFont val="Calibri"/>
        <family val="2"/>
      </rPr>
      <t>56 (c), 59, 60 and 79</t>
    </r>
  </si>
  <si>
    <r>
      <rPr>
        <sz val="9"/>
        <rFont val="Calibri"/>
        <family val="2"/>
      </rPr>
      <t>Direct, indirect and synthetic holdings of tier 1 capital instruments capital in other companies in the financial sector in which the institution has significant investments. Amount calculated after the deductions permitted for short positions (negative amount)</t>
    </r>
  </si>
  <si>
    <r>
      <rPr>
        <sz val="9"/>
        <rFont val="Calibri"/>
        <family val="2"/>
      </rPr>
      <t>56 (d), 59 and 79</t>
    </r>
  </si>
  <si>
    <r>
      <rPr>
        <sz val="9"/>
        <rFont val="Calibri"/>
        <family val="2"/>
      </rPr>
      <t>Adjustments in other approved tier 1 capital due to transitional rules</t>
    </r>
  </si>
  <si>
    <r>
      <rPr>
        <sz val="9"/>
        <rFont val="Calibri"/>
        <family val="2"/>
      </rPr>
      <t>Total rows 41a, 41b and 41c</t>
    </r>
  </si>
  <si>
    <r>
      <rPr>
        <sz val="9"/>
        <rFont val="Calibri"/>
        <family val="2"/>
      </rPr>
      <t>41a</t>
    </r>
  </si>
  <si>
    <r>
      <rPr>
        <sz val="9"/>
        <rFont val="Calibri"/>
        <family val="2"/>
      </rPr>
      <t>Deductions that must be made in other approved tier 1 capital, instead of common equity tier 1 capital, due to transitional rules (negative amount)</t>
    </r>
  </si>
  <si>
    <r>
      <rPr>
        <sz val="9"/>
        <rFont val="Calibri"/>
        <family val="2"/>
      </rPr>
      <t>469 (1) (b) and 472 (10) (a)</t>
    </r>
  </si>
  <si>
    <r>
      <rPr>
        <sz val="9"/>
        <rFont val="Calibri"/>
        <family val="2"/>
      </rPr>
      <t>of which: specify the individual items line by line</t>
    </r>
  </si>
  <si>
    <r>
      <rPr>
        <sz val="9"/>
        <rFont val="Calibri"/>
        <family val="2"/>
      </rPr>
      <t>41b</t>
    </r>
  </si>
  <si>
    <r>
      <rPr>
        <sz val="9"/>
        <rFont val="Calibri"/>
        <family val="2"/>
      </rPr>
      <t>Deductions that must be made in other approved tier 1 capital, instead of tier 2 capital, due to transitional rules (negative amount)</t>
    </r>
  </si>
  <si>
    <r>
      <rPr>
        <sz val="9"/>
        <rFont val="Calibri"/>
        <family val="2"/>
      </rPr>
      <t>41c</t>
    </r>
  </si>
  <si>
    <r>
      <rPr>
        <sz val="9"/>
        <rFont val="Calibri"/>
        <family val="2"/>
      </rPr>
      <t>Amounts that must be deducted from or added to other approved tier 1 capital due to transitional rules for other filters and deductions</t>
    </r>
  </si>
  <si>
    <r>
      <rPr>
        <sz val="9"/>
        <rFont val="Calibri"/>
        <family val="2"/>
      </rPr>
      <t>of which: filter for unrealised loss</t>
    </r>
  </si>
  <si>
    <r>
      <rPr>
        <sz val="9"/>
        <rFont val="Calibri"/>
        <family val="2"/>
      </rPr>
      <t>of which: filter for unrealised gain (negative amount)</t>
    </r>
  </si>
  <si>
    <r>
      <rPr>
        <sz val="9"/>
        <rFont val="Calibri"/>
        <family val="2"/>
      </rPr>
      <t>Excess deductions in tier 2 capital (negative amount)</t>
    </r>
  </si>
  <si>
    <r>
      <rPr>
        <sz val="9"/>
        <rFont val="Calibri"/>
        <family val="2"/>
      </rPr>
      <t>56 (e)</t>
    </r>
  </si>
  <si>
    <r>
      <rPr>
        <b/>
        <sz val="9"/>
        <rFont val="Calibri"/>
        <family val="2"/>
      </rPr>
      <t>Total regulatory adjustments in other approved tier 1 capital</t>
    </r>
  </si>
  <si>
    <r>
      <rPr>
        <sz val="9"/>
        <rFont val="Calibri"/>
        <family val="2"/>
      </rPr>
      <t>Total row 37 to 41 and row 42</t>
    </r>
  </si>
  <si>
    <r>
      <rPr>
        <b/>
        <sz val="9"/>
        <rFont val="Calibri"/>
        <family val="2"/>
      </rPr>
      <t>Other approved tier 1 capital</t>
    </r>
  </si>
  <si>
    <r>
      <rPr>
        <sz val="9"/>
        <rFont val="Calibri"/>
        <family val="2"/>
      </rPr>
      <t>Row 36 plus row 43. Provides deductions because the amount in row 43 is negative</t>
    </r>
  </si>
  <si>
    <r>
      <rPr>
        <b/>
        <sz val="9"/>
        <rFont val="Calibri"/>
        <family val="2"/>
      </rPr>
      <t>Tier 1 capital</t>
    </r>
  </si>
  <si>
    <r>
      <rPr>
        <sz val="9"/>
        <rFont val="Calibri"/>
        <family val="2"/>
      </rPr>
      <t>Total row 29 and row 44</t>
    </r>
  </si>
  <si>
    <r>
      <rPr>
        <b/>
        <sz val="9"/>
        <rFont val="Calibri"/>
        <family val="2"/>
      </rPr>
      <t>Tier 2 capital: Instruments and provisions</t>
    </r>
  </si>
  <si>
    <r>
      <rPr>
        <sz val="9"/>
        <rFont val="Calibri"/>
        <family val="2"/>
      </rPr>
      <t>62 and 63</t>
    </r>
  </si>
  <si>
    <r>
      <rPr>
        <sz val="9"/>
        <rFont val="Calibri"/>
        <family val="2"/>
      </rPr>
      <t>Tier 2 capital covered by transitional rules</t>
    </r>
  </si>
  <si>
    <r>
      <rPr>
        <sz val="9"/>
        <rFont val="Calibri"/>
        <family val="2"/>
      </rPr>
      <t>486 (4) and (5)</t>
    </r>
  </si>
  <si>
    <r>
      <rPr>
        <sz val="9"/>
        <rFont val="Calibri"/>
        <family val="2"/>
      </rPr>
      <t>Government contributions of tier 2 capital covered by transitional rules</t>
    </r>
  </si>
  <si>
    <r>
      <rPr>
        <sz val="9"/>
        <rFont val="Calibri"/>
        <family val="2"/>
      </rPr>
      <t>Subordinated loan capital issued by subsidiaries to third parties that can be included in tier 2 capital</t>
    </r>
  </si>
  <si>
    <r>
      <rPr>
        <sz val="9"/>
        <rFont val="Calibri"/>
        <family val="2"/>
      </rPr>
      <t>87 and 88</t>
    </r>
  </si>
  <si>
    <r>
      <rPr>
        <sz val="9"/>
        <rFont val="Calibri"/>
        <family val="2"/>
      </rPr>
      <t>The numerical value of negative values of adjusted expected loss</t>
    </r>
  </si>
  <si>
    <r>
      <rPr>
        <sz val="9"/>
        <rFont val="Calibri"/>
        <family val="2"/>
      </rPr>
      <t>62 (c) and S(d)</t>
    </r>
  </si>
  <si>
    <r>
      <rPr>
        <b/>
        <sz val="9"/>
        <rFont val="Calibri"/>
        <family val="2"/>
      </rPr>
      <t>Tier 2 capital before regulatory adjustments</t>
    </r>
  </si>
  <si>
    <r>
      <rPr>
        <sz val="9"/>
        <rFont val="Calibri"/>
        <family val="2"/>
      </rPr>
      <t>Total row 46 to 48 and row 50</t>
    </r>
  </si>
  <si>
    <r>
      <rPr>
        <b/>
        <sz val="9"/>
        <rFont val="Calibri"/>
        <family val="2"/>
      </rPr>
      <t>Tier 2 capital: Regulatory adjustments</t>
    </r>
  </si>
  <si>
    <r>
      <rPr>
        <sz val="9"/>
        <rFont val="Calibri"/>
        <family val="2"/>
      </rPr>
      <t>Direct, indirect and synthetic holdings of own subordinated loan capital (negative amount)</t>
    </r>
  </si>
  <si>
    <r>
      <rPr>
        <sz val="9"/>
        <rFont val="Calibri"/>
        <family val="2"/>
      </rPr>
      <t>63 (b) (i), 66 (a) and 67</t>
    </r>
  </si>
  <si>
    <r>
      <rPr>
        <sz val="9"/>
        <rFont val="Calibri"/>
        <family val="2"/>
      </rPr>
      <t>Holding of tier 2 capital in another company in the financial sector, which has a mutual investment of primary capital (negative amount)</t>
    </r>
  </si>
  <si>
    <r>
      <rPr>
        <sz val="9"/>
        <rFont val="Calibri"/>
        <family val="2"/>
      </rPr>
      <t>66 (b) and 68</t>
    </r>
  </si>
  <si>
    <r>
      <rPr>
        <sz val="9"/>
        <rFont val="Calibri"/>
        <family val="2"/>
      </rPr>
      <t>Direct, indirect and synthetic holdings of subordinated loan capital in other companies in the financial sector in which the institution has no significant investment. Amount that exceeds the 10% threshold calculated after the deductions permitted for short positions (negative amount)</t>
    </r>
  </si>
  <si>
    <r>
      <rPr>
        <sz val="9"/>
        <rFont val="Calibri"/>
        <family val="2"/>
      </rPr>
      <t>66 (c), 69, 70 and 79</t>
    </r>
  </si>
  <si>
    <r>
      <rPr>
        <sz val="9"/>
        <rFont val="Calibri"/>
        <family val="2"/>
      </rPr>
      <t>54a</t>
    </r>
  </si>
  <si>
    <r>
      <rPr>
        <sz val="9"/>
        <rFont val="Calibri"/>
        <family val="2"/>
      </rPr>
      <t>of which: new holdings are not covered by transitional rules</t>
    </r>
  </si>
  <si>
    <r>
      <rPr>
        <sz val="9"/>
        <rFont val="Calibri"/>
        <family val="2"/>
      </rPr>
      <t>54b</t>
    </r>
  </si>
  <si>
    <r>
      <rPr>
        <sz val="9"/>
        <rFont val="Calibri"/>
        <family val="2"/>
      </rPr>
      <t>of which: holdings from before 1 January 2013 covered by transitional rules</t>
    </r>
  </si>
  <si>
    <r>
      <rPr>
        <sz val="9"/>
        <rFont val="Calibri"/>
        <family val="2"/>
      </rPr>
      <t>Direct, indirect and synthetic holdings of subordinated loan capital in other companies in the financial sector in which the institution has significant investments. Amount calculated after the deductions permitted for short positions (negative amount)</t>
    </r>
  </si>
  <si>
    <r>
      <rPr>
        <sz val="9"/>
        <rFont val="Calibri"/>
        <family val="2"/>
      </rPr>
      <t>66 (d), 69 and 79</t>
    </r>
  </si>
  <si>
    <r>
      <rPr>
        <sz val="9"/>
        <rFont val="Calibri"/>
        <family val="2"/>
      </rPr>
      <t>Adjustments in tier 2 capital due to transitional rules (negative amount)</t>
    </r>
  </si>
  <si>
    <r>
      <rPr>
        <sz val="9"/>
        <rFont val="Calibri"/>
        <family val="2"/>
      </rPr>
      <t>Total row 56a, 56b and 56c</t>
    </r>
  </si>
  <si>
    <r>
      <rPr>
        <sz val="9"/>
        <rFont val="Calibri"/>
        <family val="2"/>
      </rPr>
      <t>56a</t>
    </r>
  </si>
  <si>
    <r>
      <rPr>
        <sz val="9"/>
        <rFont val="Calibri"/>
        <family val="2"/>
      </rPr>
      <t>Deductions that must be made in tier 2 capital, instead of common equity tier 1 capital, due to transitional rules (negative amount)</t>
    </r>
  </si>
  <si>
    <r>
      <rPr>
        <sz val="9"/>
        <rFont val="Calibri"/>
        <family val="2"/>
      </rPr>
      <t>56b</t>
    </r>
  </si>
  <si>
    <r>
      <rPr>
        <sz val="9"/>
        <rFont val="Calibri"/>
        <family val="2"/>
      </rPr>
      <t>Deductions that must be made in tier 2 capital, instead of other approved tier 1 capital, due to transitional rules (negative amount)</t>
    </r>
  </si>
  <si>
    <r>
      <rPr>
        <sz val="9"/>
        <rFont val="Calibri"/>
        <family val="2"/>
      </rPr>
      <t>56c</t>
    </r>
  </si>
  <si>
    <r>
      <rPr>
        <sz val="9"/>
        <rFont val="Calibri"/>
        <family val="2"/>
      </rPr>
      <t>Amounts that must be deducted from or added to tier 2 capital due to transitional rules for other filters and deductions</t>
    </r>
  </si>
  <si>
    <r>
      <rPr>
        <sz val="9"/>
        <rFont val="Calibri"/>
        <family val="2"/>
      </rPr>
      <t>of which: filter for unrealised gain</t>
    </r>
  </si>
  <si>
    <r>
      <rPr>
        <b/>
        <sz val="9"/>
        <rFont val="Calibri"/>
        <family val="2"/>
      </rPr>
      <t>Total regulatory adjustments in tier 2 capital</t>
    </r>
  </si>
  <si>
    <r>
      <rPr>
        <sz val="9"/>
        <rFont val="Calibri"/>
        <family val="2"/>
      </rPr>
      <t>Total row 52 to 54, rows 55 and 56</t>
    </r>
  </si>
  <si>
    <r>
      <rPr>
        <b/>
        <sz val="9"/>
        <rFont val="Calibri"/>
        <family val="2"/>
      </rPr>
      <t>Tier 2 capital</t>
    </r>
  </si>
  <si>
    <r>
      <rPr>
        <sz val="9"/>
        <rFont val="Calibri"/>
        <family val="2"/>
      </rPr>
      <t>Row 51 plus row 57 if the amount in row 57 is negative or minus</t>
    </r>
  </si>
  <si>
    <r>
      <rPr>
        <b/>
        <sz val="9"/>
        <rFont val="Calibri"/>
        <family val="2"/>
      </rPr>
      <t>Primary capital</t>
    </r>
  </si>
  <si>
    <r>
      <rPr>
        <sz val="9"/>
        <rFont val="Calibri"/>
        <family val="2"/>
      </rPr>
      <t>Total row 45 and row 58</t>
    </r>
  </si>
  <si>
    <r>
      <rPr>
        <sz val="9"/>
        <rFont val="Calibri"/>
        <family val="2"/>
      </rPr>
      <t>59a</t>
    </r>
  </si>
  <si>
    <r>
      <rPr>
        <sz val="9"/>
        <rFont val="Calibri"/>
        <family val="2"/>
      </rPr>
      <t>Increase in basis for calculation due to transitional rules</t>
    </r>
  </si>
  <si>
    <r>
      <rPr>
        <sz val="9"/>
        <rFont val="Calibri"/>
        <family val="2"/>
      </rPr>
      <t>472 (10) (b)</t>
    </r>
  </si>
  <si>
    <r>
      <rPr>
        <sz val="9"/>
        <rFont val="Calibri"/>
        <family val="2"/>
      </rPr>
      <t>of which: amount that is not deducted from common equity tier 1 capital</t>
    </r>
  </si>
  <si>
    <r>
      <rPr>
        <sz val="9"/>
        <rFont val="Calibri"/>
        <family val="2"/>
      </rPr>
      <t>469 (1) (b)</t>
    </r>
  </si>
  <si>
    <r>
      <rPr>
        <sz val="9"/>
        <rFont val="Calibri"/>
        <family val="2"/>
      </rPr>
      <t>of which: amount that is not deducted from other approved tier 1 capital</t>
    </r>
  </si>
  <si>
    <r>
      <rPr>
        <sz val="9"/>
        <rFont val="Calibri"/>
        <family val="2"/>
      </rPr>
      <t>of which: amount that is not deducted from tier 2 capital</t>
    </r>
  </si>
  <si>
    <r>
      <rPr>
        <b/>
        <sz val="9"/>
        <rFont val="Calibri"/>
        <family val="2"/>
      </rPr>
      <t>Basis for calculation</t>
    </r>
  </si>
  <si>
    <r>
      <rPr>
        <b/>
        <sz val="9"/>
        <rFont val="Calibri"/>
        <family val="2"/>
      </rPr>
      <t>Capital ratio and buffers</t>
    </r>
  </si>
  <si>
    <r>
      <rPr>
        <b/>
        <sz val="9"/>
        <rFont val="Calibri"/>
        <family val="2"/>
      </rPr>
      <t>Common equity tier 1 capital ratio</t>
    </r>
  </si>
  <si>
    <r>
      <rPr>
        <sz val="9"/>
        <rFont val="Calibri"/>
        <family val="2"/>
      </rPr>
      <t>92 (2) (a)</t>
    </r>
  </si>
  <si>
    <r>
      <rPr>
        <b/>
        <sz val="9"/>
        <rFont val="Calibri"/>
        <family val="2"/>
      </rPr>
      <t>Tier 1 capital ratio</t>
    </r>
  </si>
  <si>
    <r>
      <rPr>
        <sz val="9"/>
        <rFont val="Calibri"/>
        <family val="2"/>
      </rPr>
      <t>92 (2) (b)</t>
    </r>
  </si>
  <si>
    <r>
      <rPr>
        <b/>
        <sz val="9"/>
        <rFont val="Calibri"/>
        <family val="2"/>
      </rPr>
      <t>Capital ratio</t>
    </r>
  </si>
  <si>
    <r>
      <rPr>
        <sz val="9"/>
        <rFont val="Calibri"/>
        <family val="2"/>
      </rPr>
      <t>92 (2) (c)</t>
    </r>
  </si>
  <si>
    <r>
      <rPr>
        <b/>
        <sz val="9"/>
        <rFont val="Calibri"/>
        <family val="2"/>
      </rPr>
      <t>Combined buffer requirement as a percentage of basis for calculation</t>
    </r>
  </si>
  <si>
    <r>
      <rPr>
        <sz val="9"/>
        <rFont val="Calibri"/>
        <family val="2"/>
      </rPr>
      <t>CRD 128, 129, 130, 131 and 133</t>
    </r>
  </si>
  <si>
    <r>
      <rPr>
        <b/>
        <sz val="9"/>
        <rFont val="Calibri"/>
        <family val="2"/>
      </rPr>
      <t>of which: capital conservation buffer</t>
    </r>
  </si>
  <si>
    <r>
      <rPr>
        <b/>
        <sz val="9"/>
        <rFont val="Calibri"/>
        <family val="2"/>
      </rPr>
      <t>of which: countercyclical buffer</t>
    </r>
  </si>
  <si>
    <r>
      <rPr>
        <b/>
        <sz val="9"/>
        <rFont val="Calibri"/>
        <family val="2"/>
      </rPr>
      <t>of which: system risk buffer</t>
    </r>
  </si>
  <si>
    <r>
      <rPr>
        <sz val="9"/>
        <rFont val="Calibri"/>
        <family val="2"/>
      </rPr>
      <t>67a</t>
    </r>
  </si>
  <si>
    <r>
      <rPr>
        <b/>
        <sz val="9"/>
        <rFont val="Calibri"/>
        <family val="2"/>
      </rPr>
      <t>of which: buffer for other systemically important institutions (O-SII buffer)</t>
    </r>
  </si>
  <si>
    <r>
      <rPr>
        <sz val="9"/>
        <rFont val="Calibri"/>
        <family val="2"/>
      </rPr>
      <t>CRD 131</t>
    </r>
  </si>
  <si>
    <r>
      <rPr>
        <b/>
        <sz val="9"/>
        <rFont val="Calibri"/>
        <family val="2"/>
      </rPr>
      <t>Common equity tier 1 capital for fulfilment of buffer requirements</t>
    </r>
  </si>
  <si>
    <r>
      <rPr>
        <sz val="9"/>
        <rFont val="Calibri"/>
        <family val="2"/>
      </rPr>
      <t>CRD 128</t>
    </r>
  </si>
  <si>
    <r>
      <rPr>
        <b/>
        <sz val="9"/>
        <rFont val="Calibri"/>
        <family val="2"/>
      </rPr>
      <t>Not relevant pursuant to EEA rules</t>
    </r>
  </si>
  <si>
    <r>
      <rPr>
        <sz val="9"/>
        <rFont val="Calibri"/>
        <family val="2"/>
      </rPr>
      <t>Holdings of primary capital in other companies in the financial sector in which the institution has no significant investments, which combined are under the 10% threshold. Amount calculated after the deductions permitted for short positions</t>
    </r>
  </si>
  <si>
    <r>
      <rPr>
        <sz val="9"/>
        <rFont val="Calibri"/>
        <family val="2"/>
      </rPr>
      <t>36 (1) (h), 45, 46, 472 (10), 56 (c), 59, 60, 66 (c), 69 and 70</t>
    </r>
  </si>
  <si>
    <r>
      <rPr>
        <sz val="9"/>
        <rFont val="Calibri"/>
        <family val="2"/>
      </rPr>
      <t>Holdings of pure capital in other companies in the financial sector in which the institution has significant investments, which combined are under the 10% threshold. Amount calculated after the deductions permitted for short positions</t>
    </r>
  </si>
  <si>
    <r>
      <rPr>
        <sz val="9"/>
        <rFont val="Calibri"/>
        <family val="2"/>
      </rPr>
      <t>36 (1) (i), 45 and 48</t>
    </r>
  </si>
  <si>
    <r>
      <rPr>
        <sz val="9"/>
        <rFont val="Calibri"/>
        <family val="2"/>
      </rPr>
      <t>Deferred tax asset due to temporary differences reduced by deferred tax that can be offset, which is under the 10% threshold.</t>
    </r>
  </si>
  <si>
    <r>
      <rPr>
        <sz val="9"/>
        <rFont val="Calibri"/>
        <family val="2"/>
      </rPr>
      <t>36 (1) (c), 38 and 48</t>
    </r>
  </si>
  <si>
    <r>
      <rPr>
        <b/>
        <sz val="9"/>
        <rFont val="Calibri"/>
        <family val="2"/>
      </rPr>
      <t>Limits for inclusion of provisions in tier 2 capital</t>
    </r>
  </si>
  <si>
    <r>
      <rPr>
        <sz val="9"/>
        <rFont val="Calibri"/>
        <family val="2"/>
      </rPr>
      <t>General credit reserves</t>
    </r>
  </si>
  <si>
    <r>
      <rPr>
        <sz val="9"/>
        <rFont val="Calibri"/>
        <family val="2"/>
      </rPr>
      <t>Limit for inclusion of general credit risk reserves in tier 2 capital</t>
    </r>
  </si>
  <si>
    <r>
      <rPr>
        <sz val="9"/>
        <rFont val="Calibri"/>
        <family val="2"/>
      </rPr>
      <t>Limit for inclusion in tier 2 capital of excess accounting write-downs</t>
    </r>
  </si>
  <si>
    <r>
      <rPr>
        <b/>
        <sz val="9"/>
        <rFont val="Calibri"/>
        <family val="2"/>
      </rPr>
      <t>Capital instruments covered by transitional rules</t>
    </r>
  </si>
  <si>
    <r>
      <rPr>
        <sz val="9"/>
        <rFont val="Calibri"/>
        <family val="2"/>
      </rPr>
      <t>Limit for inclusion of common equity tier 1 instruments covered by transitional rules</t>
    </r>
  </si>
  <si>
    <r>
      <rPr>
        <sz val="9"/>
        <rFont val="Calibri"/>
        <family val="2"/>
      </rPr>
      <t>484 (3) and 486 (2) and (5)</t>
    </r>
  </si>
  <si>
    <r>
      <rPr>
        <sz val="9"/>
        <rFont val="Calibri"/>
        <family val="2"/>
      </rPr>
      <t>Excess common equity tier 1 capital covered by transitional rules</t>
    </r>
  </si>
  <si>
    <r>
      <rPr>
        <sz val="9"/>
        <rFont val="Calibri"/>
        <family val="2"/>
      </rPr>
      <t>Limit for inclusion of tier 1 capital instruments capital covered by transitional rules</t>
    </r>
  </si>
  <si>
    <r>
      <rPr>
        <sz val="9"/>
        <rFont val="Calibri"/>
        <family val="2"/>
      </rPr>
      <t>484 (4) and 486 (3) and (5)</t>
    </r>
  </si>
  <si>
    <r>
      <rPr>
        <sz val="9"/>
        <rFont val="Calibri"/>
        <family val="2"/>
      </rPr>
      <t>Excess tier 1 capital instruments capital covered by transitional rules</t>
    </r>
  </si>
  <si>
    <r>
      <rPr>
        <sz val="9"/>
        <rFont val="Calibri"/>
        <family val="2"/>
      </rPr>
      <t>Limit for inclusion of subordinated loan capital covered by transitional rules</t>
    </r>
  </si>
  <si>
    <r>
      <rPr>
        <sz val="9"/>
        <rFont val="Calibri"/>
        <family val="2"/>
      </rPr>
      <t>484 (5) and 486 (4) and (5)</t>
    </r>
  </si>
  <si>
    <r>
      <rPr>
        <sz val="9"/>
        <rFont val="Calibri"/>
        <family val="2"/>
      </rPr>
      <t>Excess subordinated loan capital covered by transitional rules</t>
    </r>
  </si>
  <si>
    <t>Composition of primary capital for the period 2014-2017</t>
  </si>
  <si>
    <t xml:space="preserve"> </t>
  </si>
  <si>
    <r>
      <rPr>
        <b/>
        <i/>
        <sz val="9"/>
        <rFont val="Calibri"/>
        <family val="2"/>
      </rPr>
      <t>Issuer</t>
    </r>
  </si>
  <si>
    <r>
      <rPr>
        <b/>
        <sz val="9"/>
        <rFont val="Calibri"/>
        <family val="2"/>
      </rPr>
      <t>SpareBank 1 SR-Bank ASA</t>
    </r>
  </si>
  <si>
    <r>
      <rPr>
        <b/>
        <sz val="9"/>
        <rFont val="Calibri"/>
        <family val="2"/>
      </rPr>
      <t>BN Bank ASA</t>
    </r>
  </si>
  <si>
    <r>
      <rPr>
        <b/>
        <sz val="9"/>
        <rFont val="Calibri"/>
        <family val="2"/>
      </rPr>
      <t>SpareBank 1 Boligkreditt</t>
    </r>
  </si>
  <si>
    <r>
      <rPr>
        <b/>
        <sz val="9"/>
        <rFont val="Calibri"/>
        <family val="2"/>
      </rPr>
      <t>SpareBank 1 Næringskreditt</t>
    </r>
  </si>
  <si>
    <r>
      <rPr>
        <sz val="9"/>
        <rFont val="Calibri"/>
        <family val="2"/>
      </rPr>
      <t>Unique identification code (e.g. CUSIP, ISIN or Bloomberg's identification code for private placements)</t>
    </r>
  </si>
  <si>
    <r>
      <rPr>
        <sz val="9"/>
        <rFont val="Calibri"/>
        <family val="2"/>
      </rPr>
      <t>NO0010713746</t>
    </r>
  </si>
  <si>
    <r>
      <rPr>
        <sz val="9"/>
        <rFont val="Calibri"/>
        <family val="2"/>
      </rPr>
      <t>NO0010694078</t>
    </r>
  </si>
  <si>
    <r>
      <rPr>
        <sz val="9"/>
        <rFont val="Calibri"/>
        <family val="2"/>
      </rPr>
      <t>NO0010694086</t>
    </r>
  </si>
  <si>
    <r>
      <rPr>
        <sz val="9"/>
        <rFont val="Calibri"/>
        <family val="2"/>
      </rPr>
      <t>Current legislation regarding the instrument</t>
    </r>
  </si>
  <si>
    <r>
      <rPr>
        <sz val="9"/>
        <rFont val="Calibri"/>
        <family val="2"/>
      </rPr>
      <t>Norway</t>
    </r>
  </si>
  <si>
    <r>
      <rPr>
        <b/>
        <i/>
        <sz val="9"/>
        <rFont val="Calibri"/>
        <family val="2"/>
      </rPr>
      <t>Treatment according to the capital regulations</t>
    </r>
  </si>
  <si>
    <r>
      <rPr>
        <sz val="9"/>
        <rFont val="Calibri"/>
        <family val="2"/>
      </rPr>
      <t>Rules that apply in the transitional period</t>
    </r>
  </si>
  <si>
    <r>
      <rPr>
        <sz val="9"/>
        <rFont val="Calibri"/>
        <family val="2"/>
      </rPr>
      <t xml:space="preserve"> Tier 1</t>
    </r>
  </si>
  <si>
    <r>
      <rPr>
        <sz val="9"/>
        <rFont val="Calibri"/>
        <family val="2"/>
      </rPr>
      <t>Tier 2</t>
    </r>
  </si>
  <si>
    <r>
      <rPr>
        <sz val="9"/>
        <rFont val="Calibri"/>
        <family val="2"/>
      </rPr>
      <t>Tier 1</t>
    </r>
  </si>
  <si>
    <r>
      <rPr>
        <sz val="9"/>
        <rFont val="Calibri"/>
        <family val="2"/>
      </rPr>
      <t>Rules that apply after the transitional period</t>
    </r>
  </si>
  <si>
    <r>
      <rPr>
        <sz val="9"/>
        <rFont val="Calibri"/>
        <family val="2"/>
      </rPr>
      <t>Not qualified</t>
    </r>
  </si>
  <si>
    <r>
      <rPr>
        <sz val="9"/>
        <rFont val="Calibri"/>
        <family val="2"/>
      </rPr>
      <t>Inclusion on company or (partly) consolidated level, company and (partly) consolidated level</t>
    </r>
  </si>
  <si>
    <r>
      <rPr>
        <sz val="9"/>
        <rFont val="Calibri"/>
        <family val="2"/>
      </rPr>
      <t>Company and group</t>
    </r>
  </si>
  <si>
    <r>
      <rPr>
        <sz val="9"/>
        <rFont val="Calibri"/>
        <family val="2"/>
      </rPr>
      <t>Partly consolidated level</t>
    </r>
  </si>
  <si>
    <r>
      <rPr>
        <sz val="9"/>
        <rFont val="Calibri"/>
        <family val="2"/>
      </rPr>
      <t>Instrument type (types must be specified for each jurisdiction)</t>
    </r>
  </si>
  <si>
    <r>
      <rPr>
        <sz val="9"/>
        <rFont val="Calibri"/>
        <family val="2"/>
      </rPr>
      <t>Tier 1 capital instruments</t>
    </r>
  </si>
  <si>
    <r>
      <rPr>
        <sz val="9"/>
        <rFont val="Calibri"/>
        <family val="2"/>
      </rPr>
      <t>Subordinated loans</t>
    </r>
  </si>
  <si>
    <r>
      <rPr>
        <sz val="9"/>
        <rFont val="Calibri"/>
        <family val="2"/>
      </rPr>
      <t>Amounts included in primary capital (in million NOK from latest reporting date)</t>
    </r>
  </si>
  <si>
    <r>
      <rPr>
        <sz val="9"/>
        <rFont val="Calibri"/>
        <family val="2"/>
      </rPr>
      <t>NOK 116 million</t>
    </r>
  </si>
  <si>
    <r>
      <rPr>
        <sz val="9"/>
        <rFont val="Calibri"/>
        <family val="2"/>
      </rPr>
      <t>NOK 499 million</t>
    </r>
  </si>
  <si>
    <r>
      <rPr>
        <sz val="9"/>
        <rFont val="Calibri"/>
        <family val="2"/>
      </rPr>
      <t>Instrument's nominal value</t>
    </r>
  </si>
  <si>
    <r>
      <rPr>
        <sz val="9"/>
        <rFont val="Calibri"/>
        <family val="2"/>
      </rPr>
      <t>NOK 684 million</t>
    </r>
  </si>
  <si>
    <r>
      <rPr>
        <sz val="9"/>
        <rFont val="Calibri"/>
        <family val="2"/>
      </rPr>
      <t>NOK 500 million</t>
    </r>
  </si>
  <si>
    <r>
      <rPr>
        <sz val="9"/>
        <rFont val="Calibri"/>
        <family val="2"/>
      </rPr>
      <t>9a</t>
    </r>
  </si>
  <si>
    <r>
      <rPr>
        <sz val="9"/>
        <rFont val="Calibri"/>
        <family val="2"/>
      </rPr>
      <t>Issue price</t>
    </r>
  </si>
  <si>
    <r>
      <rPr>
        <sz val="9"/>
        <rFont val="Calibri"/>
        <family val="2"/>
      </rPr>
      <t>100 per cent</t>
    </r>
  </si>
  <si>
    <r>
      <rPr>
        <sz val="9"/>
        <rFont val="Calibri"/>
        <family val="2"/>
      </rPr>
      <t>9b</t>
    </r>
  </si>
  <si>
    <r>
      <rPr>
        <sz val="9"/>
        <rFont val="Calibri"/>
        <family val="2"/>
      </rPr>
      <t>Redemption price</t>
    </r>
  </si>
  <si>
    <r>
      <rPr>
        <sz val="9"/>
        <rFont val="Calibri"/>
        <family val="2"/>
      </rPr>
      <t>100 per cent of nominal amount</t>
    </r>
  </si>
  <si>
    <r>
      <rPr>
        <sz val="9"/>
        <rFont val="Calibri"/>
        <family val="2"/>
      </rPr>
      <t>Accounting classification</t>
    </r>
  </si>
  <si>
    <r>
      <rPr>
        <sz val="9"/>
        <rFont val="Calibri"/>
        <family val="2"/>
      </rPr>
      <t>Liability - amortised cost</t>
    </r>
  </si>
  <si>
    <r>
      <rPr>
        <sz val="9"/>
        <rFont val="Calibri"/>
        <family val="2"/>
      </rPr>
      <t>Liabilities-amortised cost</t>
    </r>
  </si>
  <si>
    <r>
      <rPr>
        <sz val="9"/>
        <rFont val="Calibri"/>
        <family val="2"/>
      </rPr>
      <t>Original date of issue</t>
    </r>
  </si>
  <si>
    <r>
      <rPr>
        <sz val="9"/>
        <rFont val="Calibri"/>
        <family val="2"/>
      </rPr>
      <t>Perpetual or non-perpetual</t>
    </r>
  </si>
  <si>
    <r>
      <rPr>
        <sz val="9"/>
        <rFont val="Calibri"/>
        <family val="2"/>
      </rPr>
      <t>Perpetual</t>
    </r>
  </si>
  <si>
    <r>
      <rPr>
        <sz val="9"/>
        <rFont val="Calibri"/>
        <family val="2"/>
      </rPr>
      <t>Non-perpetual</t>
    </r>
  </si>
  <si>
    <r>
      <rPr>
        <sz val="9"/>
        <rFont val="Calibri"/>
        <family val="2"/>
      </rPr>
      <t>Original due date</t>
    </r>
  </si>
  <si>
    <r>
      <rPr>
        <sz val="9"/>
        <rFont val="Calibri"/>
        <family val="2"/>
      </rPr>
      <t>No due date</t>
    </r>
  </si>
  <si>
    <r>
      <rPr>
        <sz val="9"/>
        <rFont val="Calibri"/>
        <family val="2"/>
      </rPr>
      <t>Right of redemption for issuer assuming consent from the Financial Supervisory Authority of Norway</t>
    </r>
  </si>
  <si>
    <r>
      <rPr>
        <sz val="9"/>
        <rFont val="Calibri"/>
        <family val="2"/>
      </rPr>
      <t>yes</t>
    </r>
  </si>
  <si>
    <r>
      <rPr>
        <sz val="9"/>
        <rFont val="Calibri"/>
        <family val="2"/>
      </rPr>
      <t>Date of right of redemption, any contingent right of redemption and redemption amount</t>
    </r>
  </si>
  <si>
    <r>
      <rPr>
        <sz val="9"/>
        <rFont val="Calibri"/>
        <family val="2"/>
      </rPr>
      <t>Dates for any subsequent right of redemption</t>
    </r>
  </si>
  <si>
    <r>
      <rPr>
        <sz val="9"/>
        <rFont val="Calibri"/>
        <family val="2"/>
      </rPr>
      <t>Annually every 9 December</t>
    </r>
  </si>
  <si>
    <r>
      <rPr>
        <sz val="9"/>
        <rFont val="Calibri"/>
        <family val="2"/>
      </rPr>
      <t>Quarterly on the instalment date</t>
    </r>
  </si>
  <si>
    <r>
      <rPr>
        <sz val="9"/>
        <rFont val="Calibri"/>
        <family val="2"/>
      </rPr>
      <t>Quarterly following</t>
    </r>
  </si>
  <si>
    <r>
      <rPr>
        <b/>
        <i/>
        <sz val="9"/>
        <rFont val="Calibri"/>
        <family val="2"/>
      </rPr>
      <t>Interest rate/dividend</t>
    </r>
  </si>
  <si>
    <r>
      <rPr>
        <sz val="9"/>
        <rFont val="Calibri"/>
        <family val="2"/>
      </rPr>
      <t>Fixed or variable interest rate/dividend</t>
    </r>
  </si>
  <si>
    <r>
      <rPr>
        <sz val="9"/>
        <rFont val="Calibri"/>
        <family val="2"/>
      </rPr>
      <t>Fixed to variable</t>
    </r>
  </si>
  <si>
    <r>
      <rPr>
        <sz val="9"/>
        <rFont val="Calibri"/>
        <family val="2"/>
      </rPr>
      <t>Variable</t>
    </r>
  </si>
  <si>
    <r>
      <rPr>
        <sz val="9"/>
        <rFont val="Calibri"/>
        <family val="2"/>
      </rPr>
      <t>Var</t>
    </r>
  </si>
  <si>
    <r>
      <rPr>
        <sz val="9"/>
        <rFont val="Calibri"/>
        <family val="2"/>
      </rPr>
      <t>Interest rates and any associated reference rates</t>
    </r>
  </si>
  <si>
    <r>
      <rPr>
        <sz val="9"/>
        <rFont val="Calibri"/>
        <family val="2"/>
      </rPr>
      <t>9.35% until 09.12.2019, thereafter 3-month NIBOR + 5.75%</t>
    </r>
  </si>
  <si>
    <r>
      <rPr>
        <sz val="9"/>
        <rFont val="Calibri"/>
        <family val="2"/>
      </rPr>
      <t>3-month NIBOR + 4.75% until 09.12.2019, thereafter + 5.75%</t>
    </r>
  </si>
  <si>
    <r>
      <rPr>
        <sz val="9"/>
        <rFont val="Calibri"/>
        <family val="2"/>
      </rPr>
      <t>3-month NIBOR + 1.80%</t>
    </r>
  </si>
  <si>
    <r>
      <rPr>
        <sz val="9"/>
        <rFont val="Calibri"/>
        <family val="2"/>
      </rPr>
      <t>Condition that no dividend can be paid if interest has not been paid on the instrument (dividend stopper)</t>
    </r>
  </si>
  <si>
    <r>
      <rPr>
        <sz val="9"/>
        <rFont val="Calibri"/>
        <family val="2"/>
      </rPr>
      <t>no</t>
    </r>
  </si>
  <si>
    <r>
      <rPr>
        <sz val="9"/>
        <rFont val="Calibri"/>
        <family val="2"/>
      </rPr>
      <t>Full flexibility, partial flexibility or mandatory (with respect to timing)</t>
    </r>
  </si>
  <si>
    <r>
      <rPr>
        <sz val="9"/>
        <rFont val="Calibri"/>
        <family val="2"/>
      </rPr>
      <t>partial flexibility</t>
    </r>
  </si>
  <si>
    <r>
      <rPr>
        <sz val="9"/>
        <rFont val="Calibri"/>
        <family val="2"/>
      </rPr>
      <t>mandatory</t>
    </r>
  </si>
  <si>
    <r>
      <rPr>
        <sz val="9"/>
        <rFont val="Calibri"/>
        <family val="2"/>
      </rPr>
      <t>Full flexibility</t>
    </r>
  </si>
  <si>
    <r>
      <rPr>
        <sz val="9"/>
        <rFont val="Calibri"/>
        <family val="2"/>
      </rPr>
      <t>Full flexibility, partial flexibility or mandatory (with respect to amount)</t>
    </r>
  </si>
  <si>
    <r>
      <rPr>
        <sz val="9"/>
        <rFont val="Calibri"/>
        <family val="2"/>
      </rPr>
      <t>Condition concerning interest increase or other redemption incentive</t>
    </r>
  </si>
  <si>
    <r>
      <rPr>
        <sz val="9"/>
        <rFont val="Calibri"/>
        <family val="2"/>
      </rPr>
      <t>Not cumulative or cumulative</t>
    </r>
  </si>
  <si>
    <r>
      <rPr>
        <sz val="9"/>
        <rFont val="Calibri"/>
        <family val="2"/>
      </rPr>
      <t>Not cumulative</t>
    </r>
  </si>
  <si>
    <r>
      <rPr>
        <sz val="9"/>
        <rFont val="Calibri"/>
        <family val="2"/>
      </rPr>
      <t>cumulative</t>
    </r>
  </si>
  <si>
    <r>
      <rPr>
        <sz val="9"/>
        <rFont val="Calibri"/>
        <family val="2"/>
      </rPr>
      <t>not cumulative</t>
    </r>
  </si>
  <si>
    <r>
      <rPr>
        <b/>
        <i/>
        <sz val="9"/>
        <rFont val="Calibri"/>
        <family val="2"/>
      </rPr>
      <t>Conversion/write-downs</t>
    </r>
  </si>
  <si>
    <r>
      <rPr>
        <sz val="9"/>
        <rFont val="Calibri"/>
        <family val="2"/>
      </rPr>
      <t>Non-convertible</t>
    </r>
  </si>
  <si>
    <r>
      <rPr>
        <sz val="9"/>
        <rFont val="Calibri"/>
        <family val="2"/>
      </rPr>
      <t>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</si>
  <si>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convertible, levels that trigger the conversion</t>
    </r>
  </si>
  <si>
    <r>
      <rPr>
        <sz val="9"/>
        <rFont val="Calibri"/>
        <family val="2"/>
      </rPr>
      <t>If convertible, full or partial</t>
    </r>
  </si>
  <si>
    <r>
      <rPr>
        <sz val="9"/>
        <rFont val="Calibri"/>
        <family val="2"/>
      </rPr>
      <t>If convertible, conversion rate</t>
    </r>
  </si>
  <si>
    <r>
      <rPr>
        <sz val="9"/>
        <rFont val="Calibri"/>
        <family val="2"/>
      </rPr>
      <t>If convertible, mandatory or optional</t>
    </r>
  </si>
  <si>
    <r>
      <rPr>
        <sz val="9"/>
        <rFont val="Calibri"/>
        <family val="2"/>
      </rPr>
      <t>If convertible, state the type of instrument being converted to</t>
    </r>
  </si>
  <si>
    <r>
      <rPr>
        <sz val="9"/>
        <rFont val="Calibri"/>
        <family val="2"/>
      </rPr>
      <t>If convertible, state the issuer of the instrument being converted to</t>
    </r>
  </si>
  <si>
    <r>
      <rPr>
        <sz val="9"/>
        <rFont val="Calibri"/>
        <family val="2"/>
      </rPr>
      <t>Conditions for writing down</t>
    </r>
  </si>
  <si>
    <r>
      <rPr>
        <sz val="9"/>
        <rFont val="Calibri"/>
        <family val="2"/>
      </rPr>
      <t>If write-down, levels that trigger a write-down</t>
    </r>
  </si>
  <si>
    <r>
      <rPr>
        <sz val="9"/>
        <rFont val="Calibri"/>
        <family val="2"/>
      </rPr>
      <t>If the capital ratio falls below 8.0% or tier 1 capital below 5.0%</t>
    </r>
  </si>
  <si>
    <r>
      <rPr>
        <sz val="9"/>
        <rFont val="Calibri"/>
        <family val="2"/>
      </rPr>
      <t>If write-down, full or partial</t>
    </r>
  </si>
  <si>
    <r>
      <rPr>
        <sz val="9"/>
        <rFont val="Calibri"/>
        <family val="2"/>
      </rPr>
      <t>Full or partial</t>
    </r>
  </si>
  <si>
    <r>
      <rPr>
        <sz val="9"/>
        <rFont val="Calibri"/>
        <family val="2"/>
      </rPr>
      <t>If write-down, with final effect or temporary</t>
    </r>
  </si>
  <si>
    <r>
      <rPr>
        <sz val="9"/>
        <rFont val="Calibri"/>
        <family val="2"/>
      </rPr>
      <t>Temporary</t>
    </r>
  </si>
  <si>
    <r>
      <rPr>
        <sz val="9"/>
        <rFont val="Calibri"/>
        <family val="2"/>
      </rPr>
      <t>If temporary write-down, description of write-up mechanism</t>
    </r>
  </si>
  <si>
    <r>
      <rPr>
        <sz val="9"/>
        <rFont val="Calibri"/>
        <family val="2"/>
      </rPr>
      <t>Upon payment of dividends, full or partial redemption of tier 1 capital, the write up of tier 1 capital</t>
    </r>
  </si>
  <si>
    <r>
      <rPr>
        <sz val="9"/>
        <rFont val="Calibri"/>
        <family val="2"/>
      </rPr>
      <t>After writing down the bonds, the issuer can write up bonds and pay bond yields in accordance with the current rules at any given time for such write-ups and interest payments.</t>
    </r>
  </si>
  <si>
    <r>
      <rPr>
        <sz val="9"/>
        <rFont val="Calibri"/>
        <family val="2"/>
      </rPr>
      <t>The ranking of priorities during winding up (state type of instrument that has almost better priority)</t>
    </r>
  </si>
  <si>
    <r>
      <rPr>
        <sz val="9"/>
        <rFont val="Calibri"/>
        <family val="2"/>
      </rPr>
      <t>Senior unsecured</t>
    </r>
  </si>
  <si>
    <r>
      <rPr>
        <sz val="9"/>
        <rFont val="Calibri"/>
        <family val="2"/>
      </rPr>
      <t>Terms and conditions that mean the instrument cannot be included after the transitional period</t>
    </r>
  </si>
  <si>
    <r>
      <rPr>
        <sz val="9"/>
        <rFont val="Calibri"/>
        <family val="2"/>
      </rPr>
      <t>If yes, specify which terms and conditions do not satisfy the new requirements</t>
    </r>
  </si>
  <si>
    <r>
      <rPr>
        <sz val="9"/>
        <rFont val="Calibri"/>
        <family val="2"/>
      </rPr>
      <t>Issued pursuant to previous regulations. Contains redemption incentives.</t>
    </r>
  </si>
  <si>
    <t xml:space="preserve"> The most important agreement terms and conditions for capital instruments</t>
  </si>
  <si>
    <r>
      <rPr>
        <i/>
        <sz val="9"/>
        <rFont val="Calibri"/>
        <family val="2"/>
      </rPr>
      <t xml:space="preserve"> The table shows the effect on earnings of a positive parallel shift in the yield curve of one percentage point at the end of the last two years </t>
    </r>
  </si>
  <si>
    <r>
      <rPr>
        <sz val="9"/>
        <rFont val="Calibri"/>
        <family val="2"/>
      </rPr>
      <t>Proportion of operational risk consolidated company</t>
    </r>
  </si>
  <si>
    <r>
      <rPr>
        <b/>
        <sz val="9"/>
        <rFont val="Calibri"/>
        <family val="2"/>
      </rPr>
      <t>Commitments</t>
    </r>
  </si>
  <si>
    <r>
      <rPr>
        <sz val="9"/>
        <rFont val="Calibri"/>
        <family val="2"/>
      </rPr>
      <t>Other enterprises</t>
    </r>
  </si>
  <si>
    <r>
      <rPr>
        <sz val="9"/>
        <rFont val="Calibri"/>
        <family val="2"/>
      </rPr>
      <t>Mass market SME</t>
    </r>
  </si>
  <si>
    <r>
      <rPr>
        <sz val="9"/>
        <rFont val="Calibri"/>
        <family val="2"/>
      </rPr>
      <t>Commitments with mortgage on real estate</t>
    </r>
  </si>
  <si>
    <r>
      <rPr>
        <sz val="9"/>
        <rFont val="Calibri"/>
        <family val="2"/>
      </rPr>
      <t>Other mass market commitments</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</si>
  <si>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</si>
  <si>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</si>
  <si>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</si>
  <si>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</si>
  <si>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b/>
        <sz val="9"/>
        <rFont val="Calibri"/>
        <family val="2"/>
      </rPr>
      <t>Investments in associated companies</t>
    </r>
  </si>
  <si>
    <r>
      <rPr>
        <b/>
        <sz val="9"/>
        <rFont val="Calibri"/>
        <family val="2"/>
      </rPr>
      <t>Investments in joint ventures</t>
    </r>
  </si>
  <si>
    <r>
      <rPr>
        <sz val="9"/>
        <rFont val="Calibri"/>
        <family val="2"/>
      </rPr>
      <t>Investments in joint ventures are recognised in the group using the equity method and in accordance with the acquisition method in the parent bank.</t>
    </r>
  </si>
  <si>
    <r>
      <rPr>
        <sz val="9"/>
        <rFont val="Calibri"/>
        <family val="2"/>
      </rPr>
      <t>The investments were treated equally for capital adequacy purposes.</t>
    </r>
  </si>
  <si>
    <r>
      <t xml:space="preserve">2)  </t>
    </r>
    <r>
      <rPr>
        <sz val="9"/>
        <rFont val="Calibri"/>
        <family val="2"/>
      </rPr>
      <t>SpareBank 1 SR-Bank's share</t>
    </r>
  </si>
  <si>
    <t>Method of consolidation is the same for accounting purposes and capital adequacy purposes.</t>
  </si>
  <si>
    <r>
      <rPr>
        <vertAlign val="superscript"/>
        <sz val="9"/>
        <rFont val="Calibri"/>
        <family val="2"/>
      </rPr>
      <t>1)</t>
    </r>
    <r>
      <rPr>
        <sz val="9"/>
        <rFont val="Calibri"/>
        <family val="2"/>
      </rPr>
      <t xml:space="preserve"> The risk-weighted balance sheet is calculated using the standard method.</t>
    </r>
  </si>
  <si>
    <t xml:space="preserve"> Regulatory capital in other financial institutions</t>
  </si>
  <si>
    <t>and the deductions are made in the same class of capital to which the instrument one owns belongs. Investments in common</t>
  </si>
  <si>
    <t xml:space="preserve">Regulatory capital, including core capital and supplementary capital, as well as relevant supplements, deductions and limitations. </t>
  </si>
  <si>
    <t xml:space="preserve"> Subordinated loan capital and hybrid Tier 1 bonds</t>
  </si>
  <si>
    <t xml:space="preserve"> First maturity date</t>
  </si>
  <si>
    <t xml:space="preserve"> Relationship between primary capital in the financial statements and the primary capital that is calculated for capital adequacy purposes.</t>
  </si>
  <si>
    <t xml:space="preserve"> Calculation of unweighted tier 1 capital ratio (leverage ratio)</t>
  </si>
  <si>
    <t>SME enterprises</t>
  </si>
  <si>
    <t xml:space="preserve"> Commitment amount for each type of commitment, divided into geographic areas before deductions for write-downs.</t>
  </si>
  <si>
    <r>
      <rPr>
        <sz val="9"/>
        <rFont val="Calibri"/>
        <family val="2"/>
      </rPr>
      <t xml:space="preserve">Gross loans </t>
    </r>
  </si>
  <si>
    <r>
      <rPr>
        <sz val="9"/>
        <rFont val="Calibri"/>
        <family val="2"/>
      </rPr>
      <t>Unutilised credit</t>
    </r>
  </si>
  <si>
    <r>
      <rPr>
        <sz val="9"/>
        <rFont val="Calibri"/>
        <family val="2"/>
      </rPr>
      <t>Guarantees</t>
    </r>
  </si>
  <si>
    <r>
      <rPr>
        <sz val="9"/>
        <rFont val="Calibri"/>
        <family val="2"/>
      </rPr>
      <t xml:space="preserve">Total </t>
    </r>
  </si>
  <si>
    <t xml:space="preserve"> Commitment amount for each type of commitment, broken down by sectors before deductions for write-downs.</t>
  </si>
  <si>
    <t xml:space="preserve"> Commitment amount for each type of commitment broken down by remaining maturity</t>
  </si>
  <si>
    <t xml:space="preserve"> Actual losses for each default class during the period </t>
  </si>
  <si>
    <t>Separate specification of the total commitment amount with impairment and defaulted commitments divided into geographic areas, including total changes in value and write-downs</t>
  </si>
  <si>
    <t xml:space="preserve"> Reconciliation of changes in changes in value and write-downs respectively for commitments with impairment</t>
  </si>
  <si>
    <t xml:space="preserve"> Total commitment amount and percentage secured by mortgage, broken down by commitment categories (IRB)</t>
  </si>
  <si>
    <t>Commitment category</t>
  </si>
  <si>
    <r>
      <rPr>
        <b/>
        <sz val="9"/>
        <rFont val="Calibri"/>
        <family val="2"/>
      </rPr>
      <t>Amounts in NOK million</t>
    </r>
  </si>
  <si>
    <t>Summary of type and value of listed shares, unlisted shares in diversified portfolios and other commitments</t>
  </si>
  <si>
    <t xml:space="preserve"> if all financial instruments were measured at fair value.</t>
  </si>
  <si>
    <t xml:space="preserve">The risk-weighted balance sheet for operational risk is calculated as a percentage of average earnings for each </t>
  </si>
  <si>
    <t>Amounts in NOK 1,000</t>
  </si>
  <si>
    <t>(Amounts in NOK 1,000)</t>
  </si>
  <si>
    <t>The bank differentiates between material assets &gt;10 % and non-material assets in financial institutions.</t>
  </si>
  <si>
    <t>Investments that exceed 10 % of own common equity tier 1 capital after deductions are deducted from primary capital</t>
  </si>
  <si>
    <t>equity tier 1 instruments that are not deductible from primary capital are weighted 250 % in the basis for calculation.</t>
  </si>
  <si>
    <t>Capital conservation buffer 2.5 %</t>
  </si>
  <si>
    <t xml:space="preserve">and for other services 18 %. </t>
  </si>
  <si>
    <t xml:space="preserve">business unit for the last three years.  Banking services for the mass market 12 %, banking services for the corporate market 15 % </t>
  </si>
  <si>
    <t>Total SME enterprises</t>
  </si>
  <si>
    <t>SME mass market with mortgage on real estate</t>
  </si>
  <si>
    <t>Total SME mass market, real estate</t>
  </si>
  <si>
    <t xml:space="preserve">Total </t>
  </si>
  <si>
    <t>Regnskapshuset SR AS</t>
  </si>
  <si>
    <t>SR-Boligkreditt AS</t>
  </si>
  <si>
    <t>Deduction in expected losses IRB less loss provisions</t>
  </si>
  <si>
    <t>NO0010731904</t>
  </si>
  <si>
    <t>Perpetual</t>
  </si>
  <si>
    <t>11.03.2020 
Regulatory call 
Call price 100</t>
  </si>
  <si>
    <t xml:space="preserve">Is subordinate to ordinary non-subordinated debt, provided that the bonds with interest will have equal priority to other tier 2 capital and will be covered before the issuers tier 1 capital </t>
  </si>
  <si>
    <t>Tier 2</t>
  </si>
  <si>
    <t>no</t>
  </si>
  <si>
    <t>N/A</t>
  </si>
  <si>
    <t>NO0010703879</t>
  </si>
  <si>
    <t xml:space="preserve"> Tier 1</t>
  </si>
  <si>
    <t>Tier 1</t>
  </si>
  <si>
    <t>25.02.2019
 Regulatory call
 Call price 100</t>
  </si>
  <si>
    <t>Full flexibility</t>
  </si>
  <si>
    <t>yes</t>
  </si>
  <si>
    <t>Capital adequacy below the current minimum.
FSA or other competent public authority may instruct impairment irrevocably.
The impairment shall be in accordance with the prevailing rules and regulations and management practices for impairment (pt regulated by Beregningsforskriften and Finanstilsynets rundskriv 14/2011).</t>
  </si>
  <si>
    <t>Full or partial</t>
  </si>
  <si>
    <t>Temporary</t>
  </si>
  <si>
    <t>After writing down the bonds, the issuer can write up bonds and pay bond yields in accordance with the current rules at any given time for such write-ups and interest payments.</t>
  </si>
  <si>
    <t>Is subordinate to all other debt and shall, unless otherwise agreed or stated in government regulations, have priority equal to other hybrid capital. 
- Instruments in columns I and J have better priority</t>
  </si>
  <si>
    <t>1)</t>
  </si>
  <si>
    <t>SR-Boligkreditt</t>
  </si>
  <si>
    <t>SpareBank 1 Boligkreditt</t>
  </si>
  <si>
    <t>NO0010704109</t>
  </si>
  <si>
    <t>Tier  1</t>
  </si>
  <si>
    <t>not cumulative</t>
  </si>
  <si>
    <t>Non-convertible</t>
  </si>
  <si>
    <t>NO0010745920</t>
  </si>
  <si>
    <t>Variable</t>
  </si>
  <si>
    <t>NO0010746191</t>
  </si>
  <si>
    <t xml:space="preserve">Minimum regulatory capital requirements for operational risk </t>
  </si>
  <si>
    <t>Subordinated loan capital and hybrid Tier 1 bonds</t>
  </si>
  <si>
    <t>Commitment amount for each type of commitment, divided into geographic areas before deductions for write-downs</t>
  </si>
  <si>
    <t>The total commitment amount after any write-down and without taking account of any securities and the average size of the commitments during the period, broken down by type of commitment</t>
  </si>
  <si>
    <t>Commitment amount for each type of commitment, broken down by sectors before deductions for write-downs.</t>
  </si>
  <si>
    <t>Commitment amount for each type of commitment broken down by remaining maturity</t>
  </si>
  <si>
    <t>Defaulted and doubtful commitments broken down by customer group</t>
  </si>
  <si>
    <t xml:space="preserve">Actual losses for each default class during the period </t>
  </si>
  <si>
    <t>Separate specification of the total commitment amount with impairment and defaulted commitments broken down into geographic areas, including total changes in value and write-downs</t>
  </si>
  <si>
    <t>Reconciliation of changes in changes in value and write-downs respectively for commitments with impairment</t>
  </si>
  <si>
    <t>Distribution by risk classes in which the IRB approach is used</t>
  </si>
  <si>
    <t>Total commitment amount and percentage secured by mortgage, broken down by commitment categories (IRB)</t>
  </si>
  <si>
    <t>The actual changes in value for the individual commitment category and development from previous periods (IRB):</t>
  </si>
  <si>
    <t>Investments (equity positions outside the trading portfolio) broken down by purpose</t>
  </si>
  <si>
    <t>Overview of book value and fair value, gains and losses</t>
  </si>
  <si>
    <t>Summary of counterparty risk for derivatives etc. outside the trading portfolio.</t>
  </si>
  <si>
    <t>Sensitivity of net interest expenses before tax (interest rate change of one percentage point)</t>
  </si>
  <si>
    <t>Subsidiaries using the standard method</t>
  </si>
  <si>
    <t xml:space="preserve">Subsidiaries using the IRB method  </t>
  </si>
  <si>
    <t xml:space="preserve">Credit risk  and counterparty credit risk </t>
  </si>
  <si>
    <t>Covered bonds</t>
  </si>
  <si>
    <t>Equity positions</t>
  </si>
  <si>
    <t>3 month Nibor + 1.80 % p.a.</t>
  </si>
  <si>
    <t>3 month Nibor + 2.75 % p.a.</t>
  </si>
  <si>
    <t>EUR 50</t>
  </si>
  <si>
    <t>9.35 % p.a. until 09/12/2019, then 3 month Nibor + 5.75 % p.a.</t>
  </si>
  <si>
    <t xml:space="preserve">Total other mass market </t>
  </si>
  <si>
    <t xml:space="preserve">IRB default level - PD (unweighted) </t>
  </si>
  <si>
    <t>Total mass market with mortgage on real estate</t>
  </si>
  <si>
    <t xml:space="preserve"> Loss given default for defaulted loans – LGD (unweighted)</t>
  </si>
  <si>
    <t xml:space="preserve"> Loss given default for defaulted loans – LGD (EAD-weighted)</t>
  </si>
  <si>
    <t>Commitment amount</t>
  </si>
  <si>
    <r>
      <t xml:space="preserve">Of which secured by mortgage on real estate </t>
    </r>
    <r>
      <rPr>
        <b/>
        <vertAlign val="superscript"/>
        <sz val="9"/>
        <rFont val="Calibri"/>
        <family val="2"/>
        <scheme val="minor"/>
      </rPr>
      <t>1)</t>
    </r>
  </si>
  <si>
    <r>
      <t xml:space="preserve">Of which secured by mortgage on real estate </t>
    </r>
    <r>
      <rPr>
        <vertAlign val="superscript"/>
        <sz val="9"/>
        <rFont val="Calibri"/>
        <family val="2"/>
        <scheme val="minor"/>
      </rPr>
      <t>1)</t>
    </r>
  </si>
  <si>
    <t xml:space="preserve">SpareBank 1 SR-Bank has no pledged security that results in a reduced commitment amount. </t>
  </si>
  <si>
    <t>Value
31/12/2015</t>
  </si>
  <si>
    <t>Change in value 
in 2015 (%)</t>
  </si>
  <si>
    <t>Energy Ventures IV LP</t>
  </si>
  <si>
    <t>Øvrige finansielle investeringer</t>
  </si>
  <si>
    <t>Visa Norge IFS</t>
  </si>
  <si>
    <t>Total strategic investments available for sale</t>
  </si>
  <si>
    <t xml:space="preserve"> Composition of primary capital</t>
  </si>
  <si>
    <t>Interim result</t>
  </si>
  <si>
    <t xml:space="preserve">Unweighted Tier 1 capital </t>
  </si>
  <si>
    <t>XS1334772255</t>
  </si>
  <si>
    <t>EUR 50 million</t>
  </si>
  <si>
    <t>4.00 % until 21.12.17, thereafter 6-month EURIBOR + 1.725 %</t>
  </si>
  <si>
    <t>mandatory</t>
  </si>
  <si>
    <t>cumulative</t>
  </si>
  <si>
    <r>
      <t xml:space="preserve">SpareBank 1 SR-Bank ASA owns 24.2 % of BN Bank </t>
    </r>
    <r>
      <rPr>
        <b/>
        <vertAlign val="superscript"/>
        <sz val="9"/>
        <rFont val="Calibri"/>
        <family val="2"/>
        <scheme val="minor"/>
      </rPr>
      <t>1)</t>
    </r>
  </si>
  <si>
    <t>1) The ownership in BN Bank includes indirect holdings.</t>
  </si>
  <si>
    <t>1) The ownership in SpareBank 1 Boligkreditt includes indirect holdings.</t>
  </si>
  <si>
    <t>1) Book value of the shares in the respective companies including indirect holdings is replaced by SpareBank 1 SR-Bank's share of the companies' items on the balance sheet.</t>
  </si>
  <si>
    <t>NO0010767643</t>
  </si>
  <si>
    <t>3-month NIBOR+310</t>
  </si>
  <si>
    <t>3-month NIBOR+225</t>
  </si>
  <si>
    <t>3-month NIBOR+360</t>
  </si>
  <si>
    <t>3-month NIBOR+420</t>
  </si>
  <si>
    <t>Ref. section 23</t>
  </si>
  <si>
    <t>Proportionate consolidation is carried out for the group's capital adequacy.</t>
  </si>
  <si>
    <t>3-month NIBOR+210</t>
  </si>
  <si>
    <t>SFTs: Exposure according to CRR 429 (5) and 429 (8)</t>
  </si>
  <si>
    <t>SFTs: Add-on for counterparty credit risk according to CRR 429b (1)</t>
  </si>
  <si>
    <t>Derogation for SFTs: Add-on according to CRR 429b (4) and 222</t>
  </si>
  <si>
    <t>Counterparty credit risk of SFT agent transactions according to CRR 429b (6)</t>
  </si>
  <si>
    <t>(-) Exempted CCP leg of client-cleared SFT exposures</t>
  </si>
  <si>
    <t>Derivatives: Current replacement cost</t>
  </si>
  <si>
    <t>(-) Eligible cash variation margin received offset against derivatives market value</t>
  </si>
  <si>
    <t>(-) Exempted CCP leg of client-cleared trade exposures (replacement costs)</t>
  </si>
  <si>
    <t>Derivatives: Add-on Mark-to-Market Method</t>
  </si>
  <si>
    <t>(-) Exempted CCP leg of client-cleared trade exposures (potential future exposure)</t>
  </si>
  <si>
    <t>Derogation for derivatives: Original Exposure Method</t>
  </si>
  <si>
    <t>(-) Exempted CCP leg of client-cleared trade exposures (Original Exposure Method)</t>
  </si>
  <si>
    <t>Capped notional amount of written credit derivatives</t>
  </si>
  <si>
    <t>(-) Eligible purchased credit derivatives offset against written credit derivatives</t>
  </si>
  <si>
    <t>Off-balance sheet items with a 10% CCF according to CRR 429 (10)</t>
  </si>
  <si>
    <t>Off-balance sheet items with a 20% CCF according to CRR 429 (10)</t>
  </si>
  <si>
    <t>Off-balance sheet items with a 50% CCF according to CRR 429 (10)</t>
  </si>
  <si>
    <t>Off-balance sheet items with a 100% CCF according to CRR 429 (10)</t>
  </si>
  <si>
    <t>Other assets</t>
  </si>
  <si>
    <t>Grossed-up assets for derivatives collateral provided</t>
  </si>
  <si>
    <t>(-) Receivables for cash variation margin provided in derivatives transactions</t>
  </si>
  <si>
    <t>(-) Exempted CCP leg of client-cleared trade exposures (initial margin)</t>
  </si>
  <si>
    <t>Adjustments for SFT sales accounting transactions</t>
  </si>
  <si>
    <t>(-) Fiduciary assets</t>
  </si>
  <si>
    <t>(-) Exposures exempted according to CRR 429 (14)</t>
  </si>
  <si>
    <t xml:space="preserve">(-) Exempted intragroup exposures (solo basis) according to CRR 429(7), 113(6) </t>
  </si>
  <si>
    <t>Tier 1 capital - fully phased-in definition</t>
  </si>
  <si>
    <t>Tier 1 capital - transitional definition</t>
  </si>
  <si>
    <t>(-) Asset amount deducted - Tier 1 - fully phased-in definition</t>
  </si>
  <si>
    <t>(-) Asset amount deducted - Tier 1 - transitional definition</t>
  </si>
  <si>
    <t>Leverage Ratio – using a fully phased-in definition of Tier 1</t>
  </si>
  <si>
    <t>Leverage Ratio – using a transitional definition of Tier 1</t>
  </si>
  <si>
    <t>Total exposure amount</t>
  </si>
  <si>
    <t xml:space="preserve">Total exposure amount - transitional definition  </t>
  </si>
  <si>
    <t xml:space="preserve">Tier 1 capital </t>
  </si>
  <si>
    <t>Leverage Ratio</t>
  </si>
  <si>
    <t>Net group accounts currency</t>
  </si>
  <si>
    <t xml:space="preserve">Observed </t>
  </si>
  <si>
    <t>Average</t>
  </si>
  <si>
    <t xml:space="preserve">Predicted </t>
  </si>
  <si>
    <t>Year</t>
  </si>
  <si>
    <t>IRB default level - PD per default class (unweighted)</t>
  </si>
  <si>
    <t>Value
31/12/2016</t>
  </si>
  <si>
    <t>Change in value 
in 2016 (%)</t>
  </si>
  <si>
    <t>HitecVision Asset Solutions LP</t>
  </si>
  <si>
    <t>Shares and other interests are either classified at fair value through profit and loss or as available for sale.</t>
  </si>
  <si>
    <t xml:space="preserve"> Changes in fair value after the opening balance are recognised as income from financial investments.  </t>
  </si>
  <si>
    <t xml:space="preserve">* Bank 1 Oslo is sold to Sparebanken Hedmark in Q2 2016 and was reported as "Discontinued operations" as per 31/12/2015. </t>
  </si>
  <si>
    <t>Strategic investments at fair value through profit and loss*</t>
  </si>
  <si>
    <t xml:space="preserve">IRB expected losses (EL) compared to actual net recognised losses  </t>
  </si>
  <si>
    <t>Mass market in total</t>
  </si>
  <si>
    <t>Investments in associated companies</t>
  </si>
  <si>
    <t>Investments in associated companies are accounted for according to the equity method in the Group and according to the acquisition method in the parent bank.</t>
  </si>
  <si>
    <t xml:space="preserve">The investments are treated identically for the purposes of determining the capital adequacy ratio except for the Group's investments in </t>
  </si>
  <si>
    <t xml:space="preserve">*SpareBank 1 SR-Bank has found that the current categorization of enterprises means that the bank has a share of specialized enterprises which are significantly higher than other comparable banks. </t>
  </si>
  <si>
    <t xml:space="preserve">If an enterprise is categorized as specialized or not has under current regulations no effect on the capital requirement. </t>
  </si>
  <si>
    <t>The bank's current categorization of specialised enterprises is exclusively made on the basis of the entity's business code, without involving an explicit assessment of whether the terms of the Capital Requirements § 9-1 third paragraph are met.</t>
  </si>
  <si>
    <t xml:space="preserve">If one or more of the conditions are not met, the commitment cannot be categorised as a specialised enterprise. </t>
  </si>
  <si>
    <t>The Bank has therefore initiated a work to bring categorisation in the direction of current market practices and provisions of the regulations.</t>
  </si>
  <si>
    <t>Totalt</t>
  </si>
  <si>
    <t>Herav: Verdipapiriserings-engasjementer</t>
  </si>
  <si>
    <t>Herav: Engasjementer i handelsporteføljen</t>
  </si>
  <si>
    <t>Herav: Generelle kredittengasjementer</t>
  </si>
  <si>
    <t>Engasjementsbeløp for IRB</t>
  </si>
  <si>
    <t>Engasjementsbeløp for SA</t>
  </si>
  <si>
    <t>Verdien av engasjementer i handelsporteføljen for interne modeller</t>
  </si>
  <si>
    <t>Summen av lange og korte posisjoner i handelsporteføljen</t>
  </si>
  <si>
    <t>Engasjements-beløp for IRB</t>
  </si>
  <si>
    <t>Engasjements-beløp for SA</t>
  </si>
  <si>
    <t>Table 1: Geographical distribution of relevant credit exposures</t>
  </si>
  <si>
    <t xml:space="preserve">Norway </t>
  </si>
  <si>
    <t>General credit commitments</t>
  </si>
  <si>
    <t>Securitisation commitments</t>
  </si>
  <si>
    <t>Capital requirements</t>
  </si>
  <si>
    <t>Weigts for capital requirement</t>
  </si>
  <si>
    <t>The Groups overall credit exposure to overseas accounts for less than 2% of the total exposure. According to Commission Regulation 115/2014, these foreign commitments are assigned to Norway.</t>
  </si>
  <si>
    <t>Table 2: Enterprise specific countercyclical capital buffer</t>
  </si>
  <si>
    <t>Total basis for calculation</t>
  </si>
  <si>
    <t>Enterprise spesific countercyclical capital buffer ratio</t>
  </si>
  <si>
    <t xml:space="preserve">Requirements for countercyclical capital buffer </t>
  </si>
  <si>
    <t xml:space="preserve">Public disclosure of information about SpareBank 1 SR-Banks compliance with the requirements for countercyclical capital buffer </t>
  </si>
  <si>
    <r>
      <t xml:space="preserve">SpareBank 1  Boligkreditt AS </t>
    </r>
    <r>
      <rPr>
        <vertAlign val="superscript"/>
        <sz val="9"/>
        <rFont val="Calibri"/>
        <family val="2"/>
        <scheme val="minor"/>
      </rPr>
      <t>1)</t>
    </r>
  </si>
  <si>
    <r>
      <t xml:space="preserve">BN Bank ASA </t>
    </r>
    <r>
      <rPr>
        <vertAlign val="superscript"/>
        <sz val="9"/>
        <rFont val="Calibri"/>
        <family val="2"/>
        <scheme val="minor"/>
      </rPr>
      <t>1)</t>
    </r>
  </si>
  <si>
    <t>SpareBank 1 Kredittkort AS</t>
  </si>
  <si>
    <t>3-month NIBOR+450</t>
  </si>
  <si>
    <t>Norwegian law</t>
  </si>
  <si>
    <t>SpareBank 1 SR-Bank ASA's share of BN Bank</t>
  </si>
  <si>
    <t xml:space="preserve">SpareBank 1 SR-Bank ASA's share of SpareBank 1 Kredittkort </t>
  </si>
  <si>
    <t>2) In some of the affiliated companies, reallocation based on sold lending is carried out at year-end, which means that the ownership changes as of 31 December. The book value of these companies</t>
  </si>
  <si>
    <t>Hybrid capital</t>
  </si>
  <si>
    <t>Hybrid capital not to be included in core (Tier 1) capital</t>
  </si>
  <si>
    <t xml:space="preserve">Hybrid capital   </t>
  </si>
  <si>
    <t>NOK 681 million</t>
  </si>
  <si>
    <t>NO0010792476</t>
  </si>
  <si>
    <t>NOK 625 million</t>
  </si>
  <si>
    <t>3-month NIBOR + 1.52%</t>
  </si>
  <si>
    <t>NO0010799323</t>
  </si>
  <si>
    <t>NOK 150 million</t>
  </si>
  <si>
    <t>3-month NIBOR + 3.20%</t>
  </si>
  <si>
    <t>Within the maximum amount of disposal according to the CRDIV / CRR Regulations Section 6</t>
  </si>
  <si>
    <t>Hybrid capital qualifying as other approved core (Tier 1) capital</t>
  </si>
  <si>
    <t>Countercyclical capital buffer requirement</t>
  </si>
  <si>
    <t>Commitments in the trading portfolio</t>
  </si>
  <si>
    <t>Specialised enterprises*</t>
  </si>
  <si>
    <t>SpareBank1 SR-Bank ASA</t>
  </si>
  <si>
    <t>NO0010802382</t>
  </si>
  <si>
    <t>3-month NIBOR + 1.45%</t>
  </si>
  <si>
    <t xml:space="preserve">Of which tier 1 capital instruments that qualify as other approved tier 1 capital  </t>
  </si>
  <si>
    <t>Of which hybrid capital that qualify as other approved tier 1 capital</t>
  </si>
  <si>
    <t>As at 31/12/2017</t>
  </si>
  <si>
    <t>31/12/2017</t>
  </si>
  <si>
    <t xml:space="preserve">SpareBank 1 Boligkreditt AS, SpareBank 1 Næringskreditt AS, BN Bank AS and SpareBank 1 Kredittkort AS. </t>
  </si>
  <si>
    <t>Capital adequacy percentage 31/12/2017</t>
  </si>
  <si>
    <t xml:space="preserve"> 31/12/2017</t>
  </si>
  <si>
    <t>SpareBank 1 Betaling</t>
  </si>
  <si>
    <t>Visa</t>
  </si>
  <si>
    <t>Other financial institutions</t>
  </si>
  <si>
    <t xml:space="preserve">The common equity Tier capital requirement consists of the common capital requirement of 4.5%, conservation buffer of 2.5%, systemic risk buffer of 3.0% and countercyclical buffer of 2.0%.  </t>
  </si>
  <si>
    <t xml:space="preserve">In addition, the Norwegian FSA has established an individual Pillar 2 requirement of 2.0%. </t>
  </si>
  <si>
    <t>Local and regional governments, public authorities</t>
  </si>
  <si>
    <t>NOK 300</t>
  </si>
  <si>
    <t>NOK 625</t>
  </si>
  <si>
    <t>3 month Nibor + 1.45 % p.a.</t>
  </si>
  <si>
    <t>3 month Nibor + 1.52 % p.a.</t>
  </si>
  <si>
    <t>6 month Euribor + 1.725 % p.a.</t>
  </si>
  <si>
    <t>3 month Nibor + 4.75 % p.a. untiltil 09/12/2019, then Nibor + 5.75 % p.a.</t>
  </si>
  <si>
    <t>Of a total of NOK 2 764 million in subordinated loan capital, NOK 794 million counts as core (Tier 1) capital and NOK 1 897 million as non-perpetual subordinated capital.</t>
  </si>
  <si>
    <t>2007-2017</t>
  </si>
  <si>
    <t>2007-2016</t>
  </si>
  <si>
    <t xml:space="preserve">LGD validation for fiscal year 2017 was not completed on reporting date. </t>
  </si>
  <si>
    <t>Internally estimated unweighted LGD for defaulted loans on mass market with mortgage on real estate (without regulatory minimums) was 12.1% in 2016 and 13.4% in the years 2007-2016.</t>
  </si>
  <si>
    <t>Internally estimated EAD-weighted LGD for defaulted loans on mass market with mortgage on real estate (without regulatory minimums) was 12.8% in 2016 and 14.4% in the years 2007-2016.</t>
  </si>
  <si>
    <t>Value
31/12/2017</t>
  </si>
  <si>
    <t>Change in value 
in 2017 (%)</t>
  </si>
  <si>
    <t>Optimarin AS</t>
  </si>
  <si>
    <t>Monner AS</t>
  </si>
  <si>
    <t>Offshore Merchant Partners Asset Yield Fund LP</t>
  </si>
  <si>
    <t>SR PE Feeder IV AS</t>
  </si>
  <si>
    <t>SpareBank 1 Markets</t>
  </si>
  <si>
    <t>Other strategic investments</t>
  </si>
  <si>
    <t>SpareBank 1 Østlandet*</t>
  </si>
  <si>
    <t>* The shares in SpareBank 1 Østlandet (formerly Sparebanken Hedmark) were sold in June 2017.</t>
  </si>
  <si>
    <t>Value
2017</t>
  </si>
  <si>
    <t>Value
 2016</t>
  </si>
  <si>
    <r>
      <t xml:space="preserve">Risk weighted assets  2017 </t>
    </r>
    <r>
      <rPr>
        <b/>
        <vertAlign val="superscript"/>
        <sz val="9"/>
        <rFont val="Calibri"/>
        <family val="2"/>
      </rPr>
      <t>1)</t>
    </r>
  </si>
  <si>
    <r>
      <t xml:space="preserve">Risk weighted assets  2016 </t>
    </r>
    <r>
      <rPr>
        <vertAlign val="superscript"/>
        <sz val="9"/>
        <rFont val="Calibri"/>
        <family val="2"/>
      </rPr>
      <t>1)</t>
    </r>
  </si>
  <si>
    <t>The Group's framework define quantitative targets for maximum potential loss by a parallel shift in interest rates of one percentage point.</t>
  </si>
  <si>
    <t>The total amount is NOK 85 million divided between NOK 50 million and NOK 35 million on the total balance of Treasury and SR-Bank Markets, respectively.</t>
  </si>
  <si>
    <t>The commercial risk is quantified and monitored continuously.</t>
  </si>
  <si>
    <t>Ref. section 24</t>
  </si>
  <si>
    <t>NO0010811318</t>
  </si>
  <si>
    <t>SpareBank 1 SR-Bank ASA owns 19.2 % of SpareBank 1 Næringskreditt</t>
  </si>
  <si>
    <t>Yes</t>
  </si>
  <si>
    <t>Convertible or non-convertible</t>
  </si>
  <si>
    <t>Current minimum requirement. 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 Currently: 5% tier 1 capital ratio and 8% capital ratio stipulated in the Calculation Regulations</t>
  </si>
  <si>
    <t>Current minimum requirements. 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 The bond yield requirement lapses in the period the bonds are written down.</t>
  </si>
  <si>
    <t>Current minimum requirement. 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 The bond yield requirement lapses in the period the bonds are written down.</t>
  </si>
  <si>
    <r>
      <t xml:space="preserve">                                                                                                                                                                                                                     SpareBank 1 SR-Bank ASA owns 9.5 % of SpareBank 1 Boligkreditt </t>
    </r>
    <r>
      <rPr>
        <b/>
        <vertAlign val="superscript"/>
        <sz val="9"/>
        <rFont val="Calibri"/>
        <family val="2"/>
        <scheme val="minor"/>
      </rPr>
      <t>1)</t>
    </r>
  </si>
  <si>
    <t xml:space="preserve">is based on the share of profit in 2017, and this share of profit is used for dividend payments. </t>
  </si>
  <si>
    <t>New categorization will be implemented together with adaptations to the new Basel Standard.</t>
  </si>
  <si>
    <t>Subordinated loan capital and hybrid Tier 1 bonds (hybrids) in foreign currencies are included in the Group's total currency position so that there is no currency risk associated with the loans.</t>
  </si>
  <si>
    <t>Capitalised costs associated with borrowing are reflected in the calculation of amortised cost.</t>
  </si>
  <si>
    <t>Sum</t>
  </si>
  <si>
    <t>Disclosure of renumeration</t>
  </si>
  <si>
    <t>1. Key employees</t>
  </si>
  <si>
    <t>2. Employees and elected representatives with duties of significant importance to the enterprise's risk exposure</t>
  </si>
  <si>
    <t>3. Employees responsible for independent control functions</t>
  </si>
  <si>
    <t>4. Elected representative</t>
  </si>
  <si>
    <t>Number</t>
  </si>
  <si>
    <t>Renumeration</t>
  </si>
  <si>
    <t>Of which variable renumeration</t>
  </si>
  <si>
    <t>FinStart Nordic AS</t>
  </si>
  <si>
    <t xml:space="preserve">FinStart Nordic AS </t>
  </si>
  <si>
    <r>
      <t xml:space="preserve">Ownership percentage </t>
    </r>
    <r>
      <rPr>
        <vertAlign val="superscript"/>
        <sz val="9"/>
        <rFont val="Calibri"/>
        <family val="2"/>
      </rPr>
      <t>1)</t>
    </r>
    <r>
      <rPr>
        <sz val="9"/>
        <rFont val="Calibri"/>
        <family val="2"/>
      </rPr>
      <t xml:space="preserve">  31/12/2017</t>
    </r>
  </si>
  <si>
    <r>
      <t>Capital requirements</t>
    </r>
    <r>
      <rPr>
        <vertAlign val="superscript"/>
        <sz val="9"/>
        <rFont val="Calibri"/>
        <family val="2"/>
      </rPr>
      <t>2)</t>
    </r>
    <r>
      <rPr>
        <sz val="9"/>
        <rFont val="Calibri"/>
        <family val="2"/>
      </rPr>
      <t xml:space="preserve"> 31/12/2017</t>
    </r>
  </si>
  <si>
    <r>
      <t xml:space="preserve">1)  </t>
    </r>
    <r>
      <rPr>
        <sz val="9"/>
        <rFont val="Calibri"/>
        <family val="2"/>
      </rPr>
      <t>Including indirect assets, as of Q1 2018, we only have indirect holdings in BN Bank.</t>
    </r>
  </si>
  <si>
    <t>Interim result not to be included in pure core capital</t>
  </si>
  <si>
    <t>SpareBank 1 Kredittkort</t>
  </si>
  <si>
    <t>NOK 472 million</t>
  </si>
  <si>
    <t>NOK 700 million</t>
  </si>
  <si>
    <t>3)</t>
  </si>
  <si>
    <t xml:space="preserve">3) BN Bank performs a proportionate consolidation of the companies SB1 Boligkreditt and SB1 Kredittkort in its capital adequacy. BN Bank uses the cost method for accounting purposes. </t>
  </si>
  <si>
    <t>3-month NIBOR + 2.10%</t>
  </si>
  <si>
    <t>3-month NIBOR + 3.75%</t>
  </si>
  <si>
    <t>Countercyclical buffer 2 %</t>
  </si>
  <si>
    <t>SpareBank 1 Næringskreditt</t>
  </si>
  <si>
    <r>
      <t>SpareBank 1 Kredittkort</t>
    </r>
    <r>
      <rPr>
        <b/>
        <vertAlign val="superscript"/>
        <sz val="9"/>
        <rFont val="Calibri"/>
        <family val="2"/>
        <scheme val="minor"/>
      </rPr>
      <t xml:space="preserve"> 1)</t>
    </r>
  </si>
  <si>
    <r>
      <t xml:space="preserve">1) </t>
    </r>
    <r>
      <rPr>
        <sz val="9"/>
        <rFont val="Calibri"/>
        <family val="2"/>
      </rPr>
      <t xml:space="preserve">SpareBank 1 SR-Bank group uses the standardised approach.  Other companies use the basic approach. </t>
    </r>
  </si>
  <si>
    <t>Bjergsted Terrasse AS</t>
  </si>
  <si>
    <t>As at 30/09/2018</t>
  </si>
  <si>
    <t>30/09/2018</t>
  </si>
  <si>
    <r>
      <t xml:space="preserve">Ownership percentage </t>
    </r>
    <r>
      <rPr>
        <b/>
        <vertAlign val="superscript"/>
        <sz val="9"/>
        <rFont val="Calibri"/>
        <family val="2"/>
      </rPr>
      <t>1)</t>
    </r>
    <r>
      <rPr>
        <b/>
        <sz val="9"/>
        <rFont val="Calibri"/>
        <family val="2"/>
      </rPr>
      <t xml:space="preserve">  30/09/2018 </t>
    </r>
  </si>
  <si>
    <r>
      <t xml:space="preserve">Capital requirements </t>
    </r>
    <r>
      <rPr>
        <b/>
        <vertAlign val="superscript"/>
        <sz val="9"/>
        <rFont val="Calibri"/>
        <family val="2"/>
      </rPr>
      <t>2)</t>
    </r>
    <r>
      <rPr>
        <b/>
        <sz val="9"/>
        <rFont val="Calibri"/>
        <family val="2"/>
      </rPr>
      <t xml:space="preserve"> 30/09/2018</t>
    </r>
  </si>
  <si>
    <t>Capital adequacy percentage 30/09/2018</t>
  </si>
  <si>
    <t xml:space="preserve"> 30/09/2018</t>
  </si>
  <si>
    <t xml:space="preserve">Total minimum common equity Tier 1 capital ratio requirement, including countercyclical capital buffer and Pilar 2 premiums, was 14.0% per 30/09/2018 for SpareBank 1 SR Bank. </t>
  </si>
  <si>
    <t>Deduction for significant investments in other financial institutions</t>
  </si>
  <si>
    <t>Deduction for non-material investments in other financial institutions</t>
  </si>
  <si>
    <t>30.09.2018 (According to IFRS 9)</t>
  </si>
  <si>
    <t>31.12.2017 (According to IAS 39)</t>
  </si>
  <si>
    <t>Stage 3</t>
  </si>
  <si>
    <t>2018 09</t>
  </si>
  <si>
    <t>According to IFRS 9</t>
  </si>
  <si>
    <t>According to IAS39</t>
  </si>
  <si>
    <t>NOK 300 million</t>
  </si>
  <si>
    <t>21.09.20128</t>
  </si>
  <si>
    <t xml:space="preserve"> SpareBank 1 SR-Bank ASA Balance sheet after financial statements 30/09/2018</t>
  </si>
  <si>
    <t>SpareBank 1 SR-Bank ASA Balance sheet after capital ratio 30/09/2018</t>
  </si>
  <si>
    <t>Standard table for public disclosure of information about SpareBank 1 SR-Banks compliance with the requirements for countercyclical capital buffer as per 30/09/2018</t>
  </si>
  <si>
    <t>Updated for 3rd quarter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</si>
</sst>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 * #,##0_ ;_ * \-#,##0_ ;_ * &quot;-&quot;_ ;_ @_ "/>
    <numFmt numFmtId="165" formatCode="_(* #,##0_);_(* \(#,##0\);_(* &quot;-&quot;_);_(@_)"/>
    <numFmt numFmtId="166" formatCode="_(* #,##0.00_);_(* \(#,##0.00\);_(* &quot;-&quot;??_);_(@_)"/>
    <numFmt numFmtId="167" formatCode="#,##0;\(#,##0\);&quot;-&quot;"/>
    <numFmt numFmtId="168" formatCode="#,##0;[Red]\(#,##0\);0"/>
    <numFmt numFmtId="169" formatCode="_(* #,##0_);_(* \(#,##0\);_(* &quot; - &quot;_);_(@_)"/>
    <numFmt numFmtId="170" formatCode="0.0\ %"/>
    <numFmt numFmtId="171" formatCode="_(* #,##0_);_(* \(#,##0\);_(* &quot;-&quot;??_);_(@_)"/>
    <numFmt numFmtId="172" formatCode="#,##0.0"/>
    <numFmt numFmtId="173" formatCode="dd/mm/yyyy;@"/>
    <numFmt numFmtId="174" formatCode="dd\/mm\/yyyy"/>
    <numFmt numFmtId="175" formatCode="_ * #,##0_ ;_ * \-#,##0_ ;_ * &quot;-&quot;??_ ;_ @_ "/>
  </numFmts>
  <fonts count="55"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b/>
      <sz val="18"/>
      <color theme="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sz val="10"/>
      <name val="Arial"/>
      <family val="2"/>
    </font>
    <font>
      <sz val="9"/>
      <color rgb="FFFF0000"/>
      <name val="Calibri"/>
      <family val="2"/>
      <scheme val="minor"/>
    </font>
    <font>
      <i/>
      <sz val="9"/>
      <name val="Calibri"/>
      <family val="2"/>
    </font>
    <font>
      <b/>
      <sz val="9"/>
      <name val="Calibri"/>
      <family val="2"/>
    </font>
    <font>
      <sz val="9"/>
      <name val="Calibri"/>
      <family val="2"/>
    </font>
    <font>
      <sz val="10"/>
      <color theme="1"/>
      <name val="Calibri"/>
      <family val="2"/>
    </font>
    <font>
      <b/>
      <sz val="16"/>
      <color theme="0"/>
      <name val="Calibri"/>
      <family val="2"/>
    </font>
    <font>
      <sz val="9"/>
      <color rgb="FF000000"/>
      <name val="Calibri"/>
      <family val="2"/>
      <scheme val="minor"/>
    </font>
    <font>
      <b/>
      <sz val="9"/>
      <name val="Calibri"/>
      <family val="2"/>
    </font>
    <font>
      <sz val="9"/>
      <name val="Calibri"/>
      <family val="2"/>
    </font>
    <font>
      <b/>
      <vertAlign val="superscript"/>
      <sz val="9"/>
      <name val="Calibri"/>
      <family val="2"/>
    </font>
    <font>
      <vertAlign val="superscript"/>
      <sz val="9"/>
      <name val="Calibri"/>
      <family val="2"/>
    </font>
    <font>
      <i/>
      <sz val="9"/>
      <name val="Calibri"/>
      <family val="2"/>
    </font>
    <font>
      <i/>
      <vertAlign val="superscript"/>
      <sz val="9"/>
      <name val="Calibri"/>
      <family val="2"/>
    </font>
    <font>
      <sz val="9"/>
      <color rgb="FF000000"/>
      <name val="Calibri"/>
      <family val="2"/>
    </font>
    <font>
      <sz val="10"/>
      <name val="Calibri"/>
      <family val="2"/>
    </font>
    <font>
      <i/>
      <sz val="10"/>
      <name val="Calibri"/>
      <family val="2"/>
    </font>
    <font>
      <b/>
      <i/>
      <sz val="9"/>
      <name val="Calibri"/>
      <family val="2"/>
      <scheme val="minor"/>
    </font>
    <font>
      <b/>
      <i/>
      <sz val="9"/>
      <name val="Calibri"/>
      <family val="2"/>
    </font>
    <font>
      <b/>
      <sz val="11"/>
      <name val="Calibri"/>
      <family val="2"/>
      <scheme val="minor"/>
    </font>
    <font>
      <b/>
      <sz val="9"/>
      <color theme="1"/>
      <name val="Calibri"/>
      <family val="2"/>
      <scheme val="minor"/>
    </font>
    <font>
      <i/>
      <sz val="9"/>
      <color theme="1"/>
      <name val="Calibri"/>
      <family val="2"/>
      <scheme val="minor"/>
    </font>
    <font>
      <b/>
      <vertAlign val="superscript"/>
      <sz val="9"/>
      <name val="Calibri"/>
      <family val="2"/>
      <scheme val="minor"/>
    </font>
    <font>
      <sz val="12"/>
      <color rgb="FF222222"/>
      <name val="Arial"/>
      <family val="2"/>
    </font>
    <font>
      <b/>
      <sz val="10"/>
      <name val="Verdana"/>
      <family val="2"/>
    </font>
    <font>
      <i/>
      <sz val="10"/>
      <name val="Calibri"/>
      <family val="2"/>
      <scheme val="minor"/>
    </font>
    <font>
      <sz val="9"/>
      <color theme="1"/>
      <name val="Calibri"/>
      <family val="2"/>
      <scheme val="minor"/>
    </font>
    <font>
      <u/>
      <sz val="10"/>
      <color theme="10"/>
      <name val="Verdana"/>
      <family val="2"/>
    </font>
    <font>
      <sz val="10"/>
      <color rgb="FFFF0000"/>
      <name val="Calibri"/>
      <family val="2"/>
      <scheme val="minor"/>
    </font>
    <font>
      <b/>
      <sz val="9"/>
      <color theme="1"/>
      <name val="Calibr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25">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0"/>
      </bottom>
      <diagonal/>
    </border>
    <border>
      <left style="thin">
        <color indexed="64"/>
      </left>
      <right/>
      <top/>
      <bottom/>
      <diagonal/>
    </border>
    <border>
      <left/>
      <right/>
      <top style="thin">
        <color auto="1"/>
      </top>
      <bottom style="thin">
        <color indexed="64"/>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style="medium">
        <color theme="1" tint="0.499984740745262"/>
      </top>
      <bottom/>
      <diagonal/>
    </border>
    <border>
      <left/>
      <right/>
      <top/>
      <bottom style="thin">
        <color theme="0" tint="-0.499984740745262"/>
      </bottom>
      <diagonal/>
    </border>
    <border>
      <left/>
      <right/>
      <top style="thin">
        <color auto="1"/>
      </top>
      <bottom style="thin">
        <color indexed="64"/>
      </bottom>
      <diagonal/>
    </border>
    <border>
      <left/>
      <right/>
      <top style="thin">
        <color auto="1"/>
      </top>
      <bottom style="thin">
        <color indexed="64"/>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s>
  <cellStyleXfs count="18">
    <xf numFmtId="0" fontId="0" fillId="0" borderId="0"/>
    <xf numFmtId="169" fontId="6" fillId="0" borderId="0" applyFill="0" applyBorder="0">
      <alignment horizontal="right" vertical="top"/>
    </xf>
    <xf numFmtId="0" fontId="7" fillId="0" borderId="0">
      <alignment horizontal="center" wrapText="1"/>
    </xf>
    <xf numFmtId="165" fontId="6" fillId="0" borderId="0" applyFill="0" applyBorder="0" applyAlignment="0" applyProtection="0">
      <alignment horizontal="right" vertical="top"/>
    </xf>
    <xf numFmtId="167" fontId="5" fillId="0" borderId="0"/>
    <xf numFmtId="0" fontId="6" fillId="0" borderId="0" applyFill="0" applyBorder="0">
      <alignment horizontal="left" vertical="top"/>
    </xf>
    <xf numFmtId="168" fontId="4" fillId="0" borderId="0"/>
    <xf numFmtId="0" fontId="8" fillId="0" borderId="0"/>
    <xf numFmtId="0" fontId="6" fillId="0" borderId="0"/>
    <xf numFmtId="0" fontId="8"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0" fontId="4" fillId="6" borderId="13"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xf numFmtId="0" fontId="52" fillId="0" borderId="0" applyNumberFormat="0" applyFill="0" applyBorder="0" applyAlignment="0" applyProtection="0"/>
  </cellStyleXfs>
  <cellXfs count="750">
    <xf numFmtId="0" fontId="0" fillId="0" borderId="0" xfId="0"/>
    <xf numFmtId="0" fontId="10" fillId="2" borderId="6" xfId="0" applyFont="1" applyFill="1" applyBorder="1"/>
    <xf numFmtId="0" fontId="10" fillId="0" borderId="0" xfId="5" applyFont="1" applyFill="1">
      <alignment horizontal="left" vertical="top"/>
    </xf>
    <xf numFmtId="164" fontId="11" fillId="0" borderId="0" xfId="1" applyNumberFormat="1" applyFont="1" applyFill="1" applyAlignment="1">
      <alignment vertical="top"/>
    </xf>
    <xf numFmtId="164" fontId="10" fillId="0" borderId="0" xfId="1" applyNumberFormat="1" applyFont="1" applyFill="1" applyAlignment="1">
      <alignment vertical="top"/>
    </xf>
    <xf numFmtId="0" fontId="10" fillId="0" borderId="0" xfId="5" applyFont="1" applyFill="1" applyAlignment="1">
      <alignment horizontal="left" vertical="top"/>
    </xf>
    <xf numFmtId="0" fontId="11" fillId="0" borderId="7" xfId="5" applyFont="1" applyFill="1" applyBorder="1" applyAlignment="1">
      <alignment horizontal="left" vertical="top"/>
    </xf>
    <xf numFmtId="164" fontId="11" fillId="0" borderId="7" xfId="1" applyNumberFormat="1" applyFont="1" applyFill="1" applyBorder="1" applyAlignment="1">
      <alignment vertical="top"/>
    </xf>
    <xf numFmtId="164" fontId="10" fillId="0" borderId="7"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164" fontId="11" fillId="0" borderId="0" xfId="1" applyNumberFormat="1" applyFont="1" applyFill="1" applyBorder="1" applyAlignment="1">
      <alignment vertical="top"/>
    </xf>
    <xf numFmtId="164"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6" xfId="5" applyFont="1" applyFill="1" applyBorder="1">
      <alignment horizontal="left" vertical="top"/>
    </xf>
    <xf numFmtId="0" fontId="10" fillId="2" borderId="0" xfId="0" applyFont="1" applyFill="1"/>
    <xf numFmtId="3" fontId="10" fillId="3" borderId="0" xfId="0" applyNumberFormat="1" applyFont="1" applyFill="1"/>
    <xf numFmtId="0" fontId="10" fillId="3" borderId="0" xfId="0" applyFont="1" applyFill="1"/>
    <xf numFmtId="0" fontId="10" fillId="2" borderId="5" xfId="0" applyFont="1" applyFill="1" applyBorder="1"/>
    <xf numFmtId="3" fontId="11" fillId="3" borderId="5" xfId="0" applyNumberFormat="1" applyFont="1" applyFill="1" applyBorder="1"/>
    <xf numFmtId="3" fontId="10" fillId="2" borderId="5"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9" fontId="11" fillId="0" borderId="0" xfId="1" applyFont="1" applyFill="1" applyAlignment="1">
      <alignment vertical="top"/>
    </xf>
    <xf numFmtId="169"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167" fontId="13" fillId="3" borderId="0" xfId="4" applyFont="1" applyFill="1" applyBorder="1"/>
    <xf numFmtId="0" fontId="10" fillId="0" borderId="0" xfId="0" applyFont="1"/>
    <xf numFmtId="168" fontId="10" fillId="2" borderId="0" xfId="6" applyFont="1" applyFill="1"/>
    <xf numFmtId="167" fontId="10" fillId="2" borderId="0" xfId="4" applyFont="1" applyFill="1" applyBorder="1"/>
    <xf numFmtId="168" fontId="10" fillId="2" borderId="0" xfId="6" applyFont="1" applyFill="1" applyBorder="1"/>
    <xf numFmtId="168" fontId="11" fillId="2" borderId="0" xfId="6" applyFont="1" applyFill="1" applyBorder="1"/>
    <xf numFmtId="168" fontId="11" fillId="0" borderId="0" xfId="6" applyFont="1" applyFill="1" applyBorder="1" applyAlignment="1">
      <alignment horizontal="right"/>
    </xf>
    <xf numFmtId="168" fontId="10" fillId="0" borderId="0" xfId="6" applyFont="1" applyFill="1" applyBorder="1"/>
    <xf numFmtId="168" fontId="10" fillId="0" borderId="0" xfId="6" applyFont="1" applyFill="1" applyBorder="1" applyAlignment="1">
      <alignment horizontal="right"/>
    </xf>
    <xf numFmtId="167" fontId="11" fillId="0" borderId="0" xfId="4" applyFont="1" applyFill="1" applyBorder="1" applyAlignment="1">
      <alignment horizontal="left"/>
    </xf>
    <xf numFmtId="167"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169" fontId="11" fillId="0" borderId="0" xfId="1" applyFont="1" applyFill="1" applyBorder="1">
      <alignment horizontal="right" vertical="top"/>
    </xf>
    <xf numFmtId="169" fontId="10" fillId="0" borderId="0" xfId="1" applyFont="1" applyFill="1" applyBorder="1">
      <alignment horizontal="right" vertical="top"/>
    </xf>
    <xf numFmtId="0" fontId="10" fillId="2" borderId="0" xfId="5" applyNumberFormat="1" applyFont="1" applyFill="1" applyBorder="1">
      <alignment horizontal="left" vertical="top"/>
    </xf>
    <xf numFmtId="3" fontId="14" fillId="0" borderId="0" xfId="0" applyNumberFormat="1" applyFont="1" applyFill="1" applyBorder="1" applyAlignment="1">
      <alignment horizontal="right"/>
    </xf>
    <xf numFmtId="0" fontId="10" fillId="0" borderId="0" xfId="1" applyNumberFormat="1" applyFont="1" applyFill="1" applyBorder="1" applyAlignment="1">
      <alignment vertical="top"/>
    </xf>
    <xf numFmtId="169" fontId="10" fillId="0" borderId="0" xfId="3" applyNumberFormat="1" applyFont="1" applyFill="1" applyBorder="1">
      <alignment horizontal="righ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3" fontId="15" fillId="0" borderId="0" xfId="0" applyNumberFormat="1" applyFont="1" applyFill="1" applyBorder="1" applyAlignment="1">
      <alignment horizontal="right"/>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9" fontId="16" fillId="0" borderId="0" xfId="1" applyFont="1" applyFill="1" applyBorder="1" applyAlignment="1">
      <alignment horizontal="right" vertical="top"/>
    </xf>
    <xf numFmtId="169" fontId="17" fillId="0" borderId="0" xfId="1" applyFont="1" applyFill="1" applyBorder="1" applyAlignment="1">
      <alignment horizontal="right" vertical="top"/>
    </xf>
    <xf numFmtId="168" fontId="10" fillId="0" borderId="0" xfId="6" applyFont="1" applyFill="1" applyBorder="1" applyAlignment="1">
      <alignment vertical="top"/>
    </xf>
    <xf numFmtId="169" fontId="18" fillId="0" borderId="0" xfId="1" applyFont="1" applyFill="1" applyBorder="1" applyAlignment="1">
      <alignment horizontal="right" vertical="top"/>
    </xf>
    <xf numFmtId="169" fontId="19" fillId="0" borderId="0" xfId="1" applyFont="1" applyFill="1" applyBorder="1" applyAlignment="1">
      <alignment horizontal="right" vertical="top"/>
    </xf>
    <xf numFmtId="167" fontId="10" fillId="0" borderId="0" xfId="5" applyNumberFormat="1" applyFont="1" applyFill="1" applyBorder="1">
      <alignment horizontal="left" vertical="top"/>
    </xf>
    <xf numFmtId="167" fontId="11" fillId="0" borderId="0" xfId="5" applyNumberFormat="1" applyFont="1" applyFill="1" applyBorder="1">
      <alignment horizontal="left" vertical="top"/>
    </xf>
    <xf numFmtId="0" fontId="10" fillId="0" borderId="0" xfId="0" applyFont="1" applyFill="1" applyBorder="1"/>
    <xf numFmtId="168"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6"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7"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6"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0" fontId="11" fillId="2" borderId="0" xfId="0" applyFont="1" applyFill="1" applyBorder="1" applyAlignment="1">
      <alignment vertical="top" wrapText="1"/>
    </xf>
    <xf numFmtId="3" fontId="10" fillId="2" borderId="0" xfId="0" applyNumberFormat="1" applyFont="1" applyFill="1" applyBorder="1" applyAlignment="1">
      <alignment horizontal="right"/>
    </xf>
    <xf numFmtId="0" fontId="11" fillId="2" borderId="7" xfId="0" applyFont="1" applyFill="1" applyBorder="1"/>
    <xf numFmtId="3" fontId="11" fillId="2" borderId="7" xfId="0" applyNumberFormat="1" applyFont="1" applyFill="1" applyBorder="1" applyAlignment="1"/>
    <xf numFmtId="9" fontId="10" fillId="2" borderId="7" xfId="0" applyNumberFormat="1" applyFont="1" applyFill="1" applyBorder="1" applyAlignment="1">
      <alignment horizontal="right"/>
    </xf>
    <xf numFmtId="0" fontId="10" fillId="2" borderId="7"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6" xfId="0" applyNumberFormat="1" applyFont="1" applyFill="1" applyBorder="1" applyAlignment="1">
      <alignment horizontal="right" wrapText="1"/>
    </xf>
    <xf numFmtId="14" fontId="10" fillId="2" borderId="6" xfId="0" applyNumberFormat="1" applyFont="1" applyFill="1" applyBorder="1" applyAlignment="1">
      <alignment horizontal="right" wrapText="1"/>
    </xf>
    <xf numFmtId="2" fontId="10" fillId="2" borderId="5" xfId="0" applyNumberFormat="1" applyFont="1" applyFill="1" applyBorder="1"/>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0" fontId="11" fillId="2" borderId="0" xfId="0" applyFont="1" applyFill="1" applyBorder="1" applyAlignment="1">
      <alignment horizontal="left"/>
    </xf>
    <xf numFmtId="0" fontId="11" fillId="2" borderId="7" xfId="0" applyFont="1" applyFill="1" applyBorder="1" applyAlignment="1">
      <alignment horizontal="left"/>
    </xf>
    <xf numFmtId="0" fontId="10" fillId="2" borderId="0" xfId="0" applyFont="1" applyFill="1" applyAlignment="1">
      <alignment vertical="top" wrapText="1"/>
    </xf>
    <xf numFmtId="0" fontId="10" fillId="2" borderId="6" xfId="0" applyFont="1" applyFill="1" applyBorder="1" applyAlignment="1">
      <alignment horizontal="right" wrapText="1"/>
    </xf>
    <xf numFmtId="0" fontId="11" fillId="2" borderId="6" xfId="0" applyFont="1" applyFill="1" applyBorder="1" applyAlignment="1">
      <alignment horizontal="left"/>
    </xf>
    <xf numFmtId="3" fontId="10" fillId="2" borderId="0" xfId="11" applyNumberFormat="1" applyFont="1" applyFill="1" applyBorder="1" applyAlignment="1">
      <alignment horizontal="right" vertical="top" wrapText="1"/>
    </xf>
    <xf numFmtId="0" fontId="10" fillId="2" borderId="0" xfId="0" applyFont="1" applyFill="1" applyAlignment="1">
      <alignment horizontal="right"/>
    </xf>
    <xf numFmtId="168" fontId="11" fillId="2" borderId="0" xfId="6" applyFont="1" applyFill="1"/>
    <xf numFmtId="168" fontId="10" fillId="0" borderId="0" xfId="6" applyFont="1" applyFill="1" applyAlignment="1">
      <alignment horizontal="right"/>
    </xf>
    <xf numFmtId="167" fontId="11" fillId="0" borderId="1" xfId="8" applyNumberFormat="1" applyFont="1" applyFill="1" applyBorder="1" applyAlignment="1"/>
    <xf numFmtId="168"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164" fontId="11" fillId="0" borderId="0" xfId="4" applyNumberFormat="1" applyFont="1" applyFill="1" applyBorder="1"/>
    <xf numFmtId="0" fontId="10" fillId="0" borderId="0" xfId="5" applyFont="1" applyFill="1" applyAlignment="1">
      <alignment horizontal="right" vertical="top" wrapText="1"/>
    </xf>
    <xf numFmtId="169" fontId="11" fillId="0" borderId="0" xfId="1" applyFont="1" applyFill="1">
      <alignment horizontal="right" vertical="top"/>
    </xf>
    <xf numFmtId="169" fontId="10" fillId="0" borderId="0" xfId="1" applyFont="1" applyFill="1">
      <alignment horizontal="right" vertical="top"/>
    </xf>
    <xf numFmtId="164" fontId="10" fillId="0" borderId="0" xfId="5" applyNumberFormat="1" applyFont="1" applyFill="1">
      <alignment horizontal="left" vertical="top"/>
    </xf>
    <xf numFmtId="169"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169" fontId="10" fillId="0" borderId="4" xfId="1" applyFont="1" applyFill="1" applyBorder="1" applyAlignment="1">
      <alignment horizontal="left" vertical="top"/>
    </xf>
    <xf numFmtId="0" fontId="11" fillId="0" borderId="4" xfId="5" applyFont="1" applyFill="1" applyBorder="1">
      <alignment horizontal="left" vertical="top"/>
    </xf>
    <xf numFmtId="0" fontId="10" fillId="0" borderId="4" xfId="5" applyFont="1" applyFill="1" applyBorder="1" applyAlignment="1">
      <alignment horizontal="left" vertical="top" wrapText="1"/>
    </xf>
    <xf numFmtId="3" fontId="15" fillId="0" borderId="4" xfId="0" applyNumberFormat="1" applyFont="1" applyFill="1" applyBorder="1" applyAlignment="1">
      <alignment horizontal="right"/>
    </xf>
    <xf numFmtId="3" fontId="14" fillId="0" borderId="4" xfId="0" applyNumberFormat="1" applyFont="1" applyFill="1" applyBorder="1" applyAlignment="1">
      <alignment horizontal="right"/>
    </xf>
    <xf numFmtId="0" fontId="10" fillId="0" borderId="0" xfId="5" applyFont="1" applyFill="1" applyAlignment="1">
      <alignment horizontal="left" vertical="top" wrapText="1"/>
    </xf>
    <xf numFmtId="164" fontId="10" fillId="0" borderId="0" xfId="5" applyNumberFormat="1" applyFont="1" applyFill="1" applyAlignment="1">
      <alignment horizontal="left" vertical="top"/>
    </xf>
    <xf numFmtId="169" fontId="17" fillId="0" borderId="0" xfId="1" applyFont="1" applyFill="1" applyAlignment="1">
      <alignment horizontal="left" vertical="top"/>
    </xf>
    <xf numFmtId="169" fontId="16" fillId="0" borderId="0" xfId="1" applyFont="1" applyFill="1" applyAlignment="1">
      <alignment horizontal="right" vertical="top"/>
    </xf>
    <xf numFmtId="169" fontId="17" fillId="0" borderId="0" xfId="1" applyFont="1" applyFill="1" applyAlignment="1">
      <alignment horizontal="right" vertical="top"/>
    </xf>
    <xf numFmtId="168" fontId="10" fillId="0" borderId="0" xfId="6" applyFont="1" applyFill="1" applyAlignment="1">
      <alignment vertical="top"/>
    </xf>
    <xf numFmtId="169" fontId="18" fillId="0" borderId="0" xfId="1" applyFont="1" applyFill="1" applyAlignment="1">
      <alignment horizontal="right" vertical="top"/>
    </xf>
    <xf numFmtId="169" fontId="19" fillId="0" borderId="0" xfId="1" applyFont="1" applyFill="1" applyAlignment="1">
      <alignment horizontal="right" vertical="top"/>
    </xf>
    <xf numFmtId="164" fontId="10" fillId="0" borderId="0" xfId="5" applyNumberFormat="1" applyFont="1" applyFill="1" applyBorder="1">
      <alignment horizontal="left" vertical="top"/>
    </xf>
    <xf numFmtId="164" fontId="10" fillId="0" borderId="1" xfId="5" applyNumberFormat="1" applyFont="1" applyFill="1" applyBorder="1">
      <alignment horizontal="left" vertical="top"/>
    </xf>
    <xf numFmtId="169" fontId="10" fillId="0" borderId="1" xfId="1" applyFont="1" applyFill="1" applyBorder="1" applyAlignment="1">
      <alignment horizontal="left" vertical="top"/>
    </xf>
    <xf numFmtId="167" fontId="10" fillId="0" borderId="1" xfId="5" applyNumberFormat="1" applyFont="1" applyFill="1" applyBorder="1">
      <alignment horizontal="left" vertical="top"/>
    </xf>
    <xf numFmtId="164" fontId="11" fillId="0" borderId="1" xfId="5" applyNumberFormat="1" applyFont="1" applyFill="1" applyBorder="1">
      <alignment horizontal="left" vertical="top"/>
    </xf>
    <xf numFmtId="167" fontId="11" fillId="0" borderId="1" xfId="5" applyNumberFormat="1" applyFont="1" applyFill="1" applyBorder="1">
      <alignment horizontal="left" vertical="top"/>
    </xf>
    <xf numFmtId="0" fontId="11" fillId="0" borderId="0" xfId="5" applyFont="1" applyFill="1" applyAlignment="1">
      <alignment horizontal="left" vertical="top"/>
    </xf>
    <xf numFmtId="169" fontId="11" fillId="0" borderId="4" xfId="1" applyFont="1" applyFill="1" applyBorder="1" applyAlignment="1">
      <alignment horizontal="left" vertical="top"/>
    </xf>
    <xf numFmtId="0" fontId="11" fillId="0" borderId="4" xfId="5" applyFont="1" applyFill="1" applyBorder="1" applyAlignment="1">
      <alignment horizontal="left" vertical="top" wrapText="1"/>
    </xf>
    <xf numFmtId="0" fontId="10" fillId="0" borderId="0" xfId="0" applyFont="1" applyFill="1"/>
    <xf numFmtId="168" fontId="22" fillId="0" borderId="0" xfId="6" applyFont="1" applyFill="1"/>
    <xf numFmtId="168" fontId="11" fillId="0" borderId="0" xfId="6" applyFont="1" applyFill="1"/>
    <xf numFmtId="0" fontId="11" fillId="2" borderId="6" xfId="0" applyFont="1" applyFill="1" applyBorder="1" applyAlignment="1">
      <alignment horizontal="right"/>
    </xf>
    <xf numFmtId="3" fontId="11" fillId="2" borderId="0" xfId="0" applyNumberFormat="1" applyFont="1" applyFill="1" applyBorder="1" applyAlignment="1">
      <alignment horizontal="right"/>
    </xf>
    <xf numFmtId="3" fontId="11" fillId="2" borderId="7" xfId="0" applyNumberFormat="1" applyFont="1" applyFill="1" applyBorder="1" applyAlignment="1">
      <alignment horizontal="right"/>
    </xf>
    <xf numFmtId="170"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6" xfId="0" applyFont="1" applyFill="1" applyBorder="1" applyAlignment="1">
      <alignment horizontal="right" wrapText="1"/>
    </xf>
    <xf numFmtId="3" fontId="11" fillId="2" borderId="0" xfId="11" applyNumberFormat="1" applyFont="1" applyFill="1" applyBorder="1" applyAlignment="1"/>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0" fillId="2" borderId="8" xfId="0" applyFont="1" applyFill="1" applyBorder="1" applyAlignment="1">
      <alignment vertical="top"/>
    </xf>
    <xf numFmtId="9" fontId="10" fillId="2" borderId="0" xfId="10" applyFont="1" applyFill="1"/>
    <xf numFmtId="0" fontId="11" fillId="2" borderId="1" xfId="0" applyFont="1" applyFill="1" applyBorder="1"/>
    <xf numFmtId="0" fontId="10" fillId="2" borderId="4" xfId="0" applyFont="1" applyFill="1" applyBorder="1" applyAlignment="1">
      <alignment vertical="top"/>
    </xf>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6" xfId="0" applyFont="1" applyFill="1" applyBorder="1" applyAlignment="1">
      <alignment horizontal="left" vertical="top" wrapText="1"/>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right" vertical="top"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1" fillId="2" borderId="1" xfId="0" applyNumberFormat="1" applyFont="1" applyFill="1" applyBorder="1" applyAlignment="1">
      <alignment horizontal="right" vertical="top" wrapText="1"/>
    </xf>
    <xf numFmtId="3" fontId="10" fillId="3" borderId="0" xfId="5" applyNumberFormat="1" applyFont="1" applyFill="1" applyAlignment="1">
      <alignment horizontal="right" vertical="top"/>
    </xf>
    <xf numFmtId="3" fontId="10" fillId="3" borderId="0" xfId="0" quotePrefix="1" applyNumberFormat="1" applyFont="1" applyFill="1" applyBorder="1" applyAlignment="1">
      <alignment horizontal="right" vertical="top" wrapText="1"/>
    </xf>
    <xf numFmtId="3" fontId="10" fillId="3"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0" fontId="11" fillId="2" borderId="6" xfId="0" applyFont="1" applyFill="1" applyBorder="1" applyAlignment="1"/>
    <xf numFmtId="3" fontId="11" fillId="2" borderId="0" xfId="0" applyNumberFormat="1" applyFont="1" applyFill="1" applyBorder="1"/>
    <xf numFmtId="3" fontId="10" fillId="2" borderId="0" xfId="0" applyNumberFormat="1" applyFont="1" applyFill="1" applyBorder="1"/>
    <xf numFmtId="1" fontId="11" fillId="2" borderId="7" xfId="11" applyNumberFormat="1" applyFont="1" applyFill="1" applyBorder="1"/>
    <xf numFmtId="1" fontId="10" fillId="2" borderId="7" xfId="11" applyNumberFormat="1" applyFont="1" applyFill="1" applyBorder="1"/>
    <xf numFmtId="3" fontId="10" fillId="2" borderId="0" xfId="11" applyNumberFormat="1" applyFont="1" applyFill="1" applyBorder="1" applyAlignment="1">
      <alignment horizontal="right"/>
    </xf>
    <xf numFmtId="3" fontId="11" fillId="2" borderId="7" xfId="11" applyNumberFormat="1" applyFont="1" applyFill="1" applyBorder="1" applyAlignment="1">
      <alignment horizontal="right"/>
    </xf>
    <xf numFmtId="0" fontId="11" fillId="2" borderId="6"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6" xfId="0" applyFont="1" applyFill="1" applyBorder="1" applyAlignment="1">
      <alignment wrapText="1"/>
    </xf>
    <xf numFmtId="0" fontId="10" fillId="2" borderId="0" xfId="0" applyFont="1" applyFill="1" applyBorder="1" applyAlignment="1">
      <alignment horizontal="center"/>
    </xf>
    <xf numFmtId="170" fontId="10" fillId="2" borderId="0" xfId="0" applyNumberFormat="1" applyFont="1" applyFill="1" applyBorder="1" applyAlignment="1">
      <alignment horizontal="right"/>
    </xf>
    <xf numFmtId="0" fontId="11" fillId="2" borderId="7" xfId="0" applyFont="1" applyFill="1" applyBorder="1" applyAlignment="1">
      <alignment vertical="top" wrapText="1"/>
    </xf>
    <xf numFmtId="0" fontId="11" fillId="2" borderId="7" xfId="0" applyFont="1" applyFill="1" applyBorder="1" applyAlignment="1">
      <alignment horizontal="center"/>
    </xf>
    <xf numFmtId="3" fontId="11" fillId="2" borderId="7" xfId="0" applyNumberFormat="1" applyFont="1" applyFill="1" applyBorder="1"/>
    <xf numFmtId="170" fontId="11" fillId="2" borderId="7" xfId="0" applyNumberFormat="1" applyFont="1" applyFill="1" applyBorder="1"/>
    <xf numFmtId="3" fontId="15" fillId="2" borderId="7" xfId="0" applyNumberFormat="1" applyFont="1" applyFill="1" applyBorder="1" applyAlignment="1"/>
    <xf numFmtId="170" fontId="11" fillId="2" borderId="7" xfId="0" applyNumberFormat="1" applyFont="1" applyFill="1" applyBorder="1" applyAlignment="1"/>
    <xf numFmtId="170" fontId="11" fillId="2" borderId="7" xfId="10" applyNumberFormat="1" applyFont="1" applyFill="1" applyBorder="1" applyAlignment="1"/>
    <xf numFmtId="3" fontId="15" fillId="2" borderId="0" xfId="0" applyNumberFormat="1" applyFont="1" applyFill="1" applyBorder="1" applyAlignment="1"/>
    <xf numFmtId="9" fontId="11" fillId="2" borderId="0" xfId="0" applyNumberFormat="1" applyFont="1" applyFill="1" applyBorder="1" applyAlignment="1"/>
    <xf numFmtId="9" fontId="11" fillId="2" borderId="0" xfId="10"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10" fillId="2" borderId="6" xfId="0" applyFont="1" applyFill="1" applyBorder="1" applyAlignment="1">
      <alignment horizontal="center" vertical="top" wrapText="1"/>
    </xf>
    <xf numFmtId="9" fontId="10" fillId="2" borderId="0" xfId="10" applyFont="1" applyFill="1" applyBorder="1" applyAlignment="1">
      <alignment horizontal="right" wrapText="1"/>
    </xf>
    <xf numFmtId="0" fontId="10" fillId="2" borderId="7" xfId="0" applyFont="1" applyFill="1" applyBorder="1" applyAlignment="1">
      <alignment horizontal="left"/>
    </xf>
    <xf numFmtId="3" fontId="11" fillId="2" borderId="7" xfId="0" applyNumberFormat="1" applyFont="1" applyFill="1" applyBorder="1" applyAlignment="1">
      <alignment horizontal="right" wrapText="1"/>
    </xf>
    <xf numFmtId="3" fontId="10" fillId="2" borderId="7" xfId="0" applyNumberFormat="1" applyFont="1" applyFill="1" applyBorder="1" applyAlignment="1">
      <alignment horizontal="right" wrapText="1"/>
    </xf>
    <xf numFmtId="9" fontId="11" fillId="2" borderId="7" xfId="10" applyFont="1" applyFill="1" applyBorder="1" applyAlignment="1">
      <alignment horizontal="right" vertical="top" wrapText="1"/>
    </xf>
    <xf numFmtId="0" fontId="10" fillId="2" borderId="7" xfId="0" applyFont="1" applyFill="1" applyBorder="1"/>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6" xfId="0" applyNumberFormat="1" applyFont="1" applyFill="1" applyBorder="1" applyAlignment="1">
      <alignment horizontal="right" vertical="top" wrapText="1"/>
    </xf>
    <xf numFmtId="170"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70" fontId="11" fillId="2" borderId="7" xfId="10" applyNumberFormat="1" applyFont="1" applyFill="1" applyBorder="1"/>
    <xf numFmtId="171" fontId="10" fillId="2" borderId="0" xfId="11" applyNumberFormat="1" applyFont="1" applyFill="1" applyBorder="1" applyAlignment="1"/>
    <xf numFmtId="10" fontId="10" fillId="2" borderId="0" xfId="11" applyNumberFormat="1" applyFont="1" applyFill="1" applyBorder="1" applyAlignment="1"/>
    <xf numFmtId="0" fontId="13" fillId="2" borderId="3" xfId="0" applyFont="1" applyFill="1" applyBorder="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5" xfId="0" applyFont="1" applyFill="1" applyBorder="1" applyAlignment="1">
      <alignment vertical="top"/>
    </xf>
    <xf numFmtId="0" fontId="10" fillId="2" borderId="5" xfId="7" applyFont="1" applyFill="1" applyBorder="1"/>
    <xf numFmtId="3" fontId="10" fillId="2" borderId="5" xfId="7" applyNumberFormat="1" applyFont="1" applyFill="1" applyBorder="1"/>
    <xf numFmtId="0" fontId="11" fillId="2" borderId="7" xfId="0" applyFont="1" applyFill="1" applyBorder="1" applyAlignment="1">
      <alignment vertical="top"/>
    </xf>
    <xf numFmtId="0" fontId="11" fillId="2" borderId="7" xfId="7" applyFont="1" applyFill="1" applyBorder="1" applyAlignment="1">
      <alignment horizontal="justify"/>
    </xf>
    <xf numFmtId="3" fontId="11" fillId="2" borderId="7" xfId="7" applyNumberFormat="1" applyFont="1" applyFill="1" applyBorder="1"/>
    <xf numFmtId="3" fontId="10" fillId="2" borderId="7" xfId="7" applyNumberFormat="1" applyFont="1" applyFill="1" applyBorder="1"/>
    <xf numFmtId="3" fontId="10" fillId="2" borderId="7" xfId="0" applyNumberFormat="1" applyFont="1" applyFill="1" applyBorder="1"/>
    <xf numFmtId="0" fontId="11" fillId="2" borderId="7"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6" xfId="0" applyFont="1" applyFill="1" applyBorder="1" applyAlignment="1">
      <alignment horizontal="right" wrapText="1"/>
    </xf>
    <xf numFmtId="0" fontId="10" fillId="3" borderId="6" xfId="0" applyFont="1" applyFill="1" applyBorder="1" applyAlignment="1">
      <alignment horizontal="right" wrapText="1"/>
    </xf>
    <xf numFmtId="3" fontId="11" fillId="3" borderId="7" xfId="0" applyNumberFormat="1" applyFont="1" applyFill="1" applyBorder="1"/>
    <xf numFmtId="3" fontId="10" fillId="3" borderId="7" xfId="0" applyNumberFormat="1" applyFont="1" applyFill="1" applyBorder="1"/>
    <xf numFmtId="171" fontId="11" fillId="2" borderId="7" xfId="11" applyNumberFormat="1" applyFont="1" applyFill="1" applyBorder="1" applyAlignment="1">
      <alignment horizontal="right" vertical="top" wrapText="1"/>
    </xf>
    <xf numFmtId="171" fontId="10" fillId="2" borderId="7" xfId="11" applyNumberFormat="1" applyFont="1" applyFill="1" applyBorder="1" applyAlignment="1">
      <alignment horizontal="right" vertical="top" wrapText="1"/>
    </xf>
    <xf numFmtId="0" fontId="10" fillId="0" borderId="0" xfId="0" applyFont="1" applyBorder="1"/>
    <xf numFmtId="0" fontId="10" fillId="0" borderId="1" xfId="0" applyFont="1" applyBorder="1"/>
    <xf numFmtId="0" fontId="10" fillId="2" borderId="0" xfId="0" applyFont="1" applyFill="1"/>
    <xf numFmtId="0" fontId="20" fillId="4" borderId="9" xfId="0" applyFont="1" applyFill="1" applyBorder="1" applyAlignment="1">
      <alignment horizontal="left"/>
    </xf>
    <xf numFmtId="0" fontId="21" fillId="4" borderId="9" xfId="0" applyFont="1" applyFill="1" applyBorder="1" applyAlignment="1">
      <alignment horizontal="center"/>
    </xf>
    <xf numFmtId="0" fontId="21" fillId="4" borderId="0" xfId="0" applyFont="1" applyFill="1" applyAlignment="1">
      <alignment horizontal="center"/>
    </xf>
    <xf numFmtId="0" fontId="21" fillId="4" borderId="0" xfId="0" applyFont="1" applyFill="1"/>
    <xf numFmtId="0" fontId="21" fillId="4" borderId="0" xfId="0" applyFont="1" applyFill="1" applyAlignment="1">
      <alignment horizontal="right"/>
    </xf>
    <xf numFmtId="0" fontId="10" fillId="2" borderId="0" xfId="0" applyFont="1" applyFill="1"/>
    <xf numFmtId="0" fontId="24" fillId="3" borderId="0" xfId="0" applyFont="1" applyFill="1"/>
    <xf numFmtId="0" fontId="22" fillId="3" borderId="0" xfId="0" applyFont="1" applyFill="1" applyAlignment="1">
      <alignment horizontal="right"/>
    </xf>
    <xf numFmtId="0" fontId="22" fillId="3" borderId="0" xfId="0" applyFont="1" applyFill="1"/>
    <xf numFmtId="0" fontId="23" fillId="3" borderId="0" xfId="0" applyFont="1" applyFill="1" applyAlignment="1">
      <alignment horizontal="center"/>
    </xf>
    <xf numFmtId="0" fontId="24" fillId="3" borderId="0" xfId="0" applyFont="1" applyFill="1" applyAlignment="1">
      <alignment horizontal="right"/>
    </xf>
    <xf numFmtId="0" fontId="22" fillId="5" borderId="0" xfId="0" applyFont="1" applyFill="1" applyAlignment="1">
      <alignment horizontal="right"/>
    </xf>
    <xf numFmtId="0" fontId="24" fillId="5" borderId="0" xfId="0" applyFont="1" applyFill="1"/>
    <xf numFmtId="0" fontId="24" fillId="3" borderId="0" xfId="0" applyNumberFormat="1" applyFont="1" applyFill="1"/>
    <xf numFmtId="0" fontId="24" fillId="5" borderId="0" xfId="0" applyFont="1" applyFill="1" applyAlignment="1">
      <alignment horizontal="right"/>
    </xf>
    <xf numFmtId="0" fontId="22" fillId="2" borderId="0" xfId="0" applyFont="1" applyFill="1"/>
    <xf numFmtId="0" fontId="10" fillId="2" borderId="0" xfId="0" applyFont="1" applyFill="1"/>
    <xf numFmtId="3" fontId="10" fillId="3" borderId="5"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3" borderId="0" xfId="0" applyFont="1" applyFill="1" applyAlignment="1"/>
    <xf numFmtId="0" fontId="10" fillId="2" borderId="0" xfId="0" applyFont="1" applyFill="1"/>
    <xf numFmtId="0" fontId="13" fillId="3" borderId="0" xfId="0" applyFont="1" applyFill="1" applyBorder="1" applyAlignment="1">
      <alignment vertical="top" wrapText="1"/>
    </xf>
    <xf numFmtId="0" fontId="10" fillId="3" borderId="0" xfId="0" applyFont="1" applyFill="1" applyBorder="1" applyAlignment="1">
      <alignment horizontal="lef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6" xfId="0" applyFont="1" applyFill="1" applyBorder="1" applyAlignment="1">
      <alignment horizontal="left" wrapText="1"/>
    </xf>
    <xf numFmtId="0" fontId="11" fillId="3" borderId="6" xfId="0" applyFont="1" applyFill="1" applyBorder="1" applyAlignment="1">
      <alignment horizontal="left" wrapText="1"/>
    </xf>
    <xf numFmtId="3" fontId="10" fillId="3" borderId="0" xfId="0" applyNumberFormat="1" applyFont="1" applyFill="1" applyBorder="1" applyAlignment="1">
      <alignment wrapText="1"/>
    </xf>
    <xf numFmtId="0" fontId="10" fillId="3" borderId="5" xfId="0" applyFont="1" applyFill="1" applyBorder="1" applyAlignment="1">
      <alignment horizontal="left"/>
    </xf>
    <xf numFmtId="0" fontId="10" fillId="3" borderId="5" xfId="0" applyFont="1" applyFill="1" applyBorder="1" applyAlignment="1">
      <alignment horizontal="left" wrapText="1"/>
    </xf>
    <xf numFmtId="3" fontId="10" fillId="3" borderId="5" xfId="0" applyNumberFormat="1" applyFont="1" applyFill="1" applyBorder="1" applyAlignment="1">
      <alignment wrapText="1"/>
    </xf>
    <xf numFmtId="0" fontId="10" fillId="3" borderId="5"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7" xfId="0" applyFont="1" applyFill="1" applyBorder="1" applyAlignment="1"/>
    <xf numFmtId="0" fontId="10" fillId="3" borderId="7" xfId="0" applyFont="1" applyFill="1" applyBorder="1" applyAlignment="1"/>
    <xf numFmtId="3" fontId="11" fillId="3" borderId="7" xfId="0" applyNumberFormat="1" applyFont="1" applyFill="1" applyBorder="1" applyAlignment="1"/>
    <xf numFmtId="0" fontId="10" fillId="2" borderId="0" xfId="0" applyFont="1" applyFill="1"/>
    <xf numFmtId="0" fontId="10" fillId="2" borderId="0" xfId="0" applyFont="1" applyFill="1"/>
    <xf numFmtId="0" fontId="13" fillId="2" borderId="0" xfId="0" applyFont="1" applyFill="1" applyAlignment="1">
      <alignment horizontal="left" vertical="top"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70"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7" fontId="10" fillId="0" borderId="0" xfId="8" applyNumberFormat="1" applyFont="1" applyFill="1" applyBorder="1" applyAlignment="1">
      <alignment horizontal="left" vertical="top"/>
    </xf>
    <xf numFmtId="0" fontId="11" fillId="2" borderId="10" xfId="0" applyFont="1" applyFill="1" applyBorder="1" applyAlignment="1">
      <alignment horizontal="left"/>
    </xf>
    <xf numFmtId="171" fontId="11" fillId="2" borderId="0" xfId="11" applyNumberFormat="1" applyFont="1" applyFill="1" applyBorder="1"/>
    <xf numFmtId="171" fontId="11" fillId="2" borderId="7" xfId="11" applyNumberFormat="1" applyFont="1" applyFill="1" applyBorder="1" applyAlignment="1">
      <alignment horizontal="right"/>
    </xf>
    <xf numFmtId="0" fontId="11" fillId="2" borderId="11" xfId="0" applyFont="1" applyFill="1" applyBorder="1"/>
    <xf numFmtId="0" fontId="13" fillId="2" borderId="0" xfId="0" applyFont="1" applyFill="1" applyAlignment="1">
      <alignment horizontal="right" vertical="top" wrapText="1"/>
    </xf>
    <xf numFmtId="0" fontId="10" fillId="2" borderId="0" xfId="0" applyFont="1" applyFill="1"/>
    <xf numFmtId="0" fontId="10" fillId="0" borderId="0" xfId="0" applyFont="1" applyFill="1"/>
    <xf numFmtId="0" fontId="4" fillId="0" borderId="0" xfId="0" applyFont="1" applyFill="1"/>
    <xf numFmtId="167"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9"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11" xfId="0" applyFont="1" applyBorder="1"/>
    <xf numFmtId="3" fontId="11" fillId="0" borderId="11" xfId="0" applyNumberFormat="1" applyFont="1" applyBorder="1"/>
    <xf numFmtId="3" fontId="11" fillId="0" borderId="0" xfId="0" applyNumberFormat="1" applyFont="1" applyBorder="1"/>
    <xf numFmtId="0" fontId="11" fillId="2" borderId="6" xfId="0" applyFont="1" applyFill="1" applyBorder="1" applyAlignment="1">
      <alignment horizontal="right" wrapText="1"/>
    </xf>
    <xf numFmtId="164" fontId="25" fillId="0" borderId="0" xfId="1" applyNumberFormat="1" applyFont="1" applyFill="1" applyBorder="1" applyAlignment="1">
      <alignment vertical="top"/>
    </xf>
    <xf numFmtId="0" fontId="13" fillId="0" borderId="0" xfId="0" applyFont="1" applyFill="1" applyAlignment="1">
      <alignment horizontal="right" vertical="top" wrapText="1"/>
    </xf>
    <xf numFmtId="3" fontId="11" fillId="3" borderId="0" xfId="0" applyNumberFormat="1" applyFont="1" applyFill="1"/>
    <xf numFmtId="3" fontId="11" fillId="3" borderId="7" xfId="0" applyNumberFormat="1" applyFont="1" applyFill="1" applyBorder="1" applyAlignment="1">
      <alignment horizontal="right"/>
    </xf>
    <xf numFmtId="0" fontId="13" fillId="3" borderId="0" xfId="0" applyFont="1" applyFill="1" applyAlignment="1">
      <alignment horizontal="right" vertical="top" wrapText="1"/>
    </xf>
    <xf numFmtId="0" fontId="10" fillId="2" borderId="0" xfId="0" applyFont="1" applyFill="1"/>
    <xf numFmtId="0" fontId="10" fillId="2" borderId="0" xfId="0" applyFont="1" applyFill="1"/>
    <xf numFmtId="0" fontId="13" fillId="3" borderId="0" xfId="0" applyFont="1" applyFill="1"/>
    <xf numFmtId="0" fontId="10" fillId="3" borderId="6" xfId="0" applyFont="1" applyFill="1" applyBorder="1" applyAlignment="1"/>
    <xf numFmtId="3" fontId="11" fillId="3" borderId="7" xfId="11" applyNumberFormat="1" applyFont="1" applyFill="1" applyBorder="1" applyAlignment="1">
      <alignment horizontal="right" wrapText="1"/>
    </xf>
    <xf numFmtId="0" fontId="10" fillId="3" borderId="0" xfId="0" applyFont="1" applyFill="1" applyBorder="1" applyAlignment="1">
      <alignment horizontal="right"/>
    </xf>
    <xf numFmtId="3" fontId="10" fillId="2" borderId="7" xfId="0" applyNumberFormat="1" applyFont="1" applyFill="1" applyBorder="1" applyAlignment="1"/>
    <xf numFmtId="2" fontId="10" fillId="3" borderId="0" xfId="0" applyNumberFormat="1" applyFont="1" applyFill="1"/>
    <xf numFmtId="172" fontId="10" fillId="3" borderId="0" xfId="0" applyNumberFormat="1" applyFont="1" applyFill="1"/>
    <xf numFmtId="3" fontId="10" fillId="3" borderId="7" xfId="0" applyNumberFormat="1" applyFont="1" applyFill="1" applyBorder="1" applyAlignment="1"/>
    <xf numFmtId="0" fontId="10" fillId="3" borderId="0" xfId="0" applyFont="1" applyFill="1"/>
    <xf numFmtId="172" fontId="10" fillId="3" borderId="5" xfId="0" applyNumberFormat="1" applyFont="1" applyFill="1" applyBorder="1"/>
    <xf numFmtId="3" fontId="11" fillId="2" borderId="0" xfId="0" applyNumberFormat="1" applyFont="1" applyFill="1"/>
    <xf numFmtId="0" fontId="10" fillId="3" borderId="5" xfId="0" applyFont="1" applyFill="1" applyBorder="1"/>
    <xf numFmtId="0" fontId="11" fillId="3" borderId="5" xfId="0" applyFont="1" applyFill="1" applyBorder="1"/>
    <xf numFmtId="3" fontId="10" fillId="3" borderId="0" xfId="0" applyNumberFormat="1" applyFont="1" applyFill="1" applyBorder="1"/>
    <xf numFmtId="3" fontId="10" fillId="3" borderId="0" xfId="7" applyNumberFormat="1" applyFont="1" applyFill="1"/>
    <xf numFmtId="2" fontId="11" fillId="3" borderId="5" xfId="0" applyNumberFormat="1" applyFont="1" applyFill="1" applyBorder="1"/>
    <xf numFmtId="3" fontId="10" fillId="0" borderId="11" xfId="0" applyNumberFormat="1" applyFont="1" applyBorder="1"/>
    <xf numFmtId="0" fontId="10" fillId="2" borderId="0" xfId="0" applyFont="1" applyFill="1" applyBorder="1" applyAlignment="1">
      <alignment horizontal="left" vertical="top"/>
    </xf>
    <xf numFmtId="0" fontId="10" fillId="3" borderId="0" xfId="0" applyFont="1" applyFill="1"/>
    <xf numFmtId="0" fontId="11" fillId="2" borderId="6" xfId="0" applyFont="1" applyFill="1" applyBorder="1" applyAlignment="1">
      <alignment horizontal="left" wrapText="1"/>
    </xf>
    <xf numFmtId="3" fontId="11" fillId="2" borderId="0" xfId="13" applyNumberFormat="1" applyFont="1" applyFill="1" applyBorder="1" applyAlignment="1"/>
    <xf numFmtId="3" fontId="11" fillId="2" borderId="7" xfId="13" applyNumberFormat="1" applyFont="1" applyFill="1" applyBorder="1" applyAlignment="1"/>
    <xf numFmtId="0" fontId="11" fillId="2" borderId="6" xfId="0" applyFont="1" applyFill="1" applyBorder="1" applyAlignment="1">
      <alignment horizontal="left" wrapText="1"/>
    </xf>
    <xf numFmtId="171" fontId="10" fillId="2" borderId="0" xfId="11" applyNumberFormat="1" applyFont="1" applyFill="1" applyAlignment="1">
      <alignment vertical="top"/>
    </xf>
    <xf numFmtId="3" fontId="11" fillId="2" borderId="12" xfId="0" applyNumberFormat="1" applyFont="1" applyFill="1" applyBorder="1" applyAlignment="1">
      <alignment horizontal="right"/>
    </xf>
    <xf numFmtId="170" fontId="10" fillId="3" borderId="0" xfId="10" applyNumberFormat="1" applyFont="1" applyFill="1" applyBorder="1" applyAlignment="1"/>
    <xf numFmtId="170" fontId="10" fillId="2" borderId="0" xfId="10" applyNumberFormat="1" applyFont="1" applyFill="1" applyBorder="1" applyAlignment="1"/>
    <xf numFmtId="1" fontId="10" fillId="2" borderId="0" xfId="5" applyNumberFormat="1" applyFont="1" applyFill="1" applyBorder="1" applyAlignment="1"/>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70" fontId="11" fillId="2" borderId="0" xfId="0" applyNumberFormat="1" applyFont="1" applyFill="1" applyBorder="1"/>
    <xf numFmtId="3" fontId="11" fillId="0" borderId="7" xfId="11" applyNumberFormat="1" applyFont="1" applyFill="1" applyBorder="1" applyAlignment="1">
      <alignment horizontal="right"/>
    </xf>
    <xf numFmtId="3" fontId="11" fillId="3" borderId="1" xfId="0" applyNumberFormat="1" applyFont="1" applyFill="1" applyBorder="1" applyAlignment="1">
      <alignment horizontal="right" vertical="top" wrapText="1"/>
    </xf>
    <xf numFmtId="0" fontId="4" fillId="0" borderId="14" xfId="5" applyFont="1" applyFill="1" applyBorder="1">
      <alignment horizontal="left" vertical="top"/>
    </xf>
    <xf numFmtId="0" fontId="10" fillId="0" borderId="0" xfId="5" applyNumberFormat="1" applyFont="1" applyFill="1" applyBorder="1" applyAlignment="1">
      <alignment horizontal="right" vertical="top"/>
    </xf>
    <xf numFmtId="0" fontId="10" fillId="3" borderId="0" xfId="0" applyFont="1" applyFill="1"/>
    <xf numFmtId="0" fontId="10" fillId="0" borderId="0" xfId="0" applyFont="1" applyFill="1"/>
    <xf numFmtId="0" fontId="11" fillId="2" borderId="6" xfId="0" applyFont="1" applyFill="1" applyBorder="1" applyAlignment="1">
      <alignment horizontal="right" vertical="top" wrapText="1"/>
    </xf>
    <xf numFmtId="0" fontId="13" fillId="2" borderId="0" xfId="0" applyFont="1" applyFill="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0" fontId="10" fillId="2" borderId="6" xfId="0" applyFont="1" applyFill="1" applyBorder="1" applyAlignment="1">
      <alignment horizontal="left"/>
    </xf>
    <xf numFmtId="0" fontId="28" fillId="0" borderId="16" xfId="0" applyFont="1" applyBorder="1" applyAlignment="1">
      <alignment horizontal="right" vertical="top"/>
    </xf>
    <xf numFmtId="0" fontId="28" fillId="0" borderId="16" xfId="0" applyFont="1" applyBorder="1" applyAlignment="1">
      <alignment vertical="top"/>
    </xf>
    <xf numFmtId="0" fontId="28" fillId="0" borderId="0" xfId="0" applyFont="1" applyBorder="1" applyAlignment="1">
      <alignment horizontal="right" vertical="top" wrapText="1"/>
    </xf>
    <xf numFmtId="170" fontId="29" fillId="0" borderId="0" xfId="0" applyNumberFormat="1" applyFont="1" applyBorder="1" applyAlignment="1">
      <alignment vertical="center" wrapText="1"/>
    </xf>
    <xf numFmtId="170" fontId="29" fillId="0" borderId="0" xfId="0" applyNumberFormat="1" applyFont="1" applyAlignment="1">
      <alignment horizontal="right" vertical="center" wrapText="1"/>
    </xf>
    <xf numFmtId="0" fontId="29" fillId="0" borderId="0" xfId="0" applyFont="1" applyAlignment="1">
      <alignment vertical="center" wrapText="1"/>
    </xf>
    <xf numFmtId="170" fontId="29" fillId="0" borderId="0" xfId="0" applyNumberFormat="1" applyFont="1" applyAlignment="1">
      <alignment vertical="center" wrapText="1"/>
    </xf>
    <xf numFmtId="170"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28" fillId="0" borderId="0" xfId="12" applyFont="1" applyBorder="1" applyAlignment="1">
      <alignment horizontal="right" vertical="top" wrapText="1"/>
    </xf>
    <xf numFmtId="0" fontId="28" fillId="0" borderId="16" xfId="12" applyFont="1" applyBorder="1" applyAlignment="1">
      <alignment vertical="top"/>
    </xf>
    <xf numFmtId="0" fontId="28" fillId="0" borderId="16" xfId="12" applyFont="1" applyBorder="1" applyAlignment="1">
      <alignment horizontal="right" vertical="top"/>
    </xf>
    <xf numFmtId="0" fontId="29" fillId="0" borderId="0" xfId="12" applyFont="1" applyBorder="1" applyAlignment="1">
      <alignment vertical="center" wrapText="1"/>
    </xf>
    <xf numFmtId="0" fontId="29" fillId="0" borderId="0" xfId="12" applyFont="1" applyAlignment="1">
      <alignment vertical="center" wrapText="1"/>
    </xf>
    <xf numFmtId="10" fontId="29" fillId="0" borderId="0" xfId="16" applyNumberFormat="1" applyFont="1" applyBorder="1" applyAlignment="1">
      <alignment vertical="center" wrapText="1"/>
    </xf>
    <xf numFmtId="10" fontId="29" fillId="0" borderId="0" xfId="16" applyNumberFormat="1" applyFont="1" applyAlignment="1">
      <alignment horizontal="right" vertical="center" wrapText="1"/>
    </xf>
    <xf numFmtId="10" fontId="29" fillId="0" borderId="0" xfId="16" applyNumberFormat="1" applyFont="1" applyAlignment="1">
      <alignment vertical="center" wrapText="1"/>
    </xf>
    <xf numFmtId="10" fontId="10" fillId="2" borderId="0" xfId="16" applyNumberFormat="1" applyFont="1" applyFill="1" applyAlignment="1">
      <alignment vertical="center"/>
    </xf>
    <xf numFmtId="0" fontId="22" fillId="0" borderId="0" xfId="0" applyFont="1" applyFill="1" applyAlignment="1">
      <alignment horizontal="right"/>
    </xf>
    <xf numFmtId="0" fontId="31" fillId="4" borderId="9" xfId="0" applyFont="1" applyFill="1" applyBorder="1" applyAlignment="1">
      <alignment horizontal="right"/>
    </xf>
    <xf numFmtId="0" fontId="30" fillId="5" borderId="0" xfId="0" applyFont="1" applyFill="1"/>
    <xf numFmtId="0" fontId="22" fillId="5" borderId="0" xfId="0" applyFont="1" applyFill="1"/>
    <xf numFmtId="0" fontId="28" fillId="2" borderId="6" xfId="0" applyFont="1" applyFill="1" applyBorder="1"/>
    <xf numFmtId="49" fontId="11" fillId="2" borderId="6" xfId="0" applyNumberFormat="1" applyFont="1" applyFill="1" applyBorder="1" applyAlignment="1">
      <alignment horizontal="right" vertical="top"/>
    </xf>
    <xf numFmtId="49" fontId="10" fillId="2" borderId="6" xfId="0" applyNumberFormat="1" applyFont="1" applyFill="1" applyBorder="1" applyAlignment="1">
      <alignment horizontal="right" vertical="top"/>
    </xf>
    <xf numFmtId="174" fontId="11" fillId="2" borderId="6" xfId="0" applyNumberFormat="1" applyFont="1" applyFill="1" applyBorder="1" applyAlignment="1">
      <alignment horizontal="right" vertical="top"/>
    </xf>
    <xf numFmtId="174" fontId="10" fillId="2" borderId="6" xfId="0" applyNumberFormat="1" applyFont="1" applyFill="1" applyBorder="1" applyAlignment="1">
      <alignment horizontal="right" vertical="top"/>
    </xf>
    <xf numFmtId="0" fontId="29" fillId="0" borderId="0" xfId="5" applyFont="1" applyFill="1">
      <alignment horizontal="left" vertical="top"/>
    </xf>
    <xf numFmtId="0" fontId="29" fillId="2" borderId="0" xfId="0" applyFont="1" applyFill="1" applyBorder="1"/>
    <xf numFmtId="0" fontId="10" fillId="2" borderId="5" xfId="0" applyFont="1" applyFill="1" applyBorder="1" applyAlignment="1">
      <alignment horizontal="left" wrapText="1"/>
    </xf>
    <xf numFmtId="0" fontId="10" fillId="2" borderId="5" xfId="0" applyFont="1" applyFill="1" applyBorder="1" applyAlignment="1">
      <alignment wrapText="1"/>
    </xf>
    <xf numFmtId="0" fontId="28" fillId="2" borderId="6" xfId="0" applyFont="1" applyFill="1" applyBorder="1" applyAlignment="1">
      <alignment horizontal="right" wrapText="1"/>
    </xf>
    <xf numFmtId="0" fontId="27" fillId="2" borderId="0" xfId="0" applyFont="1" applyFill="1"/>
    <xf numFmtId="164" fontId="11" fillId="0" borderId="11" xfId="5" applyNumberFormat="1" applyFont="1" applyFill="1" applyBorder="1">
      <alignment horizontal="left" vertical="top"/>
    </xf>
    <xf numFmtId="164" fontId="28" fillId="0" borderId="11" xfId="5" applyNumberFormat="1" applyFont="1" applyFill="1" applyBorder="1">
      <alignment horizontal="left" vertical="top"/>
    </xf>
    <xf numFmtId="0" fontId="29" fillId="0" borderId="0" xfId="0" applyFont="1" applyFill="1"/>
    <xf numFmtId="0" fontId="13" fillId="2" borderId="0" xfId="0" applyFont="1" applyFill="1" applyAlignment="1">
      <alignment vertical="top"/>
    </xf>
    <xf numFmtId="0" fontId="28" fillId="2" borderId="1" xfId="0" applyFont="1" applyFill="1" applyBorder="1" applyAlignment="1">
      <alignment horizontal="right" wrapText="1"/>
    </xf>
    <xf numFmtId="0" fontId="29" fillId="0" borderId="0" xfId="0" applyFont="1" applyFill="1" applyBorder="1" applyAlignment="1">
      <alignment vertical="top"/>
    </xf>
    <xf numFmtId="0" fontId="10" fillId="0" borderId="0" xfId="0" applyFont="1" applyFill="1" applyBorder="1" applyAlignment="1">
      <alignment vertical="top"/>
    </xf>
    <xf numFmtId="0" fontId="28" fillId="2" borderId="6" xfId="0" applyFont="1" applyFill="1" applyBorder="1" applyAlignment="1">
      <alignment horizontal="right" vertical="top" wrapText="1"/>
    </xf>
    <xf numFmtId="174" fontId="11" fillId="2" borderId="6" xfId="0" applyNumberFormat="1" applyFont="1" applyFill="1" applyBorder="1" applyAlignment="1">
      <alignment horizontal="right"/>
    </xf>
    <xf numFmtId="174" fontId="10" fillId="2" borderId="6" xfId="0" applyNumberFormat="1" applyFont="1" applyFill="1" applyBorder="1" applyAlignment="1">
      <alignment horizontal="right"/>
    </xf>
    <xf numFmtId="0" fontId="13" fillId="2" borderId="0" xfId="0" applyFont="1" applyFill="1" applyAlignment="1"/>
    <xf numFmtId="0" fontId="32" fillId="0" borderId="0" xfId="0" applyFont="1" applyAlignment="1">
      <alignment horizontal="left" readingOrder="1"/>
    </xf>
    <xf numFmtId="0" fontId="29" fillId="0" borderId="0" xfId="0" applyFont="1" applyAlignment="1">
      <alignment horizontal="left" readingOrder="1"/>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2" borderId="0" xfId="0" applyFont="1" applyFill="1" applyBorder="1" applyAlignment="1">
      <alignment horizontal="left"/>
    </xf>
    <xf numFmtId="0" fontId="11" fillId="3" borderId="14" xfId="0" applyFont="1" applyFill="1" applyBorder="1" applyAlignment="1">
      <alignment wrapText="1"/>
    </xf>
    <xf numFmtId="0" fontId="11" fillId="3" borderId="14" xfId="0" applyFont="1" applyFill="1" applyBorder="1"/>
    <xf numFmtId="0" fontId="11" fillId="3" borderId="14" xfId="0" applyFont="1" applyFill="1" applyBorder="1" applyAlignment="1">
      <alignment horizontal="right" wrapText="1"/>
    </xf>
    <xf numFmtId="0" fontId="11" fillId="3" borderId="0" xfId="0" applyFont="1" applyFill="1" applyBorder="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1" applyNumberFormat="1" applyFont="1" applyFill="1" applyBorder="1" applyAlignment="1">
      <alignment horizontal="right" vertical="top"/>
    </xf>
    <xf numFmtId="3" fontId="10" fillId="3" borderId="0" xfId="1" applyNumberFormat="1" applyFont="1" applyFill="1" applyBorder="1" applyAlignment="1">
      <alignment vertical="top"/>
    </xf>
    <xf numFmtId="3" fontId="10" fillId="3" borderId="0" xfId="5" applyNumberFormat="1" applyFont="1" applyFill="1" applyBorder="1" applyAlignment="1">
      <alignment horizontal="left" vertical="top"/>
    </xf>
    <xf numFmtId="3" fontId="11" fillId="3" borderId="15" xfId="1" applyNumberFormat="1" applyFont="1" applyFill="1" applyBorder="1">
      <alignment horizontal="right" vertical="top"/>
    </xf>
    <xf numFmtId="171" fontId="11" fillId="2" borderId="7" xfId="11" applyNumberFormat="1" applyFont="1" applyFill="1" applyBorder="1"/>
    <xf numFmtId="3" fontId="13" fillId="3" borderId="0" xfId="5" applyNumberFormat="1" applyFont="1" applyFill="1" applyBorder="1">
      <alignment horizontal="left" vertical="top"/>
    </xf>
    <xf numFmtId="3" fontId="10" fillId="3" borderId="0" xfId="1" applyNumberFormat="1" applyFont="1" applyFill="1" applyBorder="1" applyAlignment="1">
      <alignment horizontal="right"/>
    </xf>
    <xf numFmtId="3" fontId="10" fillId="3" borderId="0" xfId="1" applyNumberFormat="1" applyFont="1" applyFill="1" applyBorder="1" applyAlignment="1"/>
    <xf numFmtId="171" fontId="11" fillId="2" borderId="7" xfId="11" applyNumberFormat="1" applyFont="1" applyFill="1" applyBorder="1" applyAlignment="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3" fontId="11" fillId="3" borderId="0" xfId="1" applyNumberFormat="1" applyFont="1" applyFill="1" applyBorder="1" applyAlignment="1">
      <alignment vertical="top"/>
    </xf>
    <xf numFmtId="3" fontId="11" fillId="3" borderId="14" xfId="1" applyNumberFormat="1" applyFont="1" applyFill="1" applyBorder="1">
      <alignment horizontal="right" vertical="top"/>
    </xf>
    <xf numFmtId="3" fontId="11" fillId="3" borderId="14" xfId="1" applyNumberFormat="1" applyFont="1" applyFill="1" applyBorder="1" applyAlignment="1">
      <alignment horizontal="right"/>
    </xf>
    <xf numFmtId="0" fontId="10" fillId="3" borderId="0" xfId="0" applyFont="1" applyFill="1" applyAlignment="1">
      <alignment horizontal="right"/>
    </xf>
    <xf numFmtId="0" fontId="10" fillId="3" borderId="14" xfId="0" applyFont="1" applyFill="1" applyBorder="1" applyAlignment="1">
      <alignment horizontal="left" vertical="top"/>
    </xf>
    <xf numFmtId="0" fontId="11" fillId="3" borderId="14" xfId="0" applyFont="1" applyFill="1" applyBorder="1" applyAlignment="1">
      <alignment horizontal="left"/>
    </xf>
    <xf numFmtId="0" fontId="42" fillId="3" borderId="14" xfId="0" applyFont="1" applyFill="1" applyBorder="1" applyAlignment="1">
      <alignment horizontal="right" vertical="center"/>
    </xf>
    <xf numFmtId="0" fontId="11" fillId="3" borderId="14" xfId="0" applyFont="1" applyFill="1" applyBorder="1" applyAlignment="1">
      <alignment horizontal="right"/>
    </xf>
    <xf numFmtId="0" fontId="10" fillId="3" borderId="0" xfId="0" applyFont="1" applyFill="1" applyBorder="1" applyAlignment="1">
      <alignment horizontal="left" vertical="top"/>
    </xf>
    <xf numFmtId="0" fontId="10" fillId="3" borderId="0" xfId="0" applyFont="1" applyFill="1" applyBorder="1" applyAlignment="1">
      <alignment horizontal="right" vertical="top"/>
    </xf>
    <xf numFmtId="0" fontId="10" fillId="3" borderId="0" xfId="0" applyFont="1" applyFill="1" applyBorder="1" applyAlignment="1">
      <alignment horizontal="right" vertical="top" wrapText="1"/>
    </xf>
    <xf numFmtId="0" fontId="11"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Border="1" applyAlignment="1">
      <alignment vertical="top"/>
    </xf>
    <xf numFmtId="0" fontId="11" fillId="3" borderId="0" xfId="0" applyFont="1" applyFill="1" applyBorder="1" applyAlignment="1"/>
    <xf numFmtId="0" fontId="11" fillId="3" borderId="0" xfId="0" applyFont="1" applyFill="1" applyBorder="1" applyAlignment="1">
      <alignment vertical="top"/>
    </xf>
    <xf numFmtId="0" fontId="11" fillId="3" borderId="0" xfId="0" applyFont="1" applyFill="1" applyBorder="1" applyAlignment="1">
      <alignment wrapText="1"/>
    </xf>
    <xf numFmtId="10" fontId="10" fillId="3" borderId="0" xfId="0" applyNumberFormat="1" applyFont="1" applyFill="1" applyBorder="1"/>
    <xf numFmtId="3" fontId="10" fillId="3" borderId="0" xfId="0" applyNumberFormat="1" applyFont="1" applyFill="1" applyBorder="1" applyAlignment="1">
      <alignment vertical="top"/>
    </xf>
    <xf numFmtId="171" fontId="10" fillId="3" borderId="0" xfId="11" applyNumberFormat="1" applyFont="1" applyFill="1" applyBorder="1" applyAlignment="1">
      <alignment horizontal="right"/>
    </xf>
    <xf numFmtId="0" fontId="27" fillId="2" borderId="0" xfId="0" applyFont="1" applyFill="1" applyBorder="1"/>
    <xf numFmtId="0" fontId="2" fillId="3" borderId="0" xfId="0" applyFont="1" applyFill="1"/>
    <xf numFmtId="0" fontId="2" fillId="3" borderId="0" xfId="0" applyFont="1" applyFill="1" applyBorder="1" applyAlignment="1"/>
    <xf numFmtId="0" fontId="2" fillId="3" borderId="0" xfId="0" applyFont="1" applyFill="1" applyBorder="1" applyAlignment="1">
      <alignment horizontal="right"/>
    </xf>
    <xf numFmtId="0" fontId="44" fillId="3" borderId="0" xfId="0" applyFont="1" applyFill="1" applyBorder="1" applyAlignment="1"/>
    <xf numFmtId="0" fontId="42" fillId="3" borderId="14" xfId="0" applyFont="1" applyFill="1" applyBorder="1" applyAlignment="1">
      <alignment vertical="center"/>
    </xf>
    <xf numFmtId="0" fontId="10" fillId="3" borderId="0" xfId="0" applyFont="1" applyFill="1" applyAlignment="1">
      <alignment horizontal="left" vertical="top"/>
    </xf>
    <xf numFmtId="0" fontId="10" fillId="3" borderId="0" xfId="0" applyFont="1" applyFill="1" applyBorder="1" applyAlignment="1">
      <alignment vertical="center"/>
    </xf>
    <xf numFmtId="0" fontId="42" fillId="3" borderId="14" xfId="0" applyFont="1" applyFill="1" applyBorder="1" applyAlignment="1"/>
    <xf numFmtId="0" fontId="13" fillId="3" borderId="14" xfId="0" applyFont="1" applyFill="1" applyBorder="1" applyAlignment="1">
      <alignment horizontal="right"/>
    </xf>
    <xf numFmtId="0" fontId="10" fillId="3" borderId="14" xfId="0" applyFont="1" applyFill="1" applyBorder="1"/>
    <xf numFmtId="0" fontId="10" fillId="3" borderId="14" xfId="0" applyFont="1" applyFill="1" applyBorder="1" applyAlignment="1">
      <alignment horizontal="left" wrapText="1"/>
    </xf>
    <xf numFmtId="0" fontId="10" fillId="3" borderId="14" xfId="0" applyFont="1" applyFill="1" applyBorder="1" applyAlignment="1">
      <alignment wrapText="1"/>
    </xf>
    <xf numFmtId="14" fontId="10" fillId="3" borderId="0" xfId="0" applyNumberFormat="1" applyFont="1" applyFill="1" applyBorder="1" applyAlignment="1">
      <alignment horizontal="right"/>
    </xf>
    <xf numFmtId="14" fontId="10" fillId="3" borderId="0" xfId="0" applyNumberFormat="1" applyFont="1" applyFill="1" applyAlignment="1">
      <alignment horizontal="right"/>
    </xf>
    <xf numFmtId="14" fontId="2" fillId="3" borderId="0" xfId="0" applyNumberFormat="1" applyFont="1" applyFill="1"/>
    <xf numFmtId="14" fontId="10" fillId="3" borderId="0" xfId="0" applyNumberFormat="1" applyFont="1" applyFill="1" applyBorder="1" applyAlignment="1">
      <alignment horizontal="right" wrapText="1"/>
    </xf>
    <xf numFmtId="0" fontId="10" fillId="3" borderId="14" xfId="0" applyFont="1" applyFill="1" applyBorder="1" applyAlignment="1">
      <alignment horizontal="right"/>
    </xf>
    <xf numFmtId="0" fontId="10" fillId="3" borderId="0" xfId="0" applyFont="1" applyFill="1" applyAlignment="1">
      <alignment horizontal="left"/>
    </xf>
    <xf numFmtId="0" fontId="10" fillId="3" borderId="0" xfId="0" quotePrefix="1" applyFont="1" applyFill="1" applyBorder="1" applyAlignment="1">
      <alignment horizontal="right" wrapText="1"/>
    </xf>
    <xf numFmtId="0" fontId="10" fillId="3" borderId="0" xfId="0" applyFont="1" applyFill="1" applyAlignment="1">
      <alignment horizontal="right" wrapText="1"/>
    </xf>
    <xf numFmtId="0" fontId="10" fillId="3" borderId="0" xfId="0" applyFont="1" applyFill="1" applyAlignment="1">
      <alignment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Border="1"/>
    <xf numFmtId="0" fontId="27" fillId="3" borderId="0" xfId="0" applyFont="1" applyFill="1" applyBorder="1"/>
    <xf numFmtId="0" fontId="29" fillId="3" borderId="0" xfId="0" applyFont="1" applyFill="1" applyBorder="1"/>
    <xf numFmtId="0" fontId="29" fillId="2" borderId="0" xfId="0" applyFont="1" applyFill="1"/>
    <xf numFmtId="0" fontId="34" fillId="3" borderId="0" xfId="0" applyFont="1" applyFill="1"/>
    <xf numFmtId="167" fontId="37" fillId="2" borderId="0" xfId="4" applyFont="1" applyFill="1" applyBorder="1"/>
    <xf numFmtId="168" fontId="33" fillId="0" borderId="1" xfId="6" applyFont="1" applyFill="1" applyBorder="1" applyAlignment="1">
      <alignment horizontal="right" wrapText="1"/>
    </xf>
    <xf numFmtId="0" fontId="29" fillId="3" borderId="0" xfId="0" applyFont="1" applyFill="1"/>
    <xf numFmtId="0" fontId="37" fillId="2" borderId="0" xfId="0" applyFont="1" applyFill="1" applyBorder="1" applyAlignment="1"/>
    <xf numFmtId="0" fontId="10" fillId="2" borderId="6" xfId="0" applyFont="1" applyFill="1" applyBorder="1" applyAlignment="1">
      <alignment horizontal="right"/>
    </xf>
    <xf numFmtId="0" fontId="27" fillId="2" borderId="0" xfId="0" applyFont="1" applyFill="1" applyBorder="1" applyAlignment="1">
      <alignment horizontal="left"/>
    </xf>
    <xf numFmtId="0" fontId="41" fillId="2" borderId="0" xfId="0" applyFont="1" applyFill="1"/>
    <xf numFmtId="0" fontId="29" fillId="2" borderId="0" xfId="0" applyFont="1" applyFill="1" applyBorder="1" applyAlignment="1">
      <alignment wrapText="1"/>
    </xf>
    <xf numFmtId="0" fontId="10" fillId="3" borderId="0" xfId="0" applyFont="1" applyFill="1"/>
    <xf numFmtId="2" fontId="10" fillId="3" borderId="5" xfId="0" applyNumberFormat="1" applyFont="1" applyFill="1" applyBorder="1"/>
    <xf numFmtId="0" fontId="11" fillId="3" borderId="6" xfId="0" applyFont="1" applyFill="1" applyBorder="1" applyAlignment="1">
      <alignment horizontal="left"/>
    </xf>
    <xf numFmtId="0" fontId="29" fillId="3" borderId="0" xfId="0" applyFont="1" applyFill="1" applyAlignment="1">
      <alignment horizontal="right"/>
    </xf>
    <xf numFmtId="0" fontId="29" fillId="3" borderId="0" xfId="0" applyFont="1" applyFill="1" applyAlignment="1">
      <alignment horizontal="right" vertical="top" wrapText="1"/>
    </xf>
    <xf numFmtId="0" fontId="29" fillId="3" borderId="0" xfId="0" applyFont="1" applyFill="1" applyAlignment="1">
      <alignment horizontal="left" wrapText="1"/>
    </xf>
    <xf numFmtId="0" fontId="29" fillId="3" borderId="0" xfId="0" applyFont="1" applyFill="1" applyBorder="1" applyAlignment="1">
      <alignment horizontal="right"/>
    </xf>
    <xf numFmtId="0" fontId="29" fillId="3" borderId="0" xfId="0" applyFont="1" applyFill="1" applyAlignment="1">
      <alignment wrapText="1"/>
    </xf>
    <xf numFmtId="0" fontId="10" fillId="0" borderId="0" xfId="0" applyFont="1" applyFill="1" applyAlignment="1">
      <alignment horizontal="right"/>
    </xf>
    <xf numFmtId="0" fontId="45" fillId="3" borderId="14" xfId="0" applyFont="1" applyFill="1" applyBorder="1"/>
    <xf numFmtId="0" fontId="28" fillId="3" borderId="0" xfId="0" applyFont="1" applyFill="1" applyBorder="1" applyAlignment="1">
      <alignment horizontal="right" wrapText="1"/>
    </xf>
    <xf numFmtId="0" fontId="46" fillId="3" borderId="0" xfId="0" applyFont="1" applyFill="1" applyBorder="1"/>
    <xf numFmtId="0" fontId="10" fillId="3" borderId="0" xfId="0" applyFont="1" applyFill="1"/>
    <xf numFmtId="0" fontId="10" fillId="3" borderId="0" xfId="0" applyFont="1" applyFill="1" applyBorder="1" applyAlignment="1">
      <alignment horizontal="left" wrapText="1"/>
    </xf>
    <xf numFmtId="0" fontId="11" fillId="2" borderId="6" xfId="0" applyFont="1" applyFill="1" applyBorder="1" applyAlignment="1">
      <alignment horizontal="left" wrapText="1"/>
    </xf>
    <xf numFmtId="0" fontId="11" fillId="2" borderId="6" xfId="0" applyFont="1" applyFill="1" applyBorder="1" applyAlignment="1">
      <alignment horizontal="left" wrapText="1"/>
    </xf>
    <xf numFmtId="0" fontId="22" fillId="0" borderId="0" xfId="0" applyFont="1" applyAlignment="1">
      <alignment horizontal="center"/>
    </xf>
    <xf numFmtId="0" fontId="11" fillId="2" borderId="0" xfId="0" applyFont="1" applyFill="1" applyBorder="1" applyAlignment="1">
      <alignment horizontal="left"/>
    </xf>
    <xf numFmtId="0" fontId="28" fillId="2" borderId="0" xfId="0" applyFont="1" applyFill="1" applyBorder="1"/>
    <xf numFmtId="49" fontId="11" fillId="2" borderId="0" xfId="0" applyNumberFormat="1" applyFont="1" applyFill="1" applyBorder="1" applyAlignment="1">
      <alignment horizontal="right"/>
    </xf>
    <xf numFmtId="0" fontId="10" fillId="0" borderId="1" xfId="5" applyFont="1" applyFill="1" applyBorder="1">
      <alignment horizontal="left" vertical="top"/>
    </xf>
    <xf numFmtId="0" fontId="10" fillId="0" borderId="1" xfId="5" applyNumberFormat="1" applyFont="1" applyFill="1" applyBorder="1" applyAlignment="1">
      <alignment horizontal="right" vertical="top"/>
    </xf>
    <xf numFmtId="3" fontId="15" fillId="0" borderId="1" xfId="0" applyNumberFormat="1" applyFont="1" applyFill="1" applyBorder="1" applyAlignment="1">
      <alignment horizontal="right"/>
    </xf>
    <xf numFmtId="3" fontId="10" fillId="2" borderId="0" xfId="13" applyNumberFormat="1" applyFont="1" applyFill="1" applyBorder="1" applyAlignment="1"/>
    <xf numFmtId="3" fontId="10" fillId="0" borderId="0" xfId="13" applyNumberFormat="1" applyFont="1" applyFill="1" applyBorder="1" applyAlignment="1"/>
    <xf numFmtId="171" fontId="11" fillId="2" borderId="5" xfId="11" applyNumberFormat="1" applyFont="1" applyFill="1" applyBorder="1"/>
    <xf numFmtId="3" fontId="11" fillId="2" borderId="5" xfId="1" applyNumberFormat="1" applyFont="1" applyFill="1" applyBorder="1" applyAlignment="1">
      <alignment vertical="top" wrapText="1"/>
    </xf>
    <xf numFmtId="3" fontId="11" fillId="2" borderId="18" xfId="11" applyNumberFormat="1" applyFont="1" applyFill="1" applyBorder="1" applyAlignment="1">
      <alignment horizontal="right" vertical="top" wrapText="1"/>
    </xf>
    <xf numFmtId="171" fontId="10" fillId="2" borderId="0" xfId="11" applyNumberFormat="1" applyFont="1" applyFill="1" applyBorder="1" applyAlignment="1">
      <alignment horizontal="left" vertical="top"/>
    </xf>
    <xf numFmtId="171" fontId="10" fillId="2" borderId="8" xfId="11" applyNumberFormat="1" applyFont="1" applyFill="1" applyBorder="1" applyAlignment="1">
      <alignment vertical="top"/>
    </xf>
    <xf numFmtId="3" fontId="10" fillId="0" borderId="15" xfId="11" applyNumberFormat="1" applyFont="1" applyFill="1" applyBorder="1" applyAlignment="1">
      <alignment horizontal="right" vertical="top" wrapText="1"/>
    </xf>
    <xf numFmtId="9" fontId="10" fillId="2" borderId="0" xfId="10" applyFont="1" applyFill="1" applyBorder="1"/>
    <xf numFmtId="3" fontId="11" fillId="2" borderId="15" xfId="0" applyNumberFormat="1" applyFont="1" applyFill="1" applyBorder="1" applyAlignment="1">
      <alignment horizontal="right"/>
    </xf>
    <xf numFmtId="0" fontId="10" fillId="2" borderId="0" xfId="0" applyFont="1" applyFill="1" applyBorder="1" applyAlignment="1">
      <alignment vertical="top"/>
    </xf>
    <xf numFmtId="0" fontId="28" fillId="0" borderId="19" xfId="12" applyFont="1" applyBorder="1" applyAlignment="1">
      <alignment vertical="center"/>
    </xf>
    <xf numFmtId="10" fontId="28" fillId="0" borderId="19" xfId="16" applyNumberFormat="1" applyFont="1" applyBorder="1" applyAlignment="1">
      <alignment vertical="center" wrapText="1"/>
    </xf>
    <xf numFmtId="10" fontId="28" fillId="0" borderId="19" xfId="16" applyNumberFormat="1" applyFont="1" applyBorder="1" applyAlignment="1">
      <alignment horizontal="right" vertical="center" wrapText="1"/>
    </xf>
    <xf numFmtId="10" fontId="11" fillId="2" borderId="19" xfId="16" applyNumberFormat="1" applyFont="1" applyFill="1" applyBorder="1" applyAlignment="1">
      <alignment vertical="center"/>
    </xf>
    <xf numFmtId="0" fontId="28" fillId="0" borderId="19" xfId="12" applyFont="1" applyBorder="1" applyAlignment="1">
      <alignment vertical="center" wrapText="1"/>
    </xf>
    <xf numFmtId="0" fontId="27" fillId="2" borderId="0" xfId="12" applyFont="1" applyFill="1"/>
    <xf numFmtId="0" fontId="10" fillId="2" borderId="6" xfId="0" applyFont="1" applyFill="1" applyBorder="1" applyAlignment="1">
      <alignment horizontal="center" wrapText="1"/>
    </xf>
    <xf numFmtId="0" fontId="10" fillId="2" borderId="0" xfId="0" applyFont="1" applyFill="1" applyBorder="1" applyAlignment="1">
      <alignment horizontal="center" vertical="top" wrapText="1"/>
    </xf>
    <xf numFmtId="0" fontId="10" fillId="2" borderId="0" xfId="0" applyFont="1" applyFill="1" applyBorder="1" applyAlignment="1">
      <alignment horizontal="center" wrapText="1"/>
    </xf>
    <xf numFmtId="0" fontId="10" fillId="2" borderId="5" xfId="0" applyFont="1" applyFill="1" applyBorder="1" applyAlignment="1">
      <alignment horizontal="left"/>
    </xf>
    <xf numFmtId="3" fontId="10" fillId="2" borderId="5" xfId="0" applyNumberFormat="1" applyFont="1" applyFill="1" applyBorder="1" applyAlignment="1">
      <alignment horizontal="right" wrapText="1"/>
    </xf>
    <xf numFmtId="9" fontId="10" fillId="2" borderId="5" xfId="0" applyNumberFormat="1" applyFont="1" applyFill="1" applyBorder="1" applyAlignment="1">
      <alignment horizontal="right" wrapText="1"/>
    </xf>
    <xf numFmtId="0" fontId="11" fillId="2" borderId="0" xfId="0" applyFont="1" applyFill="1" applyBorder="1" applyAlignment="1">
      <alignment horizontal="left" wrapText="1"/>
    </xf>
    <xf numFmtId="0" fontId="11" fillId="2" borderId="0" xfId="0" applyFont="1" applyFill="1" applyBorder="1" applyAlignment="1">
      <alignment horizontal="center" vertical="top" wrapText="1"/>
    </xf>
    <xf numFmtId="0" fontId="48" fillId="0" borderId="0" xfId="0" applyFont="1"/>
    <xf numFmtId="0" fontId="46" fillId="3" borderId="0" xfId="0" applyFont="1" applyFill="1" applyBorder="1" applyAlignment="1"/>
    <xf numFmtId="0" fontId="29" fillId="3" borderId="0" xfId="0" applyFont="1" applyFill="1"/>
    <xf numFmtId="0" fontId="10" fillId="3" borderId="0" xfId="0" applyFont="1" applyFill="1"/>
    <xf numFmtId="0" fontId="10" fillId="3" borderId="0" xfId="0" applyFont="1" applyFill="1"/>
    <xf numFmtId="164" fontId="11" fillId="0" borderId="20" xfId="1" applyNumberFormat="1" applyFont="1" applyFill="1" applyBorder="1" applyAlignment="1">
      <alignment vertical="top"/>
    </xf>
    <xf numFmtId="164" fontId="10" fillId="0" borderId="20" xfId="1" applyNumberFormat="1" applyFont="1" applyFill="1" applyBorder="1" applyAlignment="1">
      <alignment vertical="top"/>
    </xf>
    <xf numFmtId="3" fontId="11" fillId="2" borderId="20" xfId="0" applyNumberFormat="1" applyFont="1" applyFill="1" applyBorder="1" applyAlignment="1">
      <alignment horizontal="right"/>
    </xf>
    <xf numFmtId="3" fontId="11" fillId="3" borderId="20" xfId="0" applyNumberFormat="1" applyFont="1" applyFill="1" applyBorder="1" applyAlignment="1">
      <alignment horizontal="right"/>
    </xf>
    <xf numFmtId="3" fontId="10" fillId="3" borderId="15" xfId="1" applyNumberFormat="1" applyFont="1" applyFill="1" applyBorder="1">
      <alignment horizontal="right" vertical="top"/>
    </xf>
    <xf numFmtId="171" fontId="45" fillId="3" borderId="14" xfId="11" applyNumberFormat="1" applyFont="1" applyFill="1" applyBorder="1" applyAlignment="1">
      <alignment wrapText="1"/>
    </xf>
    <xf numFmtId="0" fontId="29" fillId="3" borderId="0" xfId="0" applyFont="1" applyFill="1" applyBorder="1" applyAlignment="1">
      <alignment horizontal="left" wrapText="1"/>
    </xf>
    <xf numFmtId="0" fontId="10" fillId="3" borderId="0" xfId="0" applyFont="1" applyFill="1"/>
    <xf numFmtId="0" fontId="29" fillId="3" borderId="0" xfId="0" applyFont="1" applyFill="1" applyBorder="1" applyAlignment="1">
      <alignment horizontal="left" wrapText="1"/>
    </xf>
    <xf numFmtId="0" fontId="10" fillId="3" borderId="0" xfId="0" applyFont="1" applyFill="1"/>
    <xf numFmtId="0" fontId="29" fillId="3" borderId="0" xfId="0" applyFont="1" applyFill="1"/>
    <xf numFmtId="0" fontId="28" fillId="0" borderId="16" xfId="0" applyFont="1" applyBorder="1" applyAlignment="1">
      <alignment wrapText="1"/>
    </xf>
    <xf numFmtId="3" fontId="45" fillId="3" borderId="14" xfId="0" applyNumberFormat="1" applyFont="1" applyFill="1" applyBorder="1" applyAlignment="1">
      <alignment horizontal="right" wrapText="1"/>
    </xf>
    <xf numFmtId="10" fontId="11" fillId="3" borderId="0" xfId="0" applyNumberFormat="1" applyFont="1" applyFill="1"/>
    <xf numFmtId="0" fontId="29" fillId="3" borderId="0" xfId="0" applyFont="1" applyFill="1" applyAlignment="1"/>
    <xf numFmtId="3" fontId="14" fillId="0" borderId="1" xfId="0" applyNumberFormat="1" applyFont="1" applyFill="1" applyBorder="1" applyAlignment="1">
      <alignment horizontal="right"/>
    </xf>
    <xf numFmtId="3" fontId="10" fillId="3" borderId="1" xfId="0" applyNumberFormat="1" applyFont="1" applyFill="1" applyBorder="1" applyAlignment="1">
      <alignment horizontal="right"/>
    </xf>
    <xf numFmtId="3" fontId="10" fillId="2" borderId="1" xfId="1" applyNumberFormat="1" applyFont="1" applyFill="1" applyBorder="1">
      <alignment horizontal="right" vertical="top"/>
    </xf>
    <xf numFmtId="3" fontId="10" fillId="2" borderId="1" xfId="0" applyNumberFormat="1" applyFont="1" applyFill="1" applyBorder="1" applyAlignment="1">
      <alignment horizontal="right"/>
    </xf>
    <xf numFmtId="3" fontId="11" fillId="0" borderId="7" xfId="0" applyNumberFormat="1" applyFont="1" applyFill="1" applyBorder="1" applyAlignment="1">
      <alignment horizontal="right"/>
    </xf>
    <xf numFmtId="49" fontId="10" fillId="3" borderId="1" xfId="0" applyNumberFormat="1" applyFont="1" applyFill="1" applyBorder="1" applyAlignment="1">
      <alignment horizontal="left"/>
    </xf>
    <xf numFmtId="0" fontId="43" fillId="0" borderId="0" xfId="0" applyFont="1" applyBorder="1" applyAlignment="1"/>
    <xf numFmtId="0" fontId="28" fillId="0" borderId="16" xfId="0" applyFont="1" applyBorder="1" applyAlignment="1">
      <alignment horizontal="right" wrapText="1"/>
    </xf>
    <xf numFmtId="0" fontId="10" fillId="0" borderId="0" xfId="0" applyFont="1" applyAlignment="1">
      <alignment horizontal="left"/>
    </xf>
    <xf numFmtId="10" fontId="22" fillId="0" borderId="0" xfId="0" applyNumberFormat="1" applyFont="1"/>
    <xf numFmtId="0" fontId="22" fillId="0" borderId="0" xfId="0" applyFont="1"/>
    <xf numFmtId="0" fontId="13" fillId="0" borderId="0" xfId="0" applyFont="1" applyAlignment="1">
      <alignment horizontal="justify"/>
    </xf>
    <xf numFmtId="10" fontId="50" fillId="0" borderId="0" xfId="0" applyNumberFormat="1" applyFont="1"/>
    <xf numFmtId="0" fontId="50" fillId="0" borderId="0" xfId="0" applyFont="1"/>
    <xf numFmtId="10" fontId="51" fillId="0" borderId="0" xfId="10" applyNumberFormat="1" applyFont="1" applyAlignment="1">
      <alignment vertical="center"/>
    </xf>
    <xf numFmtId="0" fontId="29" fillId="2" borderId="0" xfId="0" applyFont="1" applyFill="1" applyBorder="1" applyAlignment="1">
      <alignment horizontal="left" vertical="top"/>
    </xf>
    <xf numFmtId="0" fontId="29" fillId="3" borderId="0" xfId="0" applyFont="1" applyFill="1" applyBorder="1" applyAlignment="1">
      <alignment horizontal="left"/>
    </xf>
    <xf numFmtId="0" fontId="46" fillId="0" borderId="0" xfId="0" applyFont="1" applyFill="1" applyBorder="1"/>
    <xf numFmtId="0" fontId="36" fillId="3" borderId="0" xfId="0" applyFont="1" applyFill="1"/>
    <xf numFmtId="0" fontId="52" fillId="5" borderId="0" xfId="17" applyFill="1" applyAlignment="1">
      <alignment horizontal="right"/>
    </xf>
    <xf numFmtId="0" fontId="52" fillId="3" borderId="0" xfId="17" applyFill="1" applyAlignment="1">
      <alignment horizontal="right"/>
    </xf>
    <xf numFmtId="0" fontId="52" fillId="0" borderId="0" xfId="17" applyFill="1" applyAlignment="1">
      <alignment horizontal="right"/>
    </xf>
    <xf numFmtId="0" fontId="42" fillId="0" borderId="0" xfId="0" applyFont="1" applyBorder="1" applyAlignment="1"/>
    <xf numFmtId="0" fontId="11" fillId="0" borderId="16" xfId="0" applyFont="1" applyBorder="1" applyAlignment="1">
      <alignment wrapText="1"/>
    </xf>
    <xf numFmtId="0" fontId="11" fillId="0" borderId="16" xfId="0" applyFont="1" applyBorder="1" applyAlignment="1">
      <alignment horizontal="right" wrapText="1"/>
    </xf>
    <xf numFmtId="10" fontId="10" fillId="0" borderId="0" xfId="0" applyNumberFormat="1" applyFont="1"/>
    <xf numFmtId="0" fontId="52" fillId="5" borderId="0" xfId="17" applyFill="1"/>
    <xf numFmtId="0" fontId="22" fillId="0" borderId="0" xfId="0" applyFont="1" applyFill="1"/>
    <xf numFmtId="0" fontId="24" fillId="0" borderId="0" xfId="0" applyFont="1" applyFill="1"/>
    <xf numFmtId="0" fontId="53" fillId="0" borderId="0" xfId="0" applyFont="1" applyFill="1" applyAlignment="1">
      <alignment horizontal="right"/>
    </xf>
    <xf numFmtId="0" fontId="40" fillId="2" borderId="0" xfId="12" applyFont="1" applyFill="1"/>
    <xf numFmtId="0" fontId="22" fillId="5" borderId="0" xfId="12" applyFont="1" applyFill="1"/>
    <xf numFmtId="0" fontId="22" fillId="0" borderId="0" xfId="12" applyFont="1" applyFill="1"/>
    <xf numFmtId="0" fontId="11" fillId="3" borderId="6" xfId="0" applyFont="1" applyFill="1" applyBorder="1" applyAlignment="1">
      <alignment horizontal="right" wrapText="1"/>
    </xf>
    <xf numFmtId="0" fontId="40" fillId="0" borderId="0" xfId="0" applyFont="1"/>
    <xf numFmtId="0" fontId="2" fillId="0" borderId="0" xfId="12"/>
    <xf numFmtId="0" fontId="29" fillId="3" borderId="0" xfId="12" applyFont="1" applyFill="1"/>
    <xf numFmtId="175" fontId="29" fillId="3" borderId="0" xfId="11" applyNumberFormat="1" applyFont="1" applyFill="1"/>
    <xf numFmtId="0" fontId="29" fillId="3" borderId="0" xfId="12" applyFont="1" applyFill="1" applyAlignment="1">
      <alignment horizontal="right"/>
    </xf>
    <xf numFmtId="0" fontId="29" fillId="3" borderId="0" xfId="12" applyFont="1" applyFill="1" applyAlignment="1">
      <alignment horizontal="left" vertical="center"/>
    </xf>
    <xf numFmtId="10" fontId="29" fillId="3" borderId="0" xfId="10" applyNumberFormat="1" applyFont="1" applyFill="1"/>
    <xf numFmtId="3" fontId="29" fillId="3" borderId="0" xfId="12" applyNumberFormat="1" applyFont="1" applyFill="1"/>
    <xf numFmtId="3" fontId="29" fillId="3" borderId="0" xfId="12" applyNumberFormat="1" applyFont="1" applyFill="1" applyAlignment="1">
      <alignment horizontal="right"/>
    </xf>
    <xf numFmtId="0" fontId="45" fillId="3" borderId="14" xfId="12" applyFont="1" applyFill="1" applyBorder="1" applyAlignment="1">
      <alignment wrapText="1"/>
    </xf>
    <xf numFmtId="0" fontId="45" fillId="3" borderId="14" xfId="12" applyFont="1" applyFill="1" applyBorder="1" applyAlignment="1"/>
    <xf numFmtId="0" fontId="49" fillId="0" borderId="0" xfId="12" applyFont="1"/>
    <xf numFmtId="0" fontId="49" fillId="0" borderId="21" xfId="12" applyFont="1" applyBorder="1"/>
    <xf numFmtId="10" fontId="28" fillId="3" borderId="0" xfId="10" applyNumberFormat="1" applyFont="1" applyFill="1" applyBorder="1" applyAlignment="1">
      <alignment horizontal="right"/>
    </xf>
    <xf numFmtId="175" fontId="28" fillId="3" borderId="22" xfId="12" applyNumberFormat="1" applyFont="1" applyFill="1" applyBorder="1" applyAlignment="1">
      <alignment horizontal="right"/>
    </xf>
    <xf numFmtId="3" fontId="28" fillId="3" borderId="21" xfId="12" applyNumberFormat="1" applyFont="1" applyFill="1" applyBorder="1" applyAlignment="1">
      <alignment horizontal="right"/>
    </xf>
    <xf numFmtId="0" fontId="54" fillId="3" borderId="0" xfId="12" applyFont="1" applyFill="1" applyAlignment="1">
      <alignment horizontal="left" vertical="center"/>
    </xf>
    <xf numFmtId="0" fontId="2" fillId="0" borderId="0" xfId="12" applyBorder="1"/>
    <xf numFmtId="0" fontId="2" fillId="0" borderId="21" xfId="12" applyBorder="1"/>
    <xf numFmtId="10" fontId="29" fillId="3" borderId="0" xfId="12" applyNumberFormat="1" applyFont="1" applyFill="1" applyBorder="1"/>
    <xf numFmtId="10" fontId="29" fillId="3" borderId="22" xfId="10" applyNumberFormat="1" applyFont="1" applyFill="1" applyBorder="1"/>
    <xf numFmtId="3" fontId="29" fillId="3" borderId="21" xfId="12" applyNumberFormat="1" applyFont="1" applyFill="1" applyBorder="1"/>
    <xf numFmtId="3" fontId="29" fillId="3" borderId="21" xfId="11" applyNumberFormat="1" applyFont="1" applyFill="1" applyBorder="1"/>
    <xf numFmtId="3" fontId="29" fillId="3" borderId="21" xfId="11" applyNumberFormat="1" applyFont="1" applyFill="1" applyBorder="1" applyAlignment="1">
      <alignment horizontal="right"/>
    </xf>
    <xf numFmtId="0" fontId="29" fillId="3" borderId="0" xfId="12" applyFont="1" applyFill="1" applyBorder="1" applyAlignment="1">
      <alignment horizontal="left" vertical="center"/>
    </xf>
    <xf numFmtId="0" fontId="45" fillId="3" borderId="23" xfId="12" applyFont="1" applyFill="1" applyBorder="1" applyAlignment="1">
      <alignment wrapText="1"/>
    </xf>
    <xf numFmtId="0" fontId="45" fillId="3" borderId="24" xfId="12" applyFont="1" applyFill="1" applyBorder="1" applyAlignment="1">
      <alignment wrapText="1"/>
    </xf>
    <xf numFmtId="0" fontId="51" fillId="3" borderId="14" xfId="12" applyFont="1" applyFill="1" applyBorder="1" applyAlignment="1">
      <alignment wrapText="1"/>
    </xf>
    <xf numFmtId="0" fontId="51" fillId="3" borderId="23" xfId="12" applyFont="1" applyFill="1" applyBorder="1" applyAlignment="1">
      <alignment wrapText="1"/>
    </xf>
    <xf numFmtId="0" fontId="51" fillId="3" borderId="24" xfId="12" applyFont="1" applyFill="1" applyBorder="1" applyAlignment="1">
      <alignment wrapText="1"/>
    </xf>
    <xf numFmtId="0" fontId="54" fillId="3" borderId="0" xfId="12" applyFont="1" applyFill="1" applyBorder="1" applyAlignment="1">
      <alignment wrapText="1"/>
    </xf>
    <xf numFmtId="0" fontId="54" fillId="3" borderId="0" xfId="12" applyFont="1" applyFill="1" applyBorder="1" applyAlignment="1"/>
    <xf numFmtId="14" fontId="54" fillId="3" borderId="0" xfId="12" quotePrefix="1" applyNumberFormat="1" applyFont="1" applyFill="1" applyAlignment="1">
      <alignment horizontal="left" vertical="center"/>
    </xf>
    <xf numFmtId="0" fontId="29" fillId="3" borderId="0" xfId="12" applyFont="1" applyFill="1" applyAlignment="1"/>
    <xf numFmtId="0" fontId="54" fillId="3" borderId="0" xfId="12" applyFont="1" applyFill="1" applyAlignment="1"/>
    <xf numFmtId="0" fontId="29" fillId="3" borderId="0" xfId="12" applyFont="1" applyFill="1" applyAlignment="1">
      <alignment horizontal="left"/>
    </xf>
    <xf numFmtId="0" fontId="13" fillId="3" borderId="0" xfId="12" applyFont="1" applyFill="1" applyBorder="1"/>
    <xf numFmtId="0" fontId="45" fillId="3" borderId="0" xfId="12" applyFont="1" applyFill="1" applyBorder="1" applyAlignment="1"/>
    <xf numFmtId="0" fontId="10" fillId="3" borderId="0" xfId="0" applyFont="1" applyFill="1"/>
    <xf numFmtId="10" fontId="10" fillId="3" borderId="0" xfId="1" applyNumberFormat="1" applyFont="1" applyFill="1" applyAlignment="1">
      <alignment vertical="top"/>
    </xf>
    <xf numFmtId="0" fontId="10" fillId="3" borderId="0" xfId="0" applyFont="1" applyFill="1"/>
    <xf numFmtId="0" fontId="29" fillId="3" borderId="0" xfId="0" applyFont="1" applyFill="1" applyBorder="1" applyAlignment="1">
      <alignment horizontal="right" wrapText="1"/>
    </xf>
    <xf numFmtId="3" fontId="13" fillId="3" borderId="0" xfId="1" applyNumberFormat="1" applyFont="1" applyFill="1" applyBorder="1">
      <alignment horizontal="right" vertical="top"/>
    </xf>
    <xf numFmtId="3" fontId="13" fillId="3" borderId="0" xfId="1" applyNumberFormat="1" applyFont="1" applyFill="1" applyBorder="1" applyAlignment="1">
      <alignment horizontal="right"/>
    </xf>
    <xf numFmtId="3" fontId="10" fillId="0" borderId="0" xfId="0" applyNumberFormat="1" applyFont="1" applyFill="1" applyBorder="1" applyAlignment="1"/>
    <xf numFmtId="0" fontId="29" fillId="2" borderId="0" xfId="0" applyFont="1" applyFill="1" applyBorder="1" applyAlignment="1">
      <alignment horizontal="left" wrapText="1"/>
    </xf>
    <xf numFmtId="3" fontId="10" fillId="0" borderId="0" xfId="0" applyNumberFormat="1" applyFont="1" applyFill="1" applyBorder="1" applyAlignment="1">
      <alignment wrapText="1"/>
    </xf>
    <xf numFmtId="3" fontId="27" fillId="3" borderId="0" xfId="5" applyNumberFormat="1" applyFont="1" applyFill="1" applyBorder="1">
      <alignment horizontal="left" vertical="top"/>
    </xf>
    <xf numFmtId="0" fontId="10" fillId="3" borderId="0" xfId="0" applyFont="1" applyFill="1" applyBorder="1" applyAlignment="1">
      <alignment horizontal="left" wrapText="1"/>
    </xf>
    <xf numFmtId="0" fontId="10" fillId="3" borderId="0" xfId="0" applyFont="1" applyFill="1"/>
    <xf numFmtId="0" fontId="11" fillId="2" borderId="0" xfId="0" applyFont="1" applyFill="1" applyBorder="1" applyAlignment="1">
      <alignment horizontal="left"/>
    </xf>
    <xf numFmtId="0" fontId="11" fillId="7" borderId="0" xfId="0" applyFont="1" applyFill="1" applyAlignment="1">
      <alignment horizontal="center" vertical="center"/>
    </xf>
    <xf numFmtId="0" fontId="13" fillId="0" borderId="0" xfId="0" applyFont="1" applyFill="1" applyBorder="1" applyAlignment="1">
      <alignment horizontal="left" vertical="top"/>
    </xf>
    <xf numFmtId="169" fontId="4" fillId="0" borderId="0" xfId="3" applyNumberFormat="1" applyFont="1" applyFill="1">
      <alignment horizontal="right" vertical="top"/>
    </xf>
    <xf numFmtId="3" fontId="11" fillId="0" borderId="7" xfId="13" applyNumberFormat="1" applyFont="1" applyFill="1" applyBorder="1" applyAlignment="1"/>
    <xf numFmtId="3" fontId="10" fillId="0" borderId="18" xfId="11" applyNumberFormat="1" applyFont="1" applyFill="1" applyBorder="1" applyAlignment="1">
      <alignment horizontal="right" vertical="top" wrapText="1"/>
    </xf>
    <xf numFmtId="3" fontId="10" fillId="0" borderId="0" xfId="0" applyNumberFormat="1" applyFont="1" applyFill="1" applyBorder="1" applyAlignment="1">
      <alignment horizontal="right"/>
    </xf>
    <xf numFmtId="0" fontId="29" fillId="0" borderId="0" xfId="0" applyFont="1" applyAlignment="1">
      <alignment horizontal="left"/>
    </xf>
    <xf numFmtId="3" fontId="10" fillId="0" borderId="0" xfId="0" applyNumberFormat="1" applyFont="1" applyFill="1"/>
    <xf numFmtId="0" fontId="29" fillId="3" borderId="0" xfId="0" applyFont="1" applyFill="1" applyAlignment="1">
      <alignment vertical="top" wrapText="1"/>
    </xf>
    <xf numFmtId="3" fontId="10" fillId="0" borderId="0" xfId="1" applyNumberFormat="1" applyFont="1" applyFill="1" applyBorder="1">
      <alignment horizontal="right" vertical="top"/>
    </xf>
    <xf numFmtId="3" fontId="10" fillId="0" borderId="0" xfId="1" applyNumberFormat="1" applyFont="1" applyFill="1" applyBorder="1" applyAlignment="1">
      <alignment horizontal="right" vertical="top"/>
    </xf>
    <xf numFmtId="0" fontId="10" fillId="0" borderId="0" xfId="0" applyFont="1" applyFill="1"/>
    <xf numFmtId="0" fontId="11" fillId="2" borderId="6" xfId="0" applyFont="1" applyFill="1" applyBorder="1" applyAlignment="1">
      <alignment horizontal="right" vertical="top" wrapText="1"/>
    </xf>
    <xf numFmtId="0" fontId="13" fillId="2" borderId="0" xfId="0" applyFont="1" applyFill="1" applyAlignment="1">
      <alignment horizontal="left" vertical="top" wrapText="1"/>
    </xf>
    <xf numFmtId="0" fontId="11" fillId="2" borderId="6" xfId="0" applyFont="1" applyFill="1" applyBorder="1" applyAlignment="1">
      <alignment horizontal="left"/>
    </xf>
    <xf numFmtId="0" fontId="13" fillId="0" borderId="0" xfId="0" applyFont="1" applyFill="1" applyAlignment="1">
      <alignment vertical="top" wrapText="1"/>
    </xf>
    <xf numFmtId="0" fontId="11" fillId="3" borderId="6" xfId="0" applyFont="1" applyFill="1" applyBorder="1" applyAlignment="1">
      <alignment horizontal="right" wrapText="1"/>
    </xf>
    <xf numFmtId="49" fontId="10" fillId="2" borderId="0" xfId="0" applyNumberFormat="1" applyFont="1" applyFill="1" applyBorder="1" applyAlignment="1"/>
    <xf numFmtId="173" fontId="10" fillId="2" borderId="0" xfId="0" applyNumberFormat="1" applyFont="1" applyFill="1" applyBorder="1" applyAlignment="1">
      <alignment horizontal="right"/>
    </xf>
    <xf numFmtId="2" fontId="10" fillId="3" borderId="0" xfId="0" applyNumberFormat="1" applyFont="1" applyFill="1" applyBorder="1"/>
    <xf numFmtId="49" fontId="10" fillId="2" borderId="0" xfId="0" applyNumberFormat="1" applyFont="1" applyFill="1" applyBorder="1" applyAlignment="1">
      <alignment horizontal="right"/>
    </xf>
    <xf numFmtId="0" fontId="36" fillId="2" borderId="0" xfId="0" applyFont="1" applyFill="1" applyBorder="1" applyAlignment="1">
      <alignment horizontal="left"/>
    </xf>
    <xf numFmtId="0" fontId="13" fillId="2" borderId="0" xfId="0" applyFont="1" applyFill="1" applyAlignment="1">
      <alignment horizontal="left" vertical="top" wrapText="1"/>
    </xf>
    <xf numFmtId="0" fontId="11" fillId="2" borderId="6" xfId="0" applyFont="1" applyFill="1" applyBorder="1" applyAlignment="1">
      <alignment horizontal="center"/>
    </xf>
    <xf numFmtId="173" fontId="11" fillId="2" borderId="6" xfId="0" applyNumberFormat="1" applyFont="1" applyFill="1" applyBorder="1" applyAlignment="1">
      <alignment horizontal="center"/>
    </xf>
    <xf numFmtId="0" fontId="29"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8"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29" fillId="3" borderId="0" xfId="0" applyFont="1" applyFill="1"/>
    <xf numFmtId="0" fontId="10" fillId="3" borderId="0" xfId="0" applyFont="1" applyFill="1"/>
    <xf numFmtId="171" fontId="10" fillId="3" borderId="0" xfId="11" applyNumberFormat="1" applyFont="1" applyFill="1" applyBorder="1" applyAlignment="1">
      <alignment horizontal="left" wrapText="1"/>
    </xf>
    <xf numFmtId="167" fontId="11" fillId="0" borderId="1" xfId="4" applyFont="1" applyFill="1" applyBorder="1" applyAlignment="1">
      <alignment horizontal="left"/>
    </xf>
    <xf numFmtId="164" fontId="11" fillId="0" borderId="0" xfId="5" applyNumberFormat="1" applyFont="1" applyFill="1" applyAlignment="1">
      <alignment horizontal="left" vertical="top"/>
    </xf>
    <xf numFmtId="168" fontId="11" fillId="0" borderId="0" xfId="6" applyFont="1" applyFill="1" applyAlignment="1">
      <alignment horizontal="center"/>
    </xf>
    <xf numFmtId="0" fontId="10" fillId="0" borderId="0" xfId="0" applyFont="1" applyAlignment="1">
      <alignment horizontal="center"/>
    </xf>
    <xf numFmtId="0" fontId="10" fillId="0" borderId="0" xfId="0" applyFont="1" applyFill="1"/>
    <xf numFmtId="0" fontId="13" fillId="2" borderId="0" xfId="0" applyFont="1" applyFill="1" applyAlignment="1">
      <alignment horizontal="justify"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6" xfId="0" applyFont="1" applyFill="1" applyBorder="1" applyAlignment="1">
      <alignment horizontal="right" vertical="top" wrapText="1"/>
    </xf>
    <xf numFmtId="0" fontId="27" fillId="2" borderId="0" xfId="0" applyFont="1" applyFill="1" applyAlignment="1">
      <alignment horizontal="left" vertical="top" wrapText="1"/>
    </xf>
    <xf numFmtId="0" fontId="13" fillId="2" borderId="0" xfId="0" applyFont="1" applyFill="1" applyAlignment="1">
      <alignment horizontal="left" vertical="top" wrapText="1"/>
    </xf>
    <xf numFmtId="0" fontId="2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11" fillId="2" borderId="6" xfId="0" applyFont="1" applyFill="1" applyBorder="1" applyAlignment="1">
      <alignment horizontal="left" wrapText="1"/>
    </xf>
    <xf numFmtId="0" fontId="11" fillId="2" borderId="0" xfId="0" applyFont="1" applyFill="1" applyAlignment="1">
      <alignment horizontal="center" wrapText="1"/>
    </xf>
    <xf numFmtId="0" fontId="22" fillId="0" borderId="0" xfId="0" applyFont="1" applyAlignment="1">
      <alignment horizontal="center"/>
    </xf>
    <xf numFmtId="0" fontId="10" fillId="2" borderId="0" xfId="0" applyFont="1" applyFill="1" applyAlignment="1">
      <alignment horizontal="center" wrapText="1"/>
    </xf>
    <xf numFmtId="0" fontId="26" fillId="2" borderId="0" xfId="0" applyFont="1" applyFill="1" applyBorder="1" applyAlignment="1">
      <alignment horizontal="left" vertical="top" wrapText="1"/>
    </xf>
    <xf numFmtId="0" fontId="26"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17"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0" fontId="29"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17" xfId="0" applyFont="1" applyFill="1" applyBorder="1" applyAlignment="1">
      <alignment horizontal="left" vertical="top"/>
    </xf>
    <xf numFmtId="0" fontId="11" fillId="2" borderId="0" xfId="0" applyFont="1" applyFill="1" applyBorder="1" applyAlignment="1">
      <alignment horizontal="left"/>
    </xf>
    <xf numFmtId="0" fontId="11" fillId="2" borderId="6" xfId="0" applyFont="1" applyFill="1" applyBorder="1" applyAlignment="1">
      <alignment horizontal="left"/>
    </xf>
    <xf numFmtId="3" fontId="11" fillId="2" borderId="0"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3" fontId="11" fillId="3" borderId="0" xfId="0" applyNumberFormat="1" applyFont="1" applyFill="1" applyBorder="1" applyAlignment="1">
      <alignment horizontal="right" wrapText="1"/>
    </xf>
    <xf numFmtId="3" fontId="11" fillId="3" borderId="6"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3" fontId="10" fillId="3" borderId="6" xfId="0" applyNumberFormat="1" applyFont="1" applyFill="1" applyBorder="1" applyAlignment="1">
      <alignment horizontal="right" wrapText="1"/>
    </xf>
    <xf numFmtId="169" fontId="25" fillId="0" borderId="0" xfId="1" applyFont="1" applyFill="1" applyAlignment="1">
      <alignment horizontal="center" vertical="top"/>
    </xf>
    <xf numFmtId="0" fontId="28" fillId="7" borderId="0" xfId="0" applyFont="1" applyFill="1" applyAlignment="1">
      <alignment horizontal="center" vertical="center"/>
    </xf>
    <xf numFmtId="0" fontId="11" fillId="7" borderId="0" xfId="0" applyFont="1" applyFill="1" applyAlignment="1">
      <alignment horizontal="center" vertical="center"/>
    </xf>
    <xf numFmtId="0" fontId="11" fillId="3" borderId="0" xfId="0" applyFont="1" applyFill="1" applyBorder="1"/>
    <xf numFmtId="0" fontId="54" fillId="3" borderId="0" xfId="12" applyFont="1" applyFill="1" applyBorder="1" applyAlignment="1">
      <alignment horizontal="center" wrapText="1"/>
    </xf>
    <xf numFmtId="0" fontId="54" fillId="3" borderId="0" xfId="12" applyFont="1" applyFill="1" applyBorder="1" applyAlignment="1">
      <alignment horizontal="center"/>
    </xf>
    <xf numFmtId="174" fontId="11" fillId="2" borderId="0" xfId="0" applyNumberFormat="1" applyFont="1" applyFill="1" applyBorder="1" applyAlignment="1">
      <alignment horizontal="left"/>
    </xf>
    <xf numFmtId="3" fontId="10" fillId="2" borderId="0" xfId="12" quotePrefix="1" applyNumberFormat="1" applyFont="1" applyFill="1" applyBorder="1" applyAlignment="1">
      <alignment horizontal="right" vertical="top" wrapText="1"/>
    </xf>
    <xf numFmtId="3" fontId="10" fillId="2" borderId="0" xfId="12" applyNumberFormat="1" applyFont="1" applyFill="1" applyBorder="1" applyAlignment="1">
      <alignment horizontal="right" vertical="top" wrapText="1"/>
    </xf>
    <xf numFmtId="3" fontId="10" fillId="0" borderId="0" xfId="12" applyNumberFormat="1" applyFont="1" applyFill="1" applyBorder="1" applyAlignment="1">
      <alignment horizontal="right" vertical="top" wrapText="1"/>
    </xf>
    <xf numFmtId="3" fontId="11" fillId="2" borderId="1" xfId="12" applyNumberFormat="1" applyFont="1" applyFill="1" applyBorder="1" applyAlignment="1">
      <alignment horizontal="right" vertical="top" wrapText="1"/>
    </xf>
    <xf numFmtId="3" fontId="10" fillId="3" borderId="0" xfId="12" applyNumberFormat="1" applyFont="1" applyFill="1" applyBorder="1" applyAlignment="1">
      <alignment horizontal="right" vertical="top" wrapText="1"/>
    </xf>
    <xf numFmtId="0" fontId="11" fillId="2" borderId="0" xfId="0" applyFont="1" applyFill="1" applyBorder="1" applyAlignment="1">
      <alignment horizontal="center" vertical="top" wrapText="1"/>
    </xf>
    <xf numFmtId="0" fontId="28" fillId="2" borderId="0" xfId="0" applyFont="1" applyFill="1" applyBorder="1" applyAlignment="1">
      <alignment horizontal="right" vertical="top" wrapText="1"/>
    </xf>
  </cellXfs>
  <cellStyles count="18">
    <cellStyle name="EY0dp" xfId="1"/>
    <cellStyle name="EYColumnHeading" xfId="2"/>
    <cellStyle name="EYnumber" xfId="3"/>
    <cellStyle name="EYSheetHeader1" xfId="4"/>
    <cellStyle name="EYtext" xfId="5"/>
    <cellStyle name="greyed 2" xfId="14"/>
    <cellStyle name="Hyperkobling" xfId="17" builtinId="8"/>
    <cellStyle name="Komma" xfId="11" builtinId="3"/>
    <cellStyle name="Komma 2" xfId="1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 name="Prosent 2" xfId="15"/>
    <cellStyle name="Prosent 3" xfId="16"/>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36"/>
  <sheetViews>
    <sheetView showGridLines="0" tabSelected="1" zoomScale="90" zoomScaleNormal="90" workbookViewId="0"/>
  </sheetViews>
  <sheetFormatPr baseColWidth="10" defaultColWidth="11" defaultRowHeight="12.75" x14ac:dyDescent="0.2"/>
  <cols>
    <col min="1" max="1" width="9.625" style="279" customWidth="1"/>
    <col min="2" max="2" width="137" style="279" customWidth="1"/>
    <col min="3" max="3" width="17.25" style="279" customWidth="1"/>
    <col min="4" max="4" width="18.875" style="279" customWidth="1"/>
    <col min="5" max="5" width="20.625" style="279" customWidth="1"/>
    <col min="47" max="16384" width="11" style="279"/>
  </cols>
  <sheetData>
    <row r="1" spans="1:5" ht="23.25" x14ac:dyDescent="0.35">
      <c r="A1" s="271" t="s">
        <v>451</v>
      </c>
      <c r="B1" s="272"/>
      <c r="C1" s="272"/>
      <c r="D1" s="272"/>
      <c r="E1" s="410" t="s">
        <v>1182</v>
      </c>
    </row>
    <row r="2" spans="1:5" x14ac:dyDescent="0.2">
      <c r="A2" s="273" t="s">
        <v>452</v>
      </c>
      <c r="B2" s="274" t="s">
        <v>453</v>
      </c>
      <c r="C2" s="275" t="s">
        <v>454</v>
      </c>
      <c r="D2" s="275" t="s">
        <v>455</v>
      </c>
      <c r="E2" s="275"/>
    </row>
    <row r="3" spans="1:5" ht="15" x14ac:dyDescent="0.25">
      <c r="A3" s="280"/>
      <c r="B3" s="277"/>
      <c r="C3" s="278"/>
      <c r="D3" s="281"/>
      <c r="E3" s="281"/>
    </row>
    <row r="4" spans="1:5" x14ac:dyDescent="0.2">
      <c r="A4" s="602">
        <v>1</v>
      </c>
      <c r="B4" s="283" t="s">
        <v>456</v>
      </c>
      <c r="C4" s="282">
        <v>52</v>
      </c>
      <c r="D4" s="282" t="s">
        <v>457</v>
      </c>
      <c r="E4" s="282"/>
    </row>
    <row r="5" spans="1:5" x14ac:dyDescent="0.2">
      <c r="A5" s="603">
        <v>2</v>
      </c>
      <c r="B5" s="277" t="s">
        <v>458</v>
      </c>
      <c r="C5" s="278">
        <v>53</v>
      </c>
      <c r="D5" s="278" t="s">
        <v>459</v>
      </c>
      <c r="E5" s="278"/>
    </row>
    <row r="6" spans="1:5" x14ac:dyDescent="0.2">
      <c r="A6" s="602">
        <v>3</v>
      </c>
      <c r="B6" s="283" t="s">
        <v>460</v>
      </c>
      <c r="C6" s="282">
        <v>54</v>
      </c>
      <c r="D6" s="282" t="s">
        <v>461</v>
      </c>
      <c r="E6" s="282"/>
    </row>
    <row r="7" spans="1:5" x14ac:dyDescent="0.2">
      <c r="A7" s="603">
        <v>4</v>
      </c>
      <c r="B7" s="277" t="s">
        <v>462</v>
      </c>
      <c r="C7" s="278">
        <v>54</v>
      </c>
      <c r="D7" s="278" t="s">
        <v>463</v>
      </c>
      <c r="E7" s="278"/>
    </row>
    <row r="8" spans="1:5" x14ac:dyDescent="0.2">
      <c r="A8" s="602">
        <v>5</v>
      </c>
      <c r="B8" s="283" t="s">
        <v>464</v>
      </c>
      <c r="C8" s="282">
        <v>37</v>
      </c>
      <c r="D8" s="282" t="s">
        <v>465</v>
      </c>
      <c r="E8" s="282"/>
    </row>
    <row r="9" spans="1:5" x14ac:dyDescent="0.2">
      <c r="A9" s="603">
        <v>6</v>
      </c>
      <c r="B9" s="277" t="s">
        <v>912</v>
      </c>
      <c r="C9" s="278">
        <v>42</v>
      </c>
      <c r="D9" s="278" t="s">
        <v>457</v>
      </c>
      <c r="E9" s="278"/>
    </row>
    <row r="10" spans="1:5" x14ac:dyDescent="0.2">
      <c r="A10" s="602">
        <v>7</v>
      </c>
      <c r="B10" s="283" t="s">
        <v>913</v>
      </c>
      <c r="C10" s="282">
        <v>56</v>
      </c>
      <c r="D10" s="282" t="s">
        <v>466</v>
      </c>
      <c r="E10" s="282"/>
    </row>
    <row r="11" spans="1:5" x14ac:dyDescent="0.2">
      <c r="A11" s="603">
        <v>8</v>
      </c>
      <c r="B11" s="277" t="s">
        <v>914</v>
      </c>
      <c r="C11" s="278">
        <v>57</v>
      </c>
      <c r="D11" s="278" t="s">
        <v>466</v>
      </c>
      <c r="E11" s="278"/>
    </row>
    <row r="12" spans="1:5" x14ac:dyDescent="0.2">
      <c r="A12" s="602">
        <v>9</v>
      </c>
      <c r="B12" s="283" t="s">
        <v>915</v>
      </c>
      <c r="C12" s="282">
        <v>57</v>
      </c>
      <c r="D12" s="282" t="s">
        <v>466</v>
      </c>
      <c r="E12" s="282"/>
    </row>
    <row r="13" spans="1:5" x14ac:dyDescent="0.2">
      <c r="A13" s="603">
        <v>10</v>
      </c>
      <c r="B13" s="284" t="s">
        <v>916</v>
      </c>
      <c r="C13" s="278">
        <v>58</v>
      </c>
      <c r="D13" s="278" t="s">
        <v>466</v>
      </c>
      <c r="E13" s="278"/>
    </row>
    <row r="14" spans="1:5" x14ac:dyDescent="0.2">
      <c r="A14" s="602">
        <v>11</v>
      </c>
      <c r="B14" s="283" t="s">
        <v>917</v>
      </c>
      <c r="C14" s="282">
        <v>59</v>
      </c>
      <c r="D14" s="282" t="s">
        <v>466</v>
      </c>
      <c r="E14" s="282"/>
    </row>
    <row r="15" spans="1:5" x14ac:dyDescent="0.2">
      <c r="A15" s="603">
        <v>12</v>
      </c>
      <c r="B15" s="277" t="s">
        <v>918</v>
      </c>
      <c r="C15" s="278">
        <v>60</v>
      </c>
      <c r="D15" s="278" t="s">
        <v>457</v>
      </c>
      <c r="E15" s="278"/>
    </row>
    <row r="16" spans="1:5" x14ac:dyDescent="0.2">
      <c r="A16" s="602">
        <v>13</v>
      </c>
      <c r="B16" s="283" t="s">
        <v>919</v>
      </c>
      <c r="C16" s="282">
        <v>61</v>
      </c>
      <c r="D16" s="282" t="s">
        <v>466</v>
      </c>
      <c r="E16" s="282"/>
    </row>
    <row r="17" spans="1:46" x14ac:dyDescent="0.2">
      <c r="A17" s="603">
        <v>14</v>
      </c>
      <c r="B17" s="277" t="s">
        <v>920</v>
      </c>
      <c r="C17" s="278">
        <v>61</v>
      </c>
      <c r="D17" s="278" t="s">
        <v>466</v>
      </c>
      <c r="E17" s="278"/>
    </row>
    <row r="18" spans="1:46" x14ac:dyDescent="0.2">
      <c r="A18" s="602">
        <v>15</v>
      </c>
      <c r="B18" s="283" t="s">
        <v>921</v>
      </c>
      <c r="C18" s="282">
        <v>62</v>
      </c>
      <c r="D18" s="282" t="s">
        <v>466</v>
      </c>
      <c r="E18" s="282"/>
    </row>
    <row r="19" spans="1:46" x14ac:dyDescent="0.2">
      <c r="A19" s="603">
        <v>16</v>
      </c>
      <c r="B19" s="277" t="s">
        <v>922</v>
      </c>
      <c r="C19" s="278">
        <v>63</v>
      </c>
      <c r="D19" s="278" t="s">
        <v>466</v>
      </c>
      <c r="E19" s="278"/>
    </row>
    <row r="20" spans="1:46" x14ac:dyDescent="0.2">
      <c r="A20" s="602">
        <v>17</v>
      </c>
      <c r="B20" s="283" t="s">
        <v>467</v>
      </c>
      <c r="C20" s="282">
        <v>67</v>
      </c>
      <c r="D20" s="282" t="s">
        <v>466</v>
      </c>
      <c r="E20" s="282"/>
    </row>
    <row r="21" spans="1:46" x14ac:dyDescent="0.2">
      <c r="A21" s="603">
        <v>18</v>
      </c>
      <c r="B21" s="613" t="s">
        <v>326</v>
      </c>
      <c r="C21" s="278">
        <v>68</v>
      </c>
      <c r="D21" s="278" t="s">
        <v>466</v>
      </c>
      <c r="E21" s="278"/>
    </row>
    <row r="22" spans="1:46" x14ac:dyDescent="0.2">
      <c r="A22" s="602">
        <v>19</v>
      </c>
      <c r="B22" s="614" t="s">
        <v>468</v>
      </c>
      <c r="C22" s="282">
        <v>70</v>
      </c>
      <c r="D22" s="282" t="s">
        <v>466</v>
      </c>
      <c r="E22" s="282"/>
    </row>
    <row r="23" spans="1:46" s="610" customFormat="1" x14ac:dyDescent="0.2">
      <c r="A23" s="604">
        <v>20</v>
      </c>
      <c r="B23" s="615" t="s">
        <v>1022</v>
      </c>
      <c r="C23" s="409">
        <v>70</v>
      </c>
      <c r="D23" s="409" t="s">
        <v>466</v>
      </c>
      <c r="E23" s="409"/>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row>
    <row r="24" spans="1:46" x14ac:dyDescent="0.2">
      <c r="A24" s="602">
        <v>21</v>
      </c>
      <c r="B24" s="411" t="s">
        <v>923</v>
      </c>
      <c r="C24" s="282">
        <v>71</v>
      </c>
      <c r="D24" s="282" t="s">
        <v>466</v>
      </c>
      <c r="E24" s="282"/>
    </row>
    <row r="25" spans="1:46" s="610" customFormat="1" x14ac:dyDescent="0.2">
      <c r="A25" s="604">
        <v>22</v>
      </c>
      <c r="B25" s="610" t="s">
        <v>924</v>
      </c>
      <c r="C25" s="409">
        <v>71</v>
      </c>
      <c r="D25" s="409" t="s">
        <v>466</v>
      </c>
      <c r="E25" s="409"/>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row>
    <row r="26" spans="1:46" x14ac:dyDescent="0.2">
      <c r="A26" s="602">
        <v>23</v>
      </c>
      <c r="B26" s="283" t="s">
        <v>925</v>
      </c>
      <c r="C26" s="282">
        <v>72</v>
      </c>
      <c r="D26" s="282" t="s">
        <v>466</v>
      </c>
      <c r="E26" s="282"/>
    </row>
    <row r="27" spans="1:46" s="610" customFormat="1" x14ac:dyDescent="0.2">
      <c r="A27" s="604">
        <v>24</v>
      </c>
      <c r="B27" s="611" t="s">
        <v>926</v>
      </c>
      <c r="C27" s="409">
        <v>73</v>
      </c>
      <c r="D27" s="409" t="s">
        <v>466</v>
      </c>
      <c r="E27" s="409"/>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row>
    <row r="28" spans="1:46" x14ac:dyDescent="0.2">
      <c r="A28" s="602">
        <v>25</v>
      </c>
      <c r="B28" s="283" t="s">
        <v>866</v>
      </c>
      <c r="C28" s="282">
        <v>73</v>
      </c>
      <c r="D28" s="282" t="s">
        <v>466</v>
      </c>
      <c r="E28" s="282"/>
    </row>
    <row r="29" spans="1:46" s="610" customFormat="1" x14ac:dyDescent="0.2">
      <c r="A29" s="604">
        <v>26</v>
      </c>
      <c r="B29" s="611" t="s">
        <v>927</v>
      </c>
      <c r="C29" s="409">
        <v>73</v>
      </c>
      <c r="D29" s="409" t="s">
        <v>466</v>
      </c>
      <c r="E29" s="40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row>
    <row r="30" spans="1:46" x14ac:dyDescent="0.2">
      <c r="A30" s="602">
        <v>27</v>
      </c>
      <c r="B30" s="283" t="s">
        <v>928</v>
      </c>
      <c r="C30" s="282">
        <v>74</v>
      </c>
      <c r="D30" s="282" t="s">
        <v>466</v>
      </c>
      <c r="E30" s="285"/>
    </row>
    <row r="31" spans="1:46" x14ac:dyDescent="0.2">
      <c r="A31" s="604">
        <v>28</v>
      </c>
      <c r="B31" s="611" t="s">
        <v>826</v>
      </c>
      <c r="C31" s="409"/>
      <c r="D31" s="409" t="s">
        <v>457</v>
      </c>
      <c r="E31" s="409"/>
    </row>
    <row r="32" spans="1:46" s="610" customFormat="1" ht="12.75" customHeight="1" x14ac:dyDescent="0.2">
      <c r="A32" s="602">
        <v>29</v>
      </c>
      <c r="B32" s="283" t="s">
        <v>727</v>
      </c>
      <c r="C32" s="282"/>
      <c r="D32" s="282" t="s">
        <v>457</v>
      </c>
      <c r="E32" s="285"/>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row>
    <row r="33" spans="1:46" x14ac:dyDescent="0.2">
      <c r="A33" s="604">
        <v>30</v>
      </c>
      <c r="B33" s="611" t="s">
        <v>508</v>
      </c>
      <c r="C33" s="612"/>
      <c r="D33" s="409" t="s">
        <v>457</v>
      </c>
      <c r="E33" s="409"/>
    </row>
    <row r="34" spans="1:46" x14ac:dyDescent="0.2">
      <c r="A34" s="609">
        <v>31</v>
      </c>
      <c r="B34" s="283" t="s">
        <v>474</v>
      </c>
      <c r="C34" s="412"/>
      <c r="D34" s="282" t="s">
        <v>457</v>
      </c>
      <c r="E34" s="412"/>
    </row>
    <row r="35" spans="1:46" s="610" customFormat="1" x14ac:dyDescent="0.2">
      <c r="A35" s="604">
        <v>32</v>
      </c>
      <c r="B35" s="611" t="s">
        <v>1053</v>
      </c>
      <c r="C35" s="612"/>
      <c r="D35" s="409" t="s">
        <v>457</v>
      </c>
      <c r="E35" s="409"/>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row>
    <row r="36" spans="1:46" x14ac:dyDescent="0.2">
      <c r="A36" s="609">
        <v>33</v>
      </c>
      <c r="B36" s="283" t="s">
        <v>1136</v>
      </c>
      <c r="C36" s="412"/>
      <c r="D36" s="282" t="s">
        <v>466</v>
      </c>
      <c r="E36" s="412"/>
    </row>
  </sheetData>
  <phoneticPr fontId="9" type="noConversion"/>
  <hyperlinks>
    <hyperlink ref="A4" location="'1'!A1" display="'1'!A1"/>
    <hyperlink ref="A5" location="'2'!A1" display="'2'!A1"/>
    <hyperlink ref="A6" location="'3'!A1" display="'3'!A1"/>
    <hyperlink ref="A7" location="'4'!A1" display="'4'!A1"/>
    <hyperlink ref="A8" location="'5'!A1" display="'5'!A1"/>
    <hyperlink ref="A9" location="'6'!A1" display="'6'!A1"/>
    <hyperlink ref="A10" location="'7'!A1" display="'7'!A1"/>
    <hyperlink ref="A11" location="'8'!A1" display="'8'!A1"/>
    <hyperlink ref="A12" location="'9'!A1" display="'9'!A1"/>
    <hyperlink ref="A13" location="'10'!A1" display="'10'!A1"/>
    <hyperlink ref="A14" location="'11'!A1" display="'11'!A1"/>
    <hyperlink ref="A15" location="'12'!A1" display="'12'!A1"/>
    <hyperlink ref="A16" location="'13'!A1" display="'13'!A1"/>
    <hyperlink ref="A17" location="'14'!A1" display="'14'!A1"/>
    <hyperlink ref="A18" location="'15'!A1" display="'15'!A1"/>
    <hyperlink ref="A19" location="'16'!A1" display="'16'!A1"/>
    <hyperlink ref="A20" location="'17'!A1" display="'17'!A1"/>
    <hyperlink ref="A21" location="'18'!A1" display="'18'!A1"/>
    <hyperlink ref="A22" location="'19'!A1" display="'19'!A1"/>
    <hyperlink ref="A24" location="'21'!A1" display="'21'!A1"/>
    <hyperlink ref="A25" location="'22'!A1" display="'22'!A1"/>
    <hyperlink ref="A26" location="'23'!A1" display="'23'!A1"/>
    <hyperlink ref="A27" location="'24'!A1" display="'24'!A1"/>
    <hyperlink ref="A28" location="'25'!A1" display="'25'!A1"/>
    <hyperlink ref="A29" location="'26'!A1" display="'26'!A1"/>
    <hyperlink ref="A30" location="'27'!A1" display="'27'!A1"/>
    <hyperlink ref="A31" location="'28'!A1" display="'28'!A1"/>
    <hyperlink ref="A32" location="'29'!A1" display="'29'!A1"/>
    <hyperlink ref="A33" location="'30'!A1" display="'30'!A1"/>
    <hyperlink ref="A34" location="'31'!A1" display="'31'!A1"/>
    <hyperlink ref="A23" location="'20'!A1" display="'20'!A1"/>
    <hyperlink ref="A35" location="'32'!A1" display="'32'!A1"/>
    <hyperlink ref="A36" location="'33'!A1" display="'33'!A1"/>
  </hyperlinks>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8"/>
  <sheetViews>
    <sheetView showGridLines="0" workbookViewId="0"/>
  </sheetViews>
  <sheetFormatPr baseColWidth="10" defaultColWidth="11" defaultRowHeight="12" x14ac:dyDescent="0.2"/>
  <cols>
    <col min="1" max="1" width="24" style="313" customWidth="1"/>
    <col min="2" max="2" width="22.375" style="313" customWidth="1"/>
    <col min="3" max="3" width="27.875" style="313" customWidth="1"/>
    <col min="4" max="4" width="11" style="17"/>
    <col min="5" max="5" width="15.625" style="17" customWidth="1"/>
    <col min="6" max="16384" width="11" style="17"/>
  </cols>
  <sheetData>
    <row r="1" spans="1:6" ht="42.75" customHeight="1" x14ac:dyDescent="0.2">
      <c r="A1" s="706" t="s">
        <v>300</v>
      </c>
      <c r="B1" s="706"/>
      <c r="C1" s="706"/>
    </row>
    <row r="2" spans="1:6" x14ac:dyDescent="0.2">
      <c r="A2" s="165" t="s">
        <v>301</v>
      </c>
      <c r="B2" s="386"/>
      <c r="C2" s="386"/>
    </row>
    <row r="3" spans="1:6" ht="24.75" thickBot="1" x14ac:dyDescent="0.25">
      <c r="A3" s="367">
        <v>2017</v>
      </c>
      <c r="B3" s="340" t="s">
        <v>302</v>
      </c>
      <c r="C3" s="166" t="s">
        <v>303</v>
      </c>
    </row>
    <row r="4" spans="1:6" ht="13.5" customHeight="1" x14ac:dyDescent="0.2">
      <c r="A4" s="15" t="s">
        <v>304</v>
      </c>
      <c r="B4" s="539">
        <v>87052</v>
      </c>
      <c r="C4" s="539">
        <f>+(B4+B18)/2</f>
        <v>86239</v>
      </c>
    </row>
    <row r="5" spans="1:6" x14ac:dyDescent="0.2">
      <c r="A5" s="15" t="s">
        <v>305</v>
      </c>
      <c r="B5" s="539">
        <v>117334</v>
      </c>
      <c r="C5" s="539">
        <f>+(B5+B19)/2</f>
        <v>110209</v>
      </c>
    </row>
    <row r="6" spans="1:6" x14ac:dyDescent="0.2">
      <c r="A6" s="99" t="s">
        <v>306</v>
      </c>
      <c r="B6" s="671">
        <f>SUM(B4:B5)</f>
        <v>204386</v>
      </c>
      <c r="C6" s="671">
        <f>SUM(C4:C5)</f>
        <v>196448</v>
      </c>
    </row>
    <row r="7" spans="1:6" x14ac:dyDescent="0.2">
      <c r="A7" s="347" t="s">
        <v>307</v>
      </c>
      <c r="B7" s="83">
        <v>-639</v>
      </c>
      <c r="C7" s="538">
        <f>+(B7+B21)/2</f>
        <v>-614.5</v>
      </c>
    </row>
    <row r="8" spans="1:6" x14ac:dyDescent="0.2">
      <c r="A8" s="15" t="s">
        <v>308</v>
      </c>
      <c r="B8" s="538">
        <v>-678</v>
      </c>
      <c r="C8" s="538">
        <f>+(B8+B22)/2</f>
        <v>-677</v>
      </c>
    </row>
    <row r="9" spans="1:6" x14ac:dyDescent="0.2">
      <c r="A9" s="15" t="s">
        <v>309</v>
      </c>
      <c r="B9" s="539">
        <v>-13</v>
      </c>
      <c r="C9" s="538">
        <f>+(B9+B23)/2</f>
        <v>-9</v>
      </c>
    </row>
    <row r="10" spans="1:6" x14ac:dyDescent="0.2">
      <c r="A10" s="99" t="s">
        <v>310</v>
      </c>
      <c r="B10" s="369">
        <f>+B6+B7+B8+B9</f>
        <v>203056</v>
      </c>
      <c r="C10" s="369">
        <f>SUM(C6:C9)</f>
        <v>195147.5</v>
      </c>
    </row>
    <row r="11" spans="1:6" x14ac:dyDescent="0.2">
      <c r="A11" s="15"/>
      <c r="B11" s="368"/>
      <c r="C11" s="368"/>
      <c r="F11" s="23"/>
    </row>
    <row r="12" spans="1:6" x14ac:dyDescent="0.2">
      <c r="A12" s="15" t="s">
        <v>311</v>
      </c>
      <c r="B12" s="538">
        <v>207</v>
      </c>
      <c r="C12" s="538">
        <f>+(B12+B26)/2</f>
        <v>548</v>
      </c>
    </row>
    <row r="13" spans="1:6" x14ac:dyDescent="0.2">
      <c r="A13" s="15" t="s">
        <v>312</v>
      </c>
      <c r="B13" s="538">
        <v>1608</v>
      </c>
      <c r="C13" s="538">
        <f>+(B13+B27)/2</f>
        <v>2971</v>
      </c>
    </row>
    <row r="14" spans="1:6" x14ac:dyDescent="0.2">
      <c r="A14" s="99" t="s">
        <v>313</v>
      </c>
      <c r="B14" s="369">
        <f>SUM(B10:B13)</f>
        <v>204871</v>
      </c>
      <c r="C14" s="369">
        <f>SUM(C10:C13)</f>
        <v>198666.5</v>
      </c>
    </row>
    <row r="15" spans="1:6" x14ac:dyDescent="0.2">
      <c r="A15" s="347"/>
      <c r="B15" s="347"/>
      <c r="C15" s="347"/>
    </row>
    <row r="16" spans="1:6" x14ac:dyDescent="0.2">
      <c r="A16" s="347"/>
      <c r="B16" s="347"/>
      <c r="C16" s="347"/>
    </row>
    <row r="17" spans="1:3" ht="24.75" thickBot="1" x14ac:dyDescent="0.25">
      <c r="A17" s="367">
        <v>2016</v>
      </c>
      <c r="B17" s="340" t="s">
        <v>314</v>
      </c>
      <c r="C17" s="166" t="s">
        <v>315</v>
      </c>
    </row>
    <row r="18" spans="1:3" x14ac:dyDescent="0.2">
      <c r="A18" s="15" t="s">
        <v>316</v>
      </c>
      <c r="B18" s="539">
        <v>85426</v>
      </c>
      <c r="C18" s="539">
        <v>87757</v>
      </c>
    </row>
    <row r="19" spans="1:3" x14ac:dyDescent="0.2">
      <c r="A19" s="15" t="s">
        <v>317</v>
      </c>
      <c r="B19" s="539">
        <v>103084</v>
      </c>
      <c r="C19" s="539">
        <v>99493</v>
      </c>
    </row>
    <row r="20" spans="1:3" x14ac:dyDescent="0.2">
      <c r="A20" s="99" t="s">
        <v>318</v>
      </c>
      <c r="B20" s="671">
        <f>SUM(B18:B19)</f>
        <v>188510</v>
      </c>
      <c r="C20" s="671">
        <f>SUM(C18:C19)</f>
        <v>187250</v>
      </c>
    </row>
    <row r="21" spans="1:3" x14ac:dyDescent="0.2">
      <c r="A21" s="347" t="s">
        <v>319</v>
      </c>
      <c r="B21" s="83">
        <v>-590</v>
      </c>
      <c r="C21" s="538">
        <f>+(B21+B35)/2</f>
        <v>-295</v>
      </c>
    </row>
    <row r="22" spans="1:3" x14ac:dyDescent="0.2">
      <c r="A22" s="15" t="s">
        <v>320</v>
      </c>
      <c r="B22" s="538">
        <v>-676</v>
      </c>
      <c r="C22" s="538">
        <f>+(B22+B36)/2</f>
        <v>-338</v>
      </c>
    </row>
    <row r="23" spans="1:3" x14ac:dyDescent="0.2">
      <c r="A23" s="15" t="s">
        <v>321</v>
      </c>
      <c r="B23" s="539">
        <v>-5</v>
      </c>
      <c r="C23" s="538">
        <f>+(B23+B37)/2</f>
        <v>-2.5</v>
      </c>
    </row>
    <row r="24" spans="1:3" x14ac:dyDescent="0.2">
      <c r="A24" s="99" t="s">
        <v>322</v>
      </c>
      <c r="B24" s="369">
        <f>+B20+B21+B22+B23</f>
        <v>187239</v>
      </c>
      <c r="C24" s="369">
        <v>178391.5</v>
      </c>
    </row>
    <row r="25" spans="1:3" x14ac:dyDescent="0.2">
      <c r="A25" s="15"/>
      <c r="B25" s="368"/>
      <c r="C25" s="368"/>
    </row>
    <row r="26" spans="1:3" x14ac:dyDescent="0.2">
      <c r="A26" s="15" t="s">
        <v>323</v>
      </c>
      <c r="B26" s="538">
        <v>889</v>
      </c>
      <c r="C26" s="538">
        <f>+(B26+B40)/2</f>
        <v>444.5</v>
      </c>
    </row>
    <row r="27" spans="1:3" x14ac:dyDescent="0.2">
      <c r="A27" s="15" t="s">
        <v>324</v>
      </c>
      <c r="B27" s="538">
        <v>4334</v>
      </c>
      <c r="C27" s="538">
        <f>+(B27+B41)/2</f>
        <v>2167</v>
      </c>
    </row>
    <row r="28" spans="1:3" x14ac:dyDescent="0.2">
      <c r="A28" s="99" t="s">
        <v>325</v>
      </c>
      <c r="B28" s="369">
        <f>SUM(B24:B27)</f>
        <v>192462</v>
      </c>
      <c r="C28" s="369">
        <v>182163.5</v>
      </c>
    </row>
    <row r="38" spans="1:1" x14ac:dyDescent="0.2">
      <c r="A38" s="169"/>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F60"/>
  <sheetViews>
    <sheetView zoomScaleNormal="100" workbookViewId="0"/>
  </sheetViews>
  <sheetFormatPr baseColWidth="10" defaultColWidth="11" defaultRowHeight="12" x14ac:dyDescent="0.2"/>
  <cols>
    <col min="1" max="1" width="44" style="17" customWidth="1"/>
    <col min="2" max="2" width="7.625" style="17" customWidth="1"/>
    <col min="3" max="3" width="9.5" style="17" customWidth="1"/>
    <col min="4" max="4" width="7.625" style="17" customWidth="1"/>
    <col min="5" max="5" width="11" style="15"/>
    <col min="6" max="6" width="21.25" style="17" customWidth="1"/>
    <col min="7" max="16384" width="11" style="17"/>
  </cols>
  <sheetData>
    <row r="1" spans="1:6" x14ac:dyDescent="0.2">
      <c r="A1" s="512" t="s">
        <v>858</v>
      </c>
      <c r="B1" s="322"/>
      <c r="C1" s="317"/>
      <c r="D1" s="317"/>
    </row>
    <row r="2" spans="1:6" s="347" customFormat="1" x14ac:dyDescent="0.2">
      <c r="A2" s="388" t="s">
        <v>169</v>
      </c>
      <c r="B2" s="114"/>
      <c r="C2" s="440"/>
      <c r="D2" s="440"/>
      <c r="E2" s="15"/>
    </row>
    <row r="3" spans="1:6" x14ac:dyDescent="0.2">
      <c r="B3" s="74"/>
      <c r="C3" s="94"/>
      <c r="D3" s="94"/>
    </row>
    <row r="4" spans="1:6" ht="36.75" thickBot="1" x14ac:dyDescent="0.25">
      <c r="A4" s="315">
        <v>2017</v>
      </c>
      <c r="B4" s="340" t="s">
        <v>170</v>
      </c>
      <c r="C4" s="340" t="s">
        <v>171</v>
      </c>
      <c r="D4" s="160" t="s">
        <v>172</v>
      </c>
      <c r="E4" s="74"/>
    </row>
    <row r="5" spans="1:6" x14ac:dyDescent="0.2">
      <c r="A5" s="347" t="s">
        <v>176</v>
      </c>
      <c r="B5" s="543">
        <v>4833</v>
      </c>
      <c r="C5" s="371">
        <v>2660</v>
      </c>
      <c r="D5" s="119">
        <f>+B5+C5</f>
        <v>7493</v>
      </c>
    </row>
    <row r="6" spans="1:6" x14ac:dyDescent="0.2">
      <c r="A6" s="347" t="s">
        <v>177</v>
      </c>
      <c r="B6" s="543">
        <v>860</v>
      </c>
      <c r="C6" s="371">
        <v>574</v>
      </c>
      <c r="D6" s="119">
        <f t="shared" ref="D6:D16" si="0">+B6+C6</f>
        <v>1434</v>
      </c>
    </row>
    <row r="7" spans="1:6" x14ac:dyDescent="0.2">
      <c r="A7" s="347" t="s">
        <v>178</v>
      </c>
      <c r="B7" s="543">
        <v>4876</v>
      </c>
      <c r="C7" s="371">
        <v>4951</v>
      </c>
      <c r="D7" s="119">
        <f t="shared" si="0"/>
        <v>9827</v>
      </c>
    </row>
    <row r="8" spans="1:6" x14ac:dyDescent="0.2">
      <c r="A8" s="347" t="s">
        <v>179</v>
      </c>
      <c r="B8" s="543">
        <v>3632</v>
      </c>
      <c r="C8" s="371">
        <v>168</v>
      </c>
      <c r="D8" s="119">
        <f t="shared" si="0"/>
        <v>3800</v>
      </c>
      <c r="F8" s="23"/>
    </row>
    <row r="9" spans="1:6" x14ac:dyDescent="0.2">
      <c r="A9" s="347" t="s">
        <v>180</v>
      </c>
      <c r="B9" s="543">
        <v>3666</v>
      </c>
      <c r="C9" s="371">
        <v>2919</v>
      </c>
      <c r="D9" s="119">
        <f t="shared" si="0"/>
        <v>6585</v>
      </c>
    </row>
    <row r="10" spans="1:6" x14ac:dyDescent="0.2">
      <c r="A10" s="347" t="s">
        <v>181</v>
      </c>
      <c r="B10" s="543">
        <v>2984</v>
      </c>
      <c r="C10" s="371">
        <v>1432</v>
      </c>
      <c r="D10" s="119">
        <f t="shared" si="0"/>
        <v>4416</v>
      </c>
    </row>
    <row r="11" spans="1:6" x14ac:dyDescent="0.2">
      <c r="A11" s="347" t="s">
        <v>182</v>
      </c>
      <c r="B11" s="543">
        <v>10015</v>
      </c>
      <c r="C11" s="371">
        <v>2181</v>
      </c>
      <c r="D11" s="119">
        <f t="shared" si="0"/>
        <v>12196</v>
      </c>
    </row>
    <row r="12" spans="1:6" x14ac:dyDescent="0.2">
      <c r="A12" s="347" t="s">
        <v>183</v>
      </c>
      <c r="B12" s="543">
        <v>27041</v>
      </c>
      <c r="C12" s="371">
        <v>345</v>
      </c>
      <c r="D12" s="119">
        <f t="shared" si="0"/>
        <v>27386</v>
      </c>
    </row>
    <row r="13" spans="1:6" x14ac:dyDescent="0.2">
      <c r="A13" s="347" t="s">
        <v>184</v>
      </c>
      <c r="B13" s="543">
        <v>8428</v>
      </c>
      <c r="C13" s="371">
        <v>2064</v>
      </c>
      <c r="D13" s="119">
        <f t="shared" si="0"/>
        <v>10492</v>
      </c>
    </row>
    <row r="14" spans="1:6" x14ac:dyDescent="0.2">
      <c r="A14" s="15" t="s">
        <v>185</v>
      </c>
      <c r="B14" s="543">
        <v>1869</v>
      </c>
      <c r="C14" s="371">
        <v>1554</v>
      </c>
      <c r="D14" s="119">
        <f t="shared" si="0"/>
        <v>3423</v>
      </c>
    </row>
    <row r="15" spans="1:6" s="347" customFormat="1" x14ac:dyDescent="0.2">
      <c r="A15" s="15" t="s">
        <v>1009</v>
      </c>
      <c r="B15" s="543">
        <v>-399</v>
      </c>
      <c r="C15" s="371">
        <v>399</v>
      </c>
      <c r="D15" s="119">
        <f t="shared" si="0"/>
        <v>0</v>
      </c>
      <c r="E15" s="15"/>
    </row>
    <row r="16" spans="1:6" x14ac:dyDescent="0.2">
      <c r="A16" s="15" t="s">
        <v>186</v>
      </c>
      <c r="B16" s="543">
        <v>450</v>
      </c>
      <c r="C16" s="371">
        <v>-450</v>
      </c>
      <c r="D16" s="119">
        <f t="shared" si="0"/>
        <v>0</v>
      </c>
      <c r="F16" s="276"/>
    </row>
    <row r="17" spans="1:6" x14ac:dyDescent="0.2">
      <c r="A17" s="14" t="s">
        <v>187</v>
      </c>
      <c r="B17" s="540">
        <f t="shared" ref="B17:C17" si="1">SUM(B5:B16)</f>
        <v>68255</v>
      </c>
      <c r="C17" s="541">
        <f t="shared" si="1"/>
        <v>18797</v>
      </c>
      <c r="D17" s="542">
        <f>SUM(D5:D16)</f>
        <v>87052</v>
      </c>
      <c r="F17" s="23"/>
    </row>
    <row r="18" spans="1:6" x14ac:dyDescent="0.2">
      <c r="A18" s="171" t="s">
        <v>188</v>
      </c>
      <c r="B18" s="544">
        <v>104299</v>
      </c>
      <c r="C18" s="371">
        <v>13035.45</v>
      </c>
      <c r="D18" s="545">
        <f>+B18+C18</f>
        <v>117334.45</v>
      </c>
      <c r="F18" s="276"/>
    </row>
    <row r="19" spans="1:6" x14ac:dyDescent="0.2">
      <c r="A19" s="99" t="s">
        <v>189</v>
      </c>
      <c r="B19" s="324">
        <f>SUM(B17:B18)</f>
        <v>172554</v>
      </c>
      <c r="C19" s="455">
        <f>SUM(C17:C18)</f>
        <v>31832.45</v>
      </c>
      <c r="D19" s="547">
        <f>SUM(D17:D18)</f>
        <v>204386.45</v>
      </c>
      <c r="F19" s="276"/>
    </row>
    <row r="23" spans="1:6" ht="36.75" thickBot="1" x14ac:dyDescent="0.25">
      <c r="A23" s="529">
        <v>2016</v>
      </c>
      <c r="B23" s="117" t="s">
        <v>173</v>
      </c>
      <c r="C23" s="117" t="s">
        <v>174</v>
      </c>
      <c r="D23" s="511" t="s">
        <v>175</v>
      </c>
      <c r="F23" s="84"/>
    </row>
    <row r="24" spans="1:6" x14ac:dyDescent="0.2">
      <c r="A24" s="347" t="s">
        <v>128</v>
      </c>
      <c r="B24" s="543">
        <v>4549.45</v>
      </c>
      <c r="C24" s="371">
        <v>2544</v>
      </c>
      <c r="D24" s="119">
        <v>7093.45</v>
      </c>
    </row>
    <row r="25" spans="1:6" x14ac:dyDescent="0.2">
      <c r="A25" s="347" t="s">
        <v>129</v>
      </c>
      <c r="B25" s="543">
        <v>754.60956805000001</v>
      </c>
      <c r="C25" s="371">
        <v>145</v>
      </c>
      <c r="D25" s="119">
        <v>899.60956805000001</v>
      </c>
    </row>
    <row r="26" spans="1:6" x14ac:dyDescent="0.2">
      <c r="A26" s="347" t="s">
        <v>130</v>
      </c>
      <c r="B26" s="543">
        <v>4779.5447706900004</v>
      </c>
      <c r="C26" s="371">
        <v>329</v>
      </c>
      <c r="D26" s="119">
        <v>5108.5447706900004</v>
      </c>
    </row>
    <row r="27" spans="1:6" x14ac:dyDescent="0.2">
      <c r="A27" s="347" t="s">
        <v>131</v>
      </c>
      <c r="B27" s="543">
        <v>2913.7711606100011</v>
      </c>
      <c r="C27" s="371">
        <v>1620</v>
      </c>
      <c r="D27" s="119">
        <v>4533.7711606100011</v>
      </c>
    </row>
    <row r="28" spans="1:6" x14ac:dyDescent="0.2">
      <c r="A28" s="347" t="s">
        <v>132</v>
      </c>
      <c r="B28" s="543">
        <v>3533.1557375300008</v>
      </c>
      <c r="C28" s="371">
        <v>1794</v>
      </c>
      <c r="D28" s="119">
        <v>5327.1557375300008</v>
      </c>
    </row>
    <row r="29" spans="1:6" x14ac:dyDescent="0.2">
      <c r="A29" s="347" t="s">
        <v>133</v>
      </c>
      <c r="B29" s="543">
        <v>2885.1942420399996</v>
      </c>
      <c r="C29" s="371">
        <v>1711</v>
      </c>
      <c r="D29" s="119">
        <v>4596.1942420399992</v>
      </c>
    </row>
    <row r="30" spans="1:6" x14ac:dyDescent="0.2">
      <c r="A30" s="347" t="s">
        <v>134</v>
      </c>
      <c r="B30" s="543">
        <v>9765.7491792799974</v>
      </c>
      <c r="C30" s="371">
        <v>276</v>
      </c>
      <c r="D30" s="119">
        <v>10041.749179279997</v>
      </c>
    </row>
    <row r="31" spans="1:6" x14ac:dyDescent="0.2">
      <c r="A31" s="347" t="s">
        <v>135</v>
      </c>
      <c r="B31" s="543">
        <v>27268.744084090009</v>
      </c>
      <c r="C31" s="371">
        <v>6086</v>
      </c>
      <c r="D31" s="119">
        <v>33354.744084090009</v>
      </c>
    </row>
    <row r="32" spans="1:6" x14ac:dyDescent="0.2">
      <c r="A32" s="347" t="s">
        <v>136</v>
      </c>
      <c r="B32" s="543">
        <v>8440.525104180002</v>
      </c>
      <c r="C32" s="371">
        <v>2193</v>
      </c>
      <c r="D32" s="119">
        <v>10633.525104180002</v>
      </c>
    </row>
    <row r="33" spans="1:5" x14ac:dyDescent="0.2">
      <c r="A33" s="15" t="s">
        <v>137</v>
      </c>
      <c r="B33" s="543">
        <v>1897.921</v>
      </c>
      <c r="C33" s="371">
        <v>1939</v>
      </c>
      <c r="D33" s="119">
        <v>3836.9210000000003</v>
      </c>
    </row>
    <row r="34" spans="1:5" s="347" customFormat="1" x14ac:dyDescent="0.2">
      <c r="A34" s="15" t="s">
        <v>1009</v>
      </c>
      <c r="B34" s="543">
        <v>-741</v>
      </c>
      <c r="C34" s="371">
        <v>741</v>
      </c>
      <c r="D34" s="119">
        <v>0</v>
      </c>
      <c r="E34" s="15"/>
    </row>
    <row r="35" spans="1:5" x14ac:dyDescent="0.2">
      <c r="A35" s="15" t="s">
        <v>186</v>
      </c>
      <c r="B35" s="543">
        <v>419</v>
      </c>
      <c r="C35" s="371">
        <v>-419</v>
      </c>
      <c r="D35" s="119">
        <v>0</v>
      </c>
    </row>
    <row r="36" spans="1:5" x14ac:dyDescent="0.2">
      <c r="A36" s="14" t="s">
        <v>138</v>
      </c>
      <c r="B36" s="540">
        <f>SUM(B24:B35)</f>
        <v>66466.664846470012</v>
      </c>
      <c r="C36" s="541">
        <f t="shared" ref="C36:D36" si="2">SUM(C24:C35)</f>
        <v>18959</v>
      </c>
      <c r="D36" s="542">
        <f t="shared" si="2"/>
        <v>85425.664846470027</v>
      </c>
    </row>
    <row r="37" spans="1:5" x14ac:dyDescent="0.2">
      <c r="A37" s="171" t="s">
        <v>140</v>
      </c>
      <c r="B37" s="544">
        <v>91171</v>
      </c>
      <c r="C37" s="371">
        <v>11913</v>
      </c>
      <c r="D37" s="672">
        <f>+B37+C37</f>
        <v>103084</v>
      </c>
    </row>
    <row r="38" spans="1:5" x14ac:dyDescent="0.2">
      <c r="A38" s="99" t="s">
        <v>189</v>
      </c>
      <c r="B38" s="324">
        <f>SUM(B36:B37)</f>
        <v>157637.66484647</v>
      </c>
      <c r="C38" s="455">
        <f>+C36+C37</f>
        <v>30872</v>
      </c>
      <c r="D38" s="547">
        <f>+D36+D37</f>
        <v>188509.66484647003</v>
      </c>
    </row>
    <row r="48" spans="1:5" x14ac:dyDescent="0.2">
      <c r="D48" s="172"/>
      <c r="E48" s="546"/>
    </row>
    <row r="49" spans="1:5" x14ac:dyDescent="0.2">
      <c r="D49" s="172"/>
      <c r="E49" s="546"/>
    </row>
    <row r="50" spans="1:5" x14ac:dyDescent="0.2">
      <c r="D50" s="172"/>
      <c r="E50" s="546"/>
    </row>
    <row r="51" spans="1:5" x14ac:dyDescent="0.2">
      <c r="D51" s="172"/>
      <c r="E51" s="546"/>
    </row>
    <row r="52" spans="1:5" x14ac:dyDescent="0.2">
      <c r="D52" s="172"/>
      <c r="E52" s="546"/>
    </row>
    <row r="53" spans="1:5" x14ac:dyDescent="0.2">
      <c r="D53" s="172"/>
      <c r="E53" s="546"/>
    </row>
    <row r="54" spans="1:5" x14ac:dyDescent="0.2">
      <c r="D54" s="172"/>
      <c r="E54" s="546"/>
    </row>
    <row r="55" spans="1:5" x14ac:dyDescent="0.2">
      <c r="D55" s="172"/>
      <c r="E55" s="546"/>
    </row>
    <row r="56" spans="1:5" x14ac:dyDescent="0.2">
      <c r="D56" s="172"/>
      <c r="E56" s="546"/>
    </row>
    <row r="57" spans="1:5" x14ac:dyDescent="0.2">
      <c r="A57" s="15"/>
      <c r="D57" s="172"/>
      <c r="E57" s="546"/>
    </row>
    <row r="58" spans="1:5" x14ac:dyDescent="0.2">
      <c r="A58" s="15"/>
      <c r="D58" s="172"/>
      <c r="E58" s="546"/>
    </row>
    <row r="59" spans="1:5" x14ac:dyDescent="0.2">
      <c r="A59" s="173"/>
      <c r="D59" s="172"/>
      <c r="E59" s="546"/>
    </row>
    <row r="60" spans="1:5" x14ac:dyDescent="0.2">
      <c r="A60" s="174"/>
      <c r="D60" s="172"/>
      <c r="E60" s="546"/>
    </row>
  </sheetData>
  <phoneticPr fontId="3" type="noConversion"/>
  <pageMargins left="0.74803149606299213" right="0.74803149606299213" top="0.98425196850393704" bottom="0.98425196850393704" header="0.51181102362204722" footer="0.51181102362204722"/>
  <pageSetup paperSize="9" scale="75" orientation="portrait" r:id="rId1"/>
  <headerFooter>
    <oddFooter>&amp;R&amp;A</oddFooter>
  </headerFooter>
  <rowBreaks count="1" manualBreakCount="1">
    <brk id="44" max="16383" man="1"/>
  </rowBreaks>
  <ignoredErrors>
    <ignoredError sqref="B19:C19"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heetViews>
  <sheetFormatPr baseColWidth="10" defaultColWidth="11" defaultRowHeight="12" x14ac:dyDescent="0.2"/>
  <cols>
    <col min="1" max="1" width="23.375" style="17" customWidth="1"/>
    <col min="2" max="2" width="10.125" style="17" bestFit="1" customWidth="1"/>
    <col min="3" max="3" width="11.75" style="17" customWidth="1"/>
    <col min="4" max="4" width="8.125" style="17" customWidth="1"/>
    <col min="5" max="5" width="12.125" style="17" bestFit="1" customWidth="1"/>
    <col min="6" max="6" width="9.25" style="17" customWidth="1"/>
    <col min="7" max="7" width="5.5" style="17" customWidth="1"/>
    <col min="8" max="8" width="21.375" style="17" customWidth="1"/>
    <col min="9" max="16384" width="11" style="17"/>
  </cols>
  <sheetData>
    <row r="1" spans="1:19" x14ac:dyDescent="0.2">
      <c r="A1" s="512" t="s">
        <v>859</v>
      </c>
      <c r="B1" s="78"/>
      <c r="C1" s="96"/>
      <c r="D1" s="175"/>
    </row>
    <row r="2" spans="1:19" x14ac:dyDescent="0.2">
      <c r="A2" s="388" t="s">
        <v>276</v>
      </c>
      <c r="B2" s="78"/>
      <c r="C2" s="96"/>
    </row>
    <row r="3" spans="1:19" x14ac:dyDescent="0.2">
      <c r="A3" s="78"/>
      <c r="B3" s="78"/>
      <c r="C3" s="96"/>
    </row>
    <row r="4" spans="1:19" ht="12.75" thickBot="1" x14ac:dyDescent="0.25">
      <c r="A4" s="118">
        <v>2017</v>
      </c>
      <c r="B4" s="160" t="s">
        <v>277</v>
      </c>
      <c r="C4" s="160" t="s">
        <v>278</v>
      </c>
      <c r="D4" s="160" t="s">
        <v>279</v>
      </c>
      <c r="E4" s="160" t="s">
        <v>280</v>
      </c>
      <c r="F4" s="160" t="s">
        <v>281</v>
      </c>
      <c r="G4" s="74"/>
    </row>
    <row r="5" spans="1:19" x14ac:dyDescent="0.2">
      <c r="A5" s="71" t="s">
        <v>282</v>
      </c>
      <c r="B5" s="98">
        <v>19763</v>
      </c>
      <c r="C5" s="98">
        <v>10077</v>
      </c>
      <c r="D5" s="98">
        <v>36608</v>
      </c>
      <c r="E5" s="98">
        <v>106106</v>
      </c>
      <c r="F5" s="98">
        <f>SUM(B5:E5)</f>
        <v>172554</v>
      </c>
      <c r="G5" s="98"/>
      <c r="I5" s="23"/>
    </row>
    <row r="6" spans="1:19" x14ac:dyDescent="0.2">
      <c r="A6" s="15" t="s">
        <v>283</v>
      </c>
      <c r="B6" s="98">
        <v>22712</v>
      </c>
      <c r="C6" s="98"/>
      <c r="D6" s="98"/>
      <c r="E6" s="98"/>
      <c r="F6" s="98">
        <f>SUM(B6:E6)</f>
        <v>22712</v>
      </c>
      <c r="G6" s="98"/>
    </row>
    <row r="7" spans="1:19" x14ac:dyDescent="0.2">
      <c r="A7" s="176" t="s">
        <v>284</v>
      </c>
      <c r="B7" s="177">
        <v>83</v>
      </c>
      <c r="C7" s="673">
        <v>2391</v>
      </c>
      <c r="D7" s="673">
        <v>5419</v>
      </c>
      <c r="E7" s="673">
        <v>1227</v>
      </c>
      <c r="F7" s="98">
        <f>SUM(B7:E7)</f>
        <v>9120</v>
      </c>
      <c r="G7" s="98"/>
    </row>
    <row r="8" spans="1:19" x14ac:dyDescent="0.2">
      <c r="A8" s="372" t="s">
        <v>285</v>
      </c>
      <c r="B8" s="372">
        <f>SUM(B5:B7)</f>
        <v>42558</v>
      </c>
      <c r="C8" s="372">
        <f t="shared" ref="C8:F8" si="0">SUM(C5:C7)</f>
        <v>12468</v>
      </c>
      <c r="D8" s="372">
        <f t="shared" si="0"/>
        <v>42027</v>
      </c>
      <c r="E8" s="372">
        <f t="shared" si="0"/>
        <v>107333</v>
      </c>
      <c r="F8" s="372">
        <f t="shared" si="0"/>
        <v>204386</v>
      </c>
      <c r="G8" s="161"/>
    </row>
    <row r="9" spans="1:19" ht="8.25" customHeight="1" x14ac:dyDescent="0.2">
      <c r="A9" s="170"/>
      <c r="B9" s="98"/>
      <c r="C9" s="98"/>
      <c r="D9" s="98"/>
      <c r="E9" s="98"/>
      <c r="F9" s="98"/>
      <c r="G9" s="84"/>
    </row>
    <row r="10" spans="1:19" x14ac:dyDescent="0.2">
      <c r="A10" s="15" t="s">
        <v>286</v>
      </c>
      <c r="B10" s="98">
        <v>194</v>
      </c>
      <c r="C10" s="182">
        <v>13</v>
      </c>
      <c r="D10" s="98" t="s">
        <v>287</v>
      </c>
      <c r="E10" s="98" t="s">
        <v>287</v>
      </c>
      <c r="F10" s="98">
        <f>SUM(B10:E10)</f>
        <v>207</v>
      </c>
      <c r="G10" s="98"/>
    </row>
    <row r="11" spans="1:19" x14ac:dyDescent="0.2">
      <c r="A11" s="588" t="s">
        <v>288</v>
      </c>
      <c r="B11" s="584">
        <v>0</v>
      </c>
      <c r="C11" s="585">
        <v>730</v>
      </c>
      <c r="D11" s="584">
        <v>860</v>
      </c>
      <c r="E11" s="584">
        <v>18</v>
      </c>
      <c r="F11" s="586">
        <f>SUM(B11:E11)</f>
        <v>1608</v>
      </c>
      <c r="G11" s="98"/>
    </row>
    <row r="12" spans="1:19" x14ac:dyDescent="0.2">
      <c r="B12" s="161"/>
      <c r="C12" s="161"/>
      <c r="D12" s="161"/>
      <c r="E12" s="161"/>
      <c r="F12" s="161"/>
    </row>
    <row r="13" spans="1:19" ht="12.75" thickBot="1" x14ac:dyDescent="0.25">
      <c r="A13" s="179">
        <v>2016</v>
      </c>
      <c r="B13" s="160" t="s">
        <v>289</v>
      </c>
      <c r="C13" s="160" t="s">
        <v>290</v>
      </c>
      <c r="D13" s="160" t="s">
        <v>291</v>
      </c>
      <c r="E13" s="160" t="s">
        <v>292</v>
      </c>
      <c r="F13" s="160" t="s">
        <v>293</v>
      </c>
    </row>
    <row r="14" spans="1:19" x14ac:dyDescent="0.2">
      <c r="A14" s="71" t="s">
        <v>294</v>
      </c>
      <c r="B14" s="98">
        <v>49766</v>
      </c>
      <c r="C14" s="98">
        <v>6517</v>
      </c>
      <c r="D14" s="98">
        <v>23254</v>
      </c>
      <c r="E14" s="98">
        <v>78101</v>
      </c>
      <c r="F14" s="98">
        <f>SUM(B14:E14)</f>
        <v>157638</v>
      </c>
    </row>
    <row r="15" spans="1:19" x14ac:dyDescent="0.2">
      <c r="A15" s="15" t="s">
        <v>295</v>
      </c>
      <c r="B15" s="98">
        <v>21037</v>
      </c>
      <c r="C15" s="98"/>
      <c r="D15" s="98"/>
      <c r="E15" s="98"/>
      <c r="F15" s="98">
        <f>SUM(B15:E15)</f>
        <v>21037</v>
      </c>
      <c r="J15" s="19"/>
      <c r="K15" s="19"/>
      <c r="L15" s="19"/>
      <c r="M15" s="19"/>
      <c r="N15" s="19"/>
      <c r="O15" s="19"/>
      <c r="P15" s="19"/>
      <c r="Q15" s="19"/>
      <c r="R15" s="19"/>
      <c r="S15" s="19"/>
    </row>
    <row r="16" spans="1:19" x14ac:dyDescent="0.2">
      <c r="A16" s="176" t="s">
        <v>296</v>
      </c>
      <c r="B16" s="177">
        <v>39</v>
      </c>
      <c r="C16" s="177">
        <v>2092</v>
      </c>
      <c r="D16" s="177">
        <v>6194</v>
      </c>
      <c r="E16" s="177">
        <v>1510</v>
      </c>
      <c r="F16" s="98">
        <f>SUM(B16:E16)</f>
        <v>9835</v>
      </c>
      <c r="I16" s="67"/>
      <c r="J16" s="104"/>
      <c r="K16" s="104"/>
      <c r="L16" s="104"/>
      <c r="M16" s="104"/>
      <c r="N16" s="104"/>
      <c r="O16" s="104"/>
      <c r="P16" s="104"/>
      <c r="Q16" s="104"/>
      <c r="R16" s="104"/>
      <c r="S16" s="104"/>
    </row>
    <row r="17" spans="1:19" x14ac:dyDescent="0.2">
      <c r="A17" s="372" t="s">
        <v>297</v>
      </c>
      <c r="B17" s="162">
        <f>SUM(B14:B16)</f>
        <v>70842</v>
      </c>
      <c r="C17" s="162">
        <f t="shared" ref="C17:E17" si="1">SUM(C14:C16)</f>
        <v>8609</v>
      </c>
      <c r="D17" s="162">
        <f t="shared" si="1"/>
        <v>29448</v>
      </c>
      <c r="E17" s="162">
        <f t="shared" si="1"/>
        <v>79611</v>
      </c>
      <c r="F17" s="587">
        <f>SUM(B17:E17)</f>
        <v>188510</v>
      </c>
      <c r="G17" s="23"/>
      <c r="H17" s="157"/>
      <c r="J17" s="19"/>
      <c r="K17" s="19"/>
      <c r="L17" s="19"/>
      <c r="M17" s="19"/>
      <c r="N17" s="19"/>
      <c r="O17" s="19"/>
      <c r="P17" s="19"/>
      <c r="Q17" s="19"/>
      <c r="R17" s="19"/>
      <c r="S17" s="19"/>
    </row>
    <row r="18" spans="1:19" ht="8.25" customHeight="1" x14ac:dyDescent="0.2">
      <c r="A18" s="170"/>
      <c r="B18" s="180"/>
      <c r="C18" s="98"/>
      <c r="D18" s="181"/>
      <c r="E18" s="84"/>
      <c r="F18" s="84"/>
    </row>
    <row r="19" spans="1:19" x14ac:dyDescent="0.2">
      <c r="A19" s="15" t="s">
        <v>298</v>
      </c>
      <c r="B19" s="98">
        <v>889</v>
      </c>
      <c r="C19" s="182" t="s">
        <v>287</v>
      </c>
      <c r="D19" s="182" t="s">
        <v>287</v>
      </c>
      <c r="E19" s="182" t="s">
        <v>287</v>
      </c>
      <c r="F19" s="98">
        <f>SUM(B19:E19)</f>
        <v>889</v>
      </c>
      <c r="H19" s="84"/>
    </row>
    <row r="20" spans="1:19" x14ac:dyDescent="0.2">
      <c r="A20" s="588" t="s">
        <v>299</v>
      </c>
      <c r="B20" s="584">
        <v>802</v>
      </c>
      <c r="C20" s="585">
        <v>3532</v>
      </c>
      <c r="D20" s="585" t="s">
        <v>287</v>
      </c>
      <c r="E20" s="585" t="s">
        <v>287</v>
      </c>
      <c r="F20" s="586">
        <f>SUM(B20:E20)</f>
        <v>4334</v>
      </c>
    </row>
    <row r="21" spans="1:19" x14ac:dyDescent="0.2">
      <c r="G21" s="74"/>
    </row>
    <row r="22" spans="1:19" x14ac:dyDescent="0.2">
      <c r="G22" s="98"/>
    </row>
    <row r="23" spans="1:19" x14ac:dyDescent="0.2">
      <c r="G23" s="98"/>
    </row>
    <row r="24" spans="1:19" x14ac:dyDescent="0.2">
      <c r="G24" s="98"/>
    </row>
    <row r="25" spans="1:19" x14ac:dyDescent="0.2">
      <c r="G25" s="161"/>
    </row>
    <row r="26" spans="1:19" x14ac:dyDescent="0.2">
      <c r="G26" s="84"/>
    </row>
    <row r="27" spans="1:19" x14ac:dyDescent="0.2">
      <c r="D27" s="19"/>
      <c r="G27" s="98"/>
    </row>
    <row r="28" spans="1:19" x14ac:dyDescent="0.2">
      <c r="G28" s="98"/>
    </row>
  </sheetData>
  <phoneticPr fontId="3" type="noConversion"/>
  <pageMargins left="0.74803149606299213" right="0.74803149606299213" top="0.98425196850393704" bottom="0.98425196850393704" header="0.51181102362204722" footer="0.51181102362204722"/>
  <pageSetup paperSize="9" scale="95" orientation="portrait" r:id="rId1"/>
  <headerFooter>
    <oddFooter>&amp;R&amp;A</oddFooter>
  </headerFooter>
  <rowBreaks count="1" manualBreakCount="1">
    <brk id="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tabColor rgb="FF00B050"/>
    <pageSetUpPr fitToPage="1"/>
  </sheetPr>
  <dimension ref="A1:G40"/>
  <sheetViews>
    <sheetView zoomScaleNormal="100" workbookViewId="0"/>
  </sheetViews>
  <sheetFormatPr baseColWidth="10" defaultColWidth="11" defaultRowHeight="12" x14ac:dyDescent="0.2"/>
  <cols>
    <col min="1" max="1" width="44.125" style="17" customWidth="1"/>
    <col min="2" max="2" width="15.125" style="17" customWidth="1"/>
    <col min="3" max="3" width="14.125" style="17" customWidth="1"/>
    <col min="4" max="4" width="15.5" style="17" customWidth="1"/>
    <col min="5" max="5" width="17.625" style="17" customWidth="1"/>
    <col min="6" max="6" width="5.625" style="17" customWidth="1"/>
    <col min="7" max="16384" width="11" style="17"/>
  </cols>
  <sheetData>
    <row r="1" spans="1:7" s="347" customFormat="1" x14ac:dyDescent="0.2">
      <c r="A1" s="427" t="s">
        <v>126</v>
      </c>
    </row>
    <row r="2" spans="1:7" s="347" customFormat="1" x14ac:dyDescent="0.2"/>
    <row r="3" spans="1:7" ht="12" customHeight="1" x14ac:dyDescent="0.2">
      <c r="A3" s="742" t="s">
        <v>1171</v>
      </c>
      <c r="B3" s="347"/>
      <c r="C3" s="347"/>
      <c r="D3" s="327"/>
      <c r="E3" s="327"/>
    </row>
    <row r="4" spans="1:7" s="313" customFormat="1" ht="24" x14ac:dyDescent="0.2">
      <c r="A4" s="183" t="s">
        <v>79</v>
      </c>
      <c r="B4" s="428"/>
      <c r="C4" s="184"/>
      <c r="D4" s="428" t="s">
        <v>1173</v>
      </c>
      <c r="E4" s="185" t="s">
        <v>127</v>
      </c>
    </row>
    <row r="5" spans="1:7" ht="12" customHeight="1" x14ac:dyDescent="0.2">
      <c r="A5" s="347" t="s">
        <v>128</v>
      </c>
      <c r="B5" s="186"/>
      <c r="C5" s="187"/>
      <c r="D5" s="743">
        <v>4</v>
      </c>
      <c r="E5" s="744">
        <v>-1</v>
      </c>
    </row>
    <row r="6" spans="1:7" s="313" customFormat="1" x14ac:dyDescent="0.2">
      <c r="A6" s="347" t="s">
        <v>129</v>
      </c>
      <c r="B6" s="186"/>
      <c r="C6" s="187"/>
      <c r="D6" s="743"/>
      <c r="E6" s="182"/>
    </row>
    <row r="7" spans="1:7" s="313" customFormat="1" x14ac:dyDescent="0.2">
      <c r="A7" s="347" t="s">
        <v>130</v>
      </c>
      <c r="B7" s="186"/>
      <c r="C7" s="187"/>
      <c r="D7" s="743">
        <v>98</v>
      </c>
      <c r="E7" s="182">
        <v>98</v>
      </c>
      <c r="G7" s="328"/>
    </row>
    <row r="8" spans="1:7" s="313" customFormat="1" x14ac:dyDescent="0.2">
      <c r="A8" s="347" t="s">
        <v>131</v>
      </c>
      <c r="B8" s="186"/>
      <c r="C8" s="188"/>
      <c r="D8" s="744">
        <v>25</v>
      </c>
      <c r="E8" s="744">
        <v>5</v>
      </c>
    </row>
    <row r="9" spans="1:7" s="313" customFormat="1" x14ac:dyDescent="0.2">
      <c r="A9" s="347" t="s">
        <v>132</v>
      </c>
      <c r="B9" s="186"/>
      <c r="C9" s="187"/>
      <c r="D9" s="743">
        <v>9</v>
      </c>
      <c r="E9" s="744">
        <v>1</v>
      </c>
    </row>
    <row r="10" spans="1:7" s="313" customFormat="1" x14ac:dyDescent="0.2">
      <c r="A10" s="347" t="s">
        <v>133</v>
      </c>
      <c r="B10" s="186"/>
      <c r="C10" s="187"/>
      <c r="D10" s="743">
        <v>17</v>
      </c>
      <c r="E10" s="744">
        <v>-6</v>
      </c>
    </row>
    <row r="11" spans="1:7" s="313" customFormat="1" x14ac:dyDescent="0.2">
      <c r="A11" s="347" t="s">
        <v>134</v>
      </c>
      <c r="B11" s="186"/>
      <c r="C11" s="187"/>
      <c r="D11" s="743">
        <v>235</v>
      </c>
      <c r="E11" s="744">
        <v>19</v>
      </c>
    </row>
    <row r="12" spans="1:7" s="313" customFormat="1" x14ac:dyDescent="0.2">
      <c r="A12" s="347" t="s">
        <v>135</v>
      </c>
      <c r="B12" s="186"/>
      <c r="C12" s="187"/>
      <c r="D12" s="743">
        <v>142</v>
      </c>
      <c r="E12" s="744">
        <v>54</v>
      </c>
    </row>
    <row r="13" spans="1:7" s="313" customFormat="1" x14ac:dyDescent="0.2">
      <c r="A13" s="347" t="s">
        <v>136</v>
      </c>
      <c r="B13" s="186"/>
      <c r="C13" s="187"/>
      <c r="D13" s="743">
        <v>120</v>
      </c>
      <c r="E13" s="744">
        <v>58</v>
      </c>
    </row>
    <row r="14" spans="1:7" s="313" customFormat="1" x14ac:dyDescent="0.2">
      <c r="A14" s="15" t="s">
        <v>137</v>
      </c>
      <c r="B14" s="186"/>
      <c r="C14" s="187"/>
      <c r="D14" s="745"/>
      <c r="E14" s="744"/>
    </row>
    <row r="15" spans="1:7" s="313" customFormat="1" x14ac:dyDescent="0.2">
      <c r="A15" s="173" t="s">
        <v>138</v>
      </c>
      <c r="B15" s="189"/>
      <c r="C15" s="189"/>
      <c r="D15" s="746">
        <f>SUM(D5:D14)</f>
        <v>650</v>
      </c>
      <c r="E15" s="746">
        <f>SUM(E5:E14)</f>
        <v>228</v>
      </c>
    </row>
    <row r="16" spans="1:7" s="313" customFormat="1" x14ac:dyDescent="0.2">
      <c r="A16" s="104" t="s">
        <v>139</v>
      </c>
      <c r="B16" s="190"/>
      <c r="C16" s="191"/>
      <c r="D16" s="747">
        <v>0</v>
      </c>
      <c r="E16" s="747">
        <v>-19</v>
      </c>
    </row>
    <row r="17" spans="1:5" s="313" customFormat="1" x14ac:dyDescent="0.2">
      <c r="A17" s="193" t="s">
        <v>140</v>
      </c>
      <c r="B17" s="194"/>
      <c r="C17" s="194"/>
      <c r="D17" s="194">
        <v>98</v>
      </c>
      <c r="E17" s="194">
        <v>23</v>
      </c>
    </row>
    <row r="18" spans="1:5" s="313" customFormat="1" x14ac:dyDescent="0.2">
      <c r="A18" s="325" t="s">
        <v>141</v>
      </c>
      <c r="B18" s="570"/>
      <c r="C18" s="570"/>
      <c r="D18" s="570">
        <f>+D17+D15</f>
        <v>748</v>
      </c>
      <c r="E18" s="570">
        <f>+E15+E16+E17</f>
        <v>232</v>
      </c>
    </row>
    <row r="19" spans="1:5" s="313" customFormat="1" x14ac:dyDescent="0.2">
      <c r="A19" s="116"/>
      <c r="B19" s="116"/>
      <c r="C19" s="116"/>
      <c r="D19" s="116"/>
      <c r="E19" s="327"/>
    </row>
    <row r="20" spans="1:5" s="313" customFormat="1" x14ac:dyDescent="0.2">
      <c r="A20" s="116"/>
      <c r="B20" s="116"/>
      <c r="C20" s="116"/>
      <c r="D20" s="116"/>
      <c r="E20" s="327"/>
    </row>
    <row r="21" spans="1:5" s="313" customFormat="1" ht="12.75" x14ac:dyDescent="0.2">
      <c r="A21" s="116"/>
      <c r="B21" s="341"/>
      <c r="C21" s="80"/>
      <c r="D21" s="116"/>
      <c r="E21" s="327"/>
    </row>
    <row r="22" spans="1:5" s="313" customFormat="1" x14ac:dyDescent="0.2">
      <c r="A22" s="116"/>
      <c r="B22" s="80"/>
      <c r="C22" s="80"/>
      <c r="D22" s="116"/>
      <c r="E22" s="327"/>
    </row>
    <row r="23" spans="1:5" s="313" customFormat="1" ht="12" customHeight="1" x14ac:dyDescent="0.2">
      <c r="A23" s="742" t="s">
        <v>1172</v>
      </c>
      <c r="B23" s="707" t="s">
        <v>142</v>
      </c>
      <c r="C23" s="707"/>
      <c r="D23" s="327"/>
      <c r="E23" s="327"/>
    </row>
    <row r="24" spans="1:5" ht="36.75" customHeight="1" x14ac:dyDescent="0.2">
      <c r="A24" s="183" t="s">
        <v>79</v>
      </c>
      <c r="B24" s="428" t="s">
        <v>143</v>
      </c>
      <c r="C24" s="184" t="s">
        <v>144</v>
      </c>
      <c r="D24" s="184" t="s">
        <v>145</v>
      </c>
      <c r="E24" s="185" t="s">
        <v>146</v>
      </c>
    </row>
    <row r="25" spans="1:5" x14ac:dyDescent="0.2">
      <c r="A25" s="347" t="s">
        <v>147</v>
      </c>
      <c r="B25" s="190">
        <v>10</v>
      </c>
      <c r="C25" s="187">
        <v>7</v>
      </c>
      <c r="D25" s="188">
        <v>4</v>
      </c>
      <c r="E25" s="188">
        <v>4.3289977000000004</v>
      </c>
    </row>
    <row r="26" spans="1:5" x14ac:dyDescent="0.2">
      <c r="A26" s="347" t="s">
        <v>148</v>
      </c>
      <c r="B26" s="190">
        <v>1E-8</v>
      </c>
      <c r="C26" s="187">
        <v>0</v>
      </c>
      <c r="D26" s="188">
        <v>0</v>
      </c>
      <c r="E26" s="182">
        <v>1E-8</v>
      </c>
    </row>
    <row r="27" spans="1:5" x14ac:dyDescent="0.2">
      <c r="A27" s="347" t="s">
        <v>149</v>
      </c>
      <c r="B27" s="190">
        <v>0</v>
      </c>
      <c r="C27" s="187">
        <v>0</v>
      </c>
      <c r="D27" s="182">
        <v>0</v>
      </c>
      <c r="E27" s="182">
        <v>0</v>
      </c>
    </row>
    <row r="28" spans="1:5" x14ac:dyDescent="0.2">
      <c r="A28" s="347" t="s">
        <v>150</v>
      </c>
      <c r="B28" s="190">
        <v>89</v>
      </c>
      <c r="C28" s="188">
        <v>9</v>
      </c>
      <c r="D28" s="188">
        <v>28</v>
      </c>
      <c r="E28" s="188">
        <v>1</v>
      </c>
    </row>
    <row r="29" spans="1:5" x14ac:dyDescent="0.2">
      <c r="A29" s="347" t="s">
        <v>151</v>
      </c>
      <c r="B29" s="190">
        <v>5</v>
      </c>
      <c r="C29" s="187">
        <v>14</v>
      </c>
      <c r="D29" s="188">
        <v>7</v>
      </c>
      <c r="E29" s="188">
        <v>-3</v>
      </c>
    </row>
    <row r="30" spans="1:5" x14ac:dyDescent="0.2">
      <c r="A30" s="347" t="s">
        <v>152</v>
      </c>
      <c r="B30" s="190">
        <v>50</v>
      </c>
      <c r="C30" s="187">
        <v>24</v>
      </c>
      <c r="D30" s="188">
        <v>29</v>
      </c>
      <c r="E30" s="188">
        <v>15</v>
      </c>
    </row>
    <row r="31" spans="1:5" x14ac:dyDescent="0.2">
      <c r="A31" s="347" t="s">
        <v>153</v>
      </c>
      <c r="B31" s="190">
        <v>745</v>
      </c>
      <c r="C31" s="187">
        <v>8</v>
      </c>
      <c r="D31" s="188">
        <v>308</v>
      </c>
      <c r="E31" s="188">
        <v>188</v>
      </c>
    </row>
    <row r="32" spans="1:5" x14ac:dyDescent="0.2">
      <c r="A32" s="347" t="s">
        <v>154</v>
      </c>
      <c r="B32" s="190">
        <v>233</v>
      </c>
      <c r="C32" s="187">
        <v>37</v>
      </c>
      <c r="D32" s="188">
        <v>89</v>
      </c>
      <c r="E32" s="188">
        <v>33</v>
      </c>
    </row>
    <row r="33" spans="1:5" x14ac:dyDescent="0.2">
      <c r="A33" s="347" t="s">
        <v>155</v>
      </c>
      <c r="B33" s="190">
        <v>351</v>
      </c>
      <c r="C33" s="187">
        <v>201</v>
      </c>
      <c r="D33" s="188">
        <v>87</v>
      </c>
      <c r="E33" s="188">
        <v>251</v>
      </c>
    </row>
    <row r="34" spans="1:5" x14ac:dyDescent="0.2">
      <c r="A34" s="15" t="s">
        <v>156</v>
      </c>
      <c r="B34" s="190">
        <v>0</v>
      </c>
      <c r="C34" s="187">
        <v>0</v>
      </c>
      <c r="D34" s="188">
        <v>0</v>
      </c>
      <c r="E34" s="188">
        <v>0</v>
      </c>
    </row>
    <row r="35" spans="1:5" x14ac:dyDescent="0.2">
      <c r="A35" s="173" t="s">
        <v>157</v>
      </c>
      <c r="B35" s="380">
        <f>SUM(B25:B34)</f>
        <v>1483.0000000099999</v>
      </c>
      <c r="C35" s="380">
        <f t="shared" ref="C35:E35" si="0">SUM(C25:C34)</f>
        <v>300</v>
      </c>
      <c r="D35" s="380">
        <f t="shared" si="0"/>
        <v>552</v>
      </c>
      <c r="E35" s="380">
        <f t="shared" si="0"/>
        <v>489.32899771000001</v>
      </c>
    </row>
    <row r="36" spans="1:5" x14ac:dyDescent="0.2">
      <c r="A36" s="104" t="s">
        <v>158</v>
      </c>
      <c r="B36" s="190">
        <v>0</v>
      </c>
      <c r="C36" s="191">
        <v>0</v>
      </c>
      <c r="D36" s="192">
        <v>0</v>
      </c>
      <c r="E36" s="192">
        <v>0</v>
      </c>
    </row>
    <row r="37" spans="1:5" x14ac:dyDescent="0.2">
      <c r="A37" s="193" t="s">
        <v>159</v>
      </c>
      <c r="B37" s="194">
        <v>79</v>
      </c>
      <c r="C37" s="194">
        <v>255</v>
      </c>
      <c r="D37" s="194">
        <v>87</v>
      </c>
      <c r="E37" s="194">
        <v>54</v>
      </c>
    </row>
    <row r="38" spans="1:5" ht="14.25" customHeight="1" x14ac:dyDescent="0.2">
      <c r="A38" s="325" t="s">
        <v>160</v>
      </c>
      <c r="B38" s="571">
        <f>+B35+B37</f>
        <v>1562.0000000099999</v>
      </c>
      <c r="C38" s="570">
        <f t="shared" ref="C38:D38" si="1">+C35+C37</f>
        <v>555</v>
      </c>
      <c r="D38" s="570">
        <f t="shared" si="1"/>
        <v>639</v>
      </c>
      <c r="E38" s="570">
        <f>+E35+E37+E36</f>
        <v>543.32899771000007</v>
      </c>
    </row>
    <row r="40" spans="1:5" x14ac:dyDescent="0.2">
      <c r="B40" s="120"/>
      <c r="C40" s="120"/>
      <c r="D40" s="120"/>
      <c r="E40" s="120"/>
    </row>
  </sheetData>
  <mergeCells count="1">
    <mergeCell ref="B23:C23"/>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F16"/>
  <sheetViews>
    <sheetView zoomScaleNormal="100" workbookViewId="0"/>
  </sheetViews>
  <sheetFormatPr baseColWidth="10" defaultColWidth="11" defaultRowHeight="12" x14ac:dyDescent="0.2"/>
  <cols>
    <col min="1" max="1" width="17.375" style="313" customWidth="1"/>
    <col min="2" max="4" width="11.5" style="313" customWidth="1"/>
    <col min="5" max="16384" width="11" style="17"/>
  </cols>
  <sheetData>
    <row r="1" spans="1:6" ht="12.75" x14ac:dyDescent="0.2">
      <c r="A1" s="513" t="s">
        <v>860</v>
      </c>
    </row>
    <row r="2" spans="1:6" ht="12.75" x14ac:dyDescent="0.2">
      <c r="A2" s="286" t="s">
        <v>438</v>
      </c>
      <c r="B2" s="89"/>
      <c r="C2" s="89"/>
      <c r="D2" s="89"/>
    </row>
    <row r="3" spans="1:6" x14ac:dyDescent="0.2">
      <c r="A3" s="94"/>
      <c r="B3" s="114"/>
      <c r="C3" s="114"/>
      <c r="D3" s="114"/>
    </row>
    <row r="4" spans="1:6" ht="12.75" thickBot="1" x14ac:dyDescent="0.25">
      <c r="A4" s="195"/>
      <c r="B4" s="118"/>
      <c r="C4" s="160">
        <v>2017</v>
      </c>
      <c r="D4" s="1">
        <v>2016</v>
      </c>
      <c r="F4" s="23"/>
    </row>
    <row r="5" spans="1:6" x14ac:dyDescent="0.2">
      <c r="A5" s="15" t="s">
        <v>439</v>
      </c>
      <c r="B5" s="15"/>
      <c r="C5" s="196">
        <v>0</v>
      </c>
      <c r="D5" s="197">
        <v>0</v>
      </c>
      <c r="F5" s="23"/>
    </row>
    <row r="6" spans="1:6" x14ac:dyDescent="0.2">
      <c r="A6" s="15" t="s">
        <v>440</v>
      </c>
      <c r="B6" s="15"/>
      <c r="C6" s="196">
        <v>0</v>
      </c>
      <c r="D6" s="197">
        <v>0</v>
      </c>
      <c r="F6" s="23"/>
    </row>
    <row r="7" spans="1:6" x14ac:dyDescent="0.2">
      <c r="A7" s="15" t="s">
        <v>441</v>
      </c>
      <c r="B7" s="15"/>
      <c r="C7" s="196">
        <v>0</v>
      </c>
      <c r="D7" s="197">
        <v>0</v>
      </c>
      <c r="F7" s="23"/>
    </row>
    <row r="8" spans="1:6" x14ac:dyDescent="0.2">
      <c r="A8" s="15" t="s">
        <v>442</v>
      </c>
      <c r="B8" s="15"/>
      <c r="C8" s="196">
        <v>0</v>
      </c>
      <c r="D8" s="197">
        <v>0</v>
      </c>
    </row>
    <row r="9" spans="1:6" x14ac:dyDescent="0.2">
      <c r="A9" s="15" t="s">
        <v>443</v>
      </c>
      <c r="B9" s="15"/>
      <c r="C9" s="196">
        <v>0</v>
      </c>
      <c r="D9" s="197">
        <v>0</v>
      </c>
    </row>
    <row r="10" spans="1:6" x14ac:dyDescent="0.2">
      <c r="A10" s="15" t="s">
        <v>444</v>
      </c>
      <c r="B10" s="15"/>
      <c r="C10" s="196">
        <v>0</v>
      </c>
      <c r="D10" s="197">
        <v>0</v>
      </c>
    </row>
    <row r="11" spans="1:6" x14ac:dyDescent="0.2">
      <c r="A11" s="15" t="s">
        <v>445</v>
      </c>
      <c r="B11" s="15"/>
      <c r="C11" s="196">
        <v>0</v>
      </c>
      <c r="D11" s="197">
        <v>0</v>
      </c>
    </row>
    <row r="12" spans="1:6" x14ac:dyDescent="0.2">
      <c r="A12" s="15" t="s">
        <v>446</v>
      </c>
      <c r="B12" s="15"/>
      <c r="C12" s="196">
        <v>0</v>
      </c>
      <c r="D12" s="197">
        <v>0</v>
      </c>
    </row>
    <row r="13" spans="1:6" x14ac:dyDescent="0.2">
      <c r="A13" s="15" t="s">
        <v>447</v>
      </c>
      <c r="B13" s="15"/>
      <c r="C13" s="196">
        <v>0</v>
      </c>
      <c r="D13" s="197">
        <v>0</v>
      </c>
    </row>
    <row r="14" spans="1:6" x14ac:dyDescent="0.2">
      <c r="A14" s="15" t="s">
        <v>448</v>
      </c>
      <c r="B14" s="15"/>
      <c r="C14" s="196">
        <v>0</v>
      </c>
      <c r="D14" s="197">
        <v>0</v>
      </c>
    </row>
    <row r="15" spans="1:6" x14ac:dyDescent="0.2">
      <c r="A15" s="15" t="s">
        <v>449</v>
      </c>
      <c r="B15" s="15"/>
      <c r="C15" s="14">
        <v>543</v>
      </c>
      <c r="D15" s="14">
        <v>778</v>
      </c>
    </row>
    <row r="16" spans="1:6" x14ac:dyDescent="0.2">
      <c r="A16" s="99" t="s">
        <v>450</v>
      </c>
      <c r="B16" s="99"/>
      <c r="C16" s="198">
        <f>SUM(C5:C15)</f>
        <v>543</v>
      </c>
      <c r="D16" s="199">
        <f>SUM(D5:D15)</f>
        <v>778</v>
      </c>
    </row>
  </sheetData>
  <phoneticPr fontId="3" type="noConversion"/>
  <pageMargins left="0.75" right="0.75" top="1" bottom="1" header="0.5" footer="0.5"/>
  <pageSetup paperSize="9" fitToHeight="0" orientation="portrait" r:id="rId1"/>
  <headerFooter>
    <oddFooter>&amp;R&amp;A</oddFooter>
  </headerFooter>
  <ignoredErrors>
    <ignoredError sqref="C16:D16"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tabColor rgb="FF00B050"/>
    <pageSetUpPr fitToPage="1"/>
  </sheetPr>
  <dimension ref="A1:F28"/>
  <sheetViews>
    <sheetView showGridLines="0" zoomScaleNormal="100" workbookViewId="0">
      <selection activeCell="A16" sqref="A16"/>
    </sheetView>
  </sheetViews>
  <sheetFormatPr baseColWidth="10" defaultColWidth="11" defaultRowHeight="12" x14ac:dyDescent="0.2"/>
  <cols>
    <col min="1" max="1" width="19.5" style="17" customWidth="1"/>
    <col min="2" max="2" width="16.25" style="17" customWidth="1"/>
    <col min="3" max="3" width="16" style="17" customWidth="1"/>
    <col min="4" max="4" width="16.625" style="17" customWidth="1"/>
    <col min="5" max="16384" width="11" style="17"/>
  </cols>
  <sheetData>
    <row r="1" spans="1:6" ht="12" customHeight="1" x14ac:dyDescent="0.2">
      <c r="A1" s="711" t="s">
        <v>861</v>
      </c>
      <c r="B1" s="712"/>
      <c r="C1" s="712"/>
      <c r="D1" s="712"/>
    </row>
    <row r="2" spans="1:6" ht="13.5" customHeight="1" x14ac:dyDescent="0.2">
      <c r="A2" s="712"/>
      <c r="B2" s="712"/>
      <c r="C2" s="712"/>
      <c r="D2" s="712"/>
    </row>
    <row r="3" spans="1:6" x14ac:dyDescent="0.2">
      <c r="A3" s="165" t="s">
        <v>379</v>
      </c>
      <c r="B3" s="386"/>
      <c r="C3" s="386"/>
      <c r="D3" s="386"/>
    </row>
    <row r="4" spans="1:6" ht="12" customHeight="1" x14ac:dyDescent="0.2">
      <c r="A4" s="165"/>
      <c r="B4" s="314"/>
      <c r="C4" s="314"/>
      <c r="D4" s="314"/>
      <c r="F4" s="23"/>
    </row>
    <row r="5" spans="1:6" s="347" customFormat="1" ht="12" customHeight="1" x14ac:dyDescent="0.2">
      <c r="A5" s="165" t="s">
        <v>1175</v>
      </c>
      <c r="B5" s="690"/>
      <c r="C5" s="690"/>
      <c r="D5" s="690"/>
      <c r="F5" s="23"/>
    </row>
    <row r="6" spans="1:6" ht="12" customHeight="1" x14ac:dyDescent="0.2">
      <c r="A6" s="94"/>
      <c r="B6" s="748"/>
      <c r="C6" s="748"/>
      <c r="D6" s="749" t="s">
        <v>1173</v>
      </c>
      <c r="F6" s="328"/>
    </row>
    <row r="7" spans="1:6" ht="12.75" thickBot="1" x14ac:dyDescent="0.25">
      <c r="A7" s="118" t="s">
        <v>1174</v>
      </c>
      <c r="B7" s="385"/>
      <c r="C7" s="385"/>
      <c r="D7" s="710"/>
    </row>
    <row r="8" spans="1:6" x14ac:dyDescent="0.2">
      <c r="A8" s="15" t="s">
        <v>380</v>
      </c>
      <c r="B8" s="200"/>
      <c r="C8" s="200"/>
      <c r="D8" s="200">
        <v>404</v>
      </c>
      <c r="F8" s="23"/>
    </row>
    <row r="9" spans="1:6" x14ac:dyDescent="0.2">
      <c r="A9" s="15" t="s">
        <v>381</v>
      </c>
      <c r="B9" s="200"/>
      <c r="C9" s="200"/>
      <c r="D9" s="200">
        <v>89</v>
      </c>
    </row>
    <row r="10" spans="1:6" x14ac:dyDescent="0.2">
      <c r="A10" s="15" t="s">
        <v>382</v>
      </c>
      <c r="B10" s="200"/>
      <c r="C10" s="200"/>
      <c r="D10" s="200">
        <v>235</v>
      </c>
    </row>
    <row r="11" spans="1:6" x14ac:dyDescent="0.2">
      <c r="A11" s="80" t="s">
        <v>383</v>
      </c>
      <c r="B11" s="200"/>
      <c r="C11" s="200"/>
      <c r="D11" s="200">
        <v>20</v>
      </c>
    </row>
    <row r="12" spans="1:6" x14ac:dyDescent="0.2">
      <c r="A12" s="99" t="s">
        <v>384</v>
      </c>
      <c r="B12" s="201"/>
      <c r="C12" s="201"/>
      <c r="D12" s="201">
        <f>SUM(D8:D11)</f>
        <v>748</v>
      </c>
    </row>
    <row r="13" spans="1:6" x14ac:dyDescent="0.2">
      <c r="A13" s="165"/>
      <c r="B13" s="345"/>
      <c r="C13" s="342"/>
      <c r="D13" s="326"/>
    </row>
    <row r="14" spans="1:6" s="347" customFormat="1" ht="12.75" x14ac:dyDescent="0.2">
      <c r="A14" s="165"/>
      <c r="B14" s="345"/>
      <c r="C14"/>
      <c r="D14" s="326"/>
    </row>
    <row r="15" spans="1:6" s="347" customFormat="1" x14ac:dyDescent="0.2">
      <c r="A15" s="165" t="s">
        <v>1176</v>
      </c>
      <c r="B15" s="345"/>
      <c r="C15" s="342"/>
      <c r="D15" s="326"/>
    </row>
    <row r="16" spans="1:6" ht="12" customHeight="1" x14ac:dyDescent="0.2">
      <c r="A16" s="94"/>
      <c r="B16" s="708" t="s">
        <v>385</v>
      </c>
      <c r="C16" s="708"/>
      <c r="D16" s="709" t="s">
        <v>386</v>
      </c>
    </row>
    <row r="17" spans="1:4" ht="12.75" thickBot="1" x14ac:dyDescent="0.25">
      <c r="A17" s="118">
        <v>2017</v>
      </c>
      <c r="B17" s="385" t="s">
        <v>387</v>
      </c>
      <c r="C17" s="385" t="s">
        <v>388</v>
      </c>
      <c r="D17" s="710"/>
    </row>
    <row r="18" spans="1:4" x14ac:dyDescent="0.2">
      <c r="A18" s="15" t="s">
        <v>389</v>
      </c>
      <c r="B18" s="200">
        <v>818</v>
      </c>
      <c r="C18" s="200">
        <v>398</v>
      </c>
      <c r="D18" s="200">
        <v>264</v>
      </c>
    </row>
    <row r="19" spans="1:4" x14ac:dyDescent="0.2">
      <c r="A19" s="15" t="s">
        <v>390</v>
      </c>
      <c r="B19" s="200">
        <v>121</v>
      </c>
      <c r="C19" s="200">
        <v>44</v>
      </c>
      <c r="D19" s="200">
        <v>48</v>
      </c>
    </row>
    <row r="20" spans="1:4" x14ac:dyDescent="0.2">
      <c r="A20" s="15" t="s">
        <v>391</v>
      </c>
      <c r="B20" s="200">
        <v>501</v>
      </c>
      <c r="C20" s="200">
        <v>69</v>
      </c>
      <c r="D20" s="200">
        <v>214</v>
      </c>
    </row>
    <row r="21" spans="1:4" x14ac:dyDescent="0.2">
      <c r="A21" s="80" t="s">
        <v>392</v>
      </c>
      <c r="B21" s="200">
        <v>122</v>
      </c>
      <c r="C21" s="200">
        <v>44</v>
      </c>
      <c r="D21" s="200">
        <v>113</v>
      </c>
    </row>
    <row r="22" spans="1:4" x14ac:dyDescent="0.2">
      <c r="A22" s="99" t="s">
        <v>393</v>
      </c>
      <c r="B22" s="379">
        <f>SUM(B18:B21)</f>
        <v>1562</v>
      </c>
      <c r="C22" s="201">
        <f>SUM(C18:C21)</f>
        <v>555</v>
      </c>
      <c r="D22" s="201">
        <f>SUM(D18:D21)</f>
        <v>639</v>
      </c>
    </row>
    <row r="28" spans="1:4" x14ac:dyDescent="0.2">
      <c r="B28" s="386"/>
      <c r="C28" s="386"/>
      <c r="D28" s="386"/>
    </row>
  </sheetData>
  <mergeCells count="5">
    <mergeCell ref="B16:C16"/>
    <mergeCell ref="D16:D17"/>
    <mergeCell ref="A1:D2"/>
    <mergeCell ref="B6:C6"/>
    <mergeCell ref="D6:D7"/>
  </mergeCells>
  <phoneticPr fontId="3" type="noConversion"/>
  <pageMargins left="0.74803149606299213" right="0.74803149606299213" top="0.98425196850393704" bottom="0.98425196850393704" header="0.51181102362204722" footer="0.51181102362204722"/>
  <pageSetup paperSize="9" fitToHeight="0" orientation="portrait" r:id="rId1"/>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7"/>
  <sheetViews>
    <sheetView zoomScaleNormal="100" workbookViewId="0">
      <selection sqref="A1:E1"/>
    </sheetView>
  </sheetViews>
  <sheetFormatPr baseColWidth="10" defaultColWidth="11" defaultRowHeight="12" x14ac:dyDescent="0.2"/>
  <cols>
    <col min="1" max="1" width="30.375" style="17" customWidth="1"/>
    <col min="2" max="2" width="14" style="17" customWidth="1"/>
    <col min="3" max="3" width="11" style="17" customWidth="1"/>
    <col min="4" max="4" width="15.625" style="17" customWidth="1"/>
    <col min="5" max="5" width="12.625" style="17" customWidth="1"/>
    <col min="6" max="16384" width="11" style="17"/>
  </cols>
  <sheetData>
    <row r="1" spans="1:5" ht="12" customHeight="1" x14ac:dyDescent="0.2">
      <c r="A1" s="713" t="s">
        <v>862</v>
      </c>
      <c r="B1" s="714"/>
      <c r="C1" s="714"/>
      <c r="D1" s="714"/>
      <c r="E1" s="714"/>
    </row>
    <row r="2" spans="1:5" x14ac:dyDescent="0.2">
      <c r="A2" s="387" t="s">
        <v>109</v>
      </c>
      <c r="B2" s="387"/>
      <c r="C2" s="387"/>
      <c r="D2" s="387"/>
      <c r="E2" s="387"/>
    </row>
    <row r="3" spans="1:5" ht="36.75" thickBot="1" x14ac:dyDescent="0.25">
      <c r="A3" s="370">
        <v>2017</v>
      </c>
      <c r="B3" s="340" t="s">
        <v>110</v>
      </c>
      <c r="C3" s="340" t="s">
        <v>111</v>
      </c>
      <c r="D3" s="340" t="s">
        <v>112</v>
      </c>
      <c r="E3" s="340" t="s">
        <v>113</v>
      </c>
    </row>
    <row r="4" spans="1:5" x14ac:dyDescent="0.2">
      <c r="A4" s="388" t="s">
        <v>114</v>
      </c>
      <c r="B4" s="203">
        <v>590</v>
      </c>
      <c r="C4" s="203">
        <v>152</v>
      </c>
      <c r="D4" s="98">
        <v>201</v>
      </c>
      <c r="E4" s="98">
        <f>B4-C4+D4</f>
        <v>639</v>
      </c>
    </row>
    <row r="5" spans="1:5" x14ac:dyDescent="0.2">
      <c r="A5" s="388" t="s">
        <v>115</v>
      </c>
      <c r="B5" s="98">
        <v>676</v>
      </c>
      <c r="C5" s="98"/>
      <c r="D5" s="98">
        <v>2</v>
      </c>
      <c r="E5" s="98">
        <f>B5-C5+D5</f>
        <v>678</v>
      </c>
    </row>
    <row r="6" spans="1:5" x14ac:dyDescent="0.2">
      <c r="A6" s="388" t="s">
        <v>116</v>
      </c>
      <c r="B6" s="86">
        <v>4.5</v>
      </c>
      <c r="C6" s="86"/>
      <c r="D6" s="86">
        <v>8</v>
      </c>
      <c r="E6" s="98">
        <v>13</v>
      </c>
    </row>
    <row r="7" spans="1:5" x14ac:dyDescent="0.2">
      <c r="A7" s="87" t="s">
        <v>117</v>
      </c>
      <c r="B7" s="100">
        <f>SUM(B4:B6)</f>
        <v>1270.5</v>
      </c>
      <c r="C7" s="100">
        <f>SUM(C4:C6)</f>
        <v>152</v>
      </c>
      <c r="D7" s="100">
        <f>SUM(D4:D6)</f>
        <v>211</v>
      </c>
      <c r="E7" s="100">
        <f>+B7-C7+D7</f>
        <v>1329.5</v>
      </c>
    </row>
    <row r="8" spans="1:5" x14ac:dyDescent="0.2">
      <c r="A8" s="316"/>
      <c r="B8" s="316"/>
      <c r="C8" s="316"/>
      <c r="D8" s="316"/>
      <c r="E8" s="316"/>
    </row>
    <row r="9" spans="1:5" ht="36.75" thickBot="1" x14ac:dyDescent="0.25">
      <c r="A9" s="370">
        <v>2016</v>
      </c>
      <c r="B9" s="340" t="s">
        <v>118</v>
      </c>
      <c r="C9" s="340" t="s">
        <v>119</v>
      </c>
      <c r="D9" s="340" t="s">
        <v>120</v>
      </c>
      <c r="E9" s="340" t="s">
        <v>121</v>
      </c>
    </row>
    <row r="10" spans="1:5" x14ac:dyDescent="0.2">
      <c r="A10" s="388" t="s">
        <v>122</v>
      </c>
      <c r="B10" s="203">
        <v>315</v>
      </c>
      <c r="C10" s="203">
        <v>192</v>
      </c>
      <c r="D10" s="98">
        <v>467</v>
      </c>
      <c r="E10" s="98">
        <f>+B10-C10+D10</f>
        <v>590</v>
      </c>
    </row>
    <row r="11" spans="1:5" x14ac:dyDescent="0.2">
      <c r="A11" s="388" t="s">
        <v>123</v>
      </c>
      <c r="B11" s="98">
        <v>517.90899999999999</v>
      </c>
      <c r="C11" s="98"/>
      <c r="D11" s="98">
        <v>158</v>
      </c>
      <c r="E11" s="98">
        <f>+B11-C11+D11</f>
        <v>675.90899999999999</v>
      </c>
    </row>
    <row r="12" spans="1:5" x14ac:dyDescent="0.2">
      <c r="A12" s="388" t="s">
        <v>124</v>
      </c>
      <c r="B12" s="86">
        <v>3</v>
      </c>
      <c r="C12" s="86"/>
      <c r="D12" s="86">
        <v>2</v>
      </c>
      <c r="E12" s="98">
        <f>+B12-C12+D12</f>
        <v>5</v>
      </c>
    </row>
    <row r="13" spans="1:5" x14ac:dyDescent="0.2">
      <c r="A13" s="87" t="s">
        <v>125</v>
      </c>
      <c r="B13" s="100">
        <f>SUM(B10:B12)</f>
        <v>835.90899999999999</v>
      </c>
      <c r="C13" s="100">
        <f>SUM(C10:C12)</f>
        <v>192</v>
      </c>
      <c r="D13" s="100">
        <f>SUM(D10:D12)</f>
        <v>627</v>
      </c>
      <c r="E13" s="100">
        <f>+B13-C13+D13</f>
        <v>1270.9090000000001</v>
      </c>
    </row>
    <row r="26" spans="1:5" x14ac:dyDescent="0.2">
      <c r="A26" s="23"/>
    </row>
    <row r="27" spans="1:5" x14ac:dyDescent="0.2">
      <c r="A27" s="714"/>
      <c r="B27" s="714"/>
      <c r="C27" s="714"/>
      <c r="D27" s="714"/>
      <c r="E27" s="714"/>
    </row>
  </sheetData>
  <mergeCells count="2">
    <mergeCell ref="A1:E1"/>
    <mergeCell ref="A27:E27"/>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1" max="16383"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172"/>
  <sheetViews>
    <sheetView zoomScaleNormal="100" workbookViewId="0">
      <selection sqref="A1:E1"/>
    </sheetView>
  </sheetViews>
  <sheetFormatPr baseColWidth="10" defaultColWidth="11" defaultRowHeight="12" x14ac:dyDescent="0.2"/>
  <cols>
    <col min="1" max="1" width="33.25" style="17" customWidth="1"/>
    <col min="2" max="2" width="8.625" style="17" customWidth="1"/>
    <col min="3" max="3" width="8.875" style="17" customWidth="1"/>
    <col min="4" max="4" width="8.5" style="17" customWidth="1"/>
    <col min="5" max="6" width="9" style="17" customWidth="1"/>
    <col min="7" max="7" width="11.375" style="17" customWidth="1"/>
    <col min="8" max="16384" width="11" style="17"/>
  </cols>
  <sheetData>
    <row r="1" spans="1:7" x14ac:dyDescent="0.2">
      <c r="A1" s="204" t="s">
        <v>190</v>
      </c>
      <c r="B1" s="85"/>
      <c r="C1" s="15"/>
      <c r="D1" s="15"/>
      <c r="E1" s="15"/>
      <c r="F1" s="15"/>
      <c r="G1" s="205"/>
    </row>
    <row r="2" spans="1:7" s="347" customFormat="1" x14ac:dyDescent="0.2">
      <c r="A2" s="204"/>
      <c r="B2" s="85"/>
      <c r="C2" s="15"/>
      <c r="D2" s="15"/>
      <c r="E2" s="15"/>
      <c r="F2" s="15"/>
      <c r="G2" s="15"/>
    </row>
    <row r="3" spans="1:7" s="347" customFormat="1" x14ac:dyDescent="0.2">
      <c r="A3" s="204"/>
      <c r="B3" s="85"/>
      <c r="C3" s="15"/>
      <c r="D3" s="15"/>
      <c r="E3" s="15"/>
      <c r="F3" s="15"/>
      <c r="G3" s="15"/>
    </row>
    <row r="4" spans="1:7" s="347" customFormat="1" ht="36.75" thickBot="1" x14ac:dyDescent="0.25">
      <c r="A4" s="530">
        <v>2017</v>
      </c>
      <c r="B4" s="207" t="s">
        <v>191</v>
      </c>
      <c r="C4" s="340" t="s">
        <v>192</v>
      </c>
      <c r="D4" s="340" t="s">
        <v>193</v>
      </c>
      <c r="E4" s="340" t="s">
        <v>194</v>
      </c>
      <c r="F4" s="340" t="s">
        <v>195</v>
      </c>
      <c r="G4" s="340" t="s">
        <v>196</v>
      </c>
    </row>
    <row r="5" spans="1:7" s="347" customFormat="1" x14ac:dyDescent="0.2">
      <c r="A5" s="80" t="s">
        <v>852</v>
      </c>
      <c r="B5" s="90"/>
      <c r="C5" s="72"/>
      <c r="D5" s="72"/>
      <c r="E5" s="72"/>
      <c r="F5" s="72"/>
      <c r="G5" s="72"/>
    </row>
    <row r="6" spans="1:7" s="347" customFormat="1" x14ac:dyDescent="0.2">
      <c r="B6" s="208" t="s">
        <v>197</v>
      </c>
      <c r="C6" s="98">
        <v>0</v>
      </c>
      <c r="D6" s="98">
        <v>0</v>
      </c>
      <c r="E6" s="209">
        <v>0</v>
      </c>
      <c r="F6" s="209">
        <v>0</v>
      </c>
      <c r="G6" s="209">
        <v>0</v>
      </c>
    </row>
    <row r="7" spans="1:7" s="347" customFormat="1" x14ac:dyDescent="0.2">
      <c r="A7" s="80"/>
      <c r="B7" s="208" t="s">
        <v>198</v>
      </c>
      <c r="C7" s="98">
        <v>355.31207499999999</v>
      </c>
      <c r="D7" s="98">
        <v>38.414211999999999</v>
      </c>
      <c r="E7" s="209">
        <v>0.33382847458814902</v>
      </c>
      <c r="F7" s="209">
        <v>0.316</v>
      </c>
      <c r="G7" s="209">
        <v>0.96001538858043423</v>
      </c>
    </row>
    <row r="8" spans="1:7" s="347" customFormat="1" x14ac:dyDescent="0.2">
      <c r="A8" s="80"/>
      <c r="B8" s="208" t="s">
        <v>199</v>
      </c>
      <c r="C8" s="98">
        <v>3944.2845200000002</v>
      </c>
      <c r="D8" s="98">
        <v>545.37136199999998</v>
      </c>
      <c r="E8" s="209">
        <v>0.3872899889077982</v>
      </c>
      <c r="F8" s="209">
        <v>0.29339999999999999</v>
      </c>
      <c r="G8" s="209">
        <v>0.90511678072483603</v>
      </c>
    </row>
    <row r="9" spans="1:7" s="347" customFormat="1" x14ac:dyDescent="0.2">
      <c r="A9" s="80"/>
      <c r="B9" s="208" t="s">
        <v>200</v>
      </c>
      <c r="C9" s="98">
        <v>2770.0063639999998</v>
      </c>
      <c r="D9" s="98">
        <v>706.85705399999995</v>
      </c>
      <c r="E9" s="209">
        <v>0.48821015488468389</v>
      </c>
      <c r="F9" s="209">
        <v>0.31679999999999997</v>
      </c>
      <c r="G9" s="209">
        <v>0.8835359406037343</v>
      </c>
    </row>
    <row r="10" spans="1:7" s="347" customFormat="1" x14ac:dyDescent="0.2">
      <c r="A10" s="80"/>
      <c r="B10" s="208" t="s">
        <v>201</v>
      </c>
      <c r="C10" s="98">
        <v>3548.0115620000001</v>
      </c>
      <c r="D10" s="98">
        <v>844.34321900000009</v>
      </c>
      <c r="E10" s="209">
        <v>0.60426983834050996</v>
      </c>
      <c r="F10" s="209">
        <v>0.3125</v>
      </c>
      <c r="G10" s="209">
        <v>0.92395438188958467</v>
      </c>
    </row>
    <row r="11" spans="1:7" s="347" customFormat="1" x14ac:dyDescent="0.2">
      <c r="A11" s="80"/>
      <c r="B11" s="208" t="s">
        <v>202</v>
      </c>
      <c r="C11" s="98">
        <v>4757.2976119999994</v>
      </c>
      <c r="D11" s="98">
        <v>932.17797299999995</v>
      </c>
      <c r="E11" s="209">
        <v>0.73866042648584251</v>
      </c>
      <c r="F11" s="209">
        <v>0.3468</v>
      </c>
      <c r="G11" s="209">
        <v>0.93216328343568056</v>
      </c>
    </row>
    <row r="12" spans="1:7" s="347" customFormat="1" x14ac:dyDescent="0.2">
      <c r="A12" s="80"/>
      <c r="B12" s="208" t="s">
        <v>203</v>
      </c>
      <c r="C12" s="98">
        <v>5323.5450120000005</v>
      </c>
      <c r="D12" s="98">
        <v>868.03306299999997</v>
      </c>
      <c r="E12" s="209">
        <v>1.0771564669922247</v>
      </c>
      <c r="F12" s="209">
        <v>0.40740000000000004</v>
      </c>
      <c r="G12" s="209">
        <v>0.87219896120492757</v>
      </c>
    </row>
    <row r="13" spans="1:7" s="347" customFormat="1" x14ac:dyDescent="0.2">
      <c r="A13" s="80"/>
      <c r="B13" s="208" t="s">
        <v>204</v>
      </c>
      <c r="C13" s="98">
        <v>1609.6944429999999</v>
      </c>
      <c r="D13" s="98">
        <v>455.33648499999998</v>
      </c>
      <c r="E13" s="209">
        <v>1.2959573135582976</v>
      </c>
      <c r="F13" s="209">
        <v>0.42479999999999996</v>
      </c>
      <c r="G13" s="209">
        <v>0.84263221332438665</v>
      </c>
    </row>
    <row r="14" spans="1:7" s="347" customFormat="1" x14ac:dyDescent="0.2">
      <c r="A14" s="80"/>
      <c r="B14" s="208" t="s">
        <v>205</v>
      </c>
      <c r="C14" s="98">
        <v>968.86583099999996</v>
      </c>
      <c r="D14" s="98">
        <v>118.44991999999999</v>
      </c>
      <c r="E14" s="209">
        <v>1.8845208093627157</v>
      </c>
      <c r="F14" s="209">
        <v>0.43320000000000003</v>
      </c>
      <c r="G14" s="209">
        <v>0.96567540844369859</v>
      </c>
    </row>
    <row r="15" spans="1:7" s="347" customFormat="1" x14ac:dyDescent="0.2">
      <c r="A15" s="80"/>
      <c r="B15" s="208" t="s">
        <v>206</v>
      </c>
      <c r="C15" s="98">
        <v>16.911743999999999</v>
      </c>
      <c r="D15" s="98">
        <v>3.1791709999999997</v>
      </c>
      <c r="E15" s="209">
        <v>0.15249349800943063</v>
      </c>
      <c r="F15" s="209">
        <v>0.7369</v>
      </c>
      <c r="G15" s="209">
        <v>0.85340240318767158</v>
      </c>
    </row>
    <row r="16" spans="1:7" s="347" customFormat="1" x14ac:dyDescent="0.2">
      <c r="A16" s="80"/>
      <c r="B16" s="208" t="s">
        <v>207</v>
      </c>
      <c r="C16" s="98">
        <v>1054.566996</v>
      </c>
      <c r="D16" s="98">
        <v>150.11039600000001</v>
      </c>
      <c r="E16" s="209">
        <v>0.8654648490440715</v>
      </c>
      <c r="F16" s="209">
        <v>0</v>
      </c>
      <c r="G16" s="209">
        <v>0.99599804320776819</v>
      </c>
    </row>
    <row r="17" spans="1:7" s="347" customFormat="1" x14ac:dyDescent="0.2">
      <c r="A17" s="210" t="s">
        <v>877</v>
      </c>
      <c r="B17" s="211"/>
      <c r="C17" s="212">
        <f>SUM(C6:C16)</f>
        <v>24348.496159000002</v>
      </c>
      <c r="D17" s="212">
        <f>SUM(D6:D16)</f>
        <v>4662.2728549999993</v>
      </c>
      <c r="E17" s="213">
        <v>0.78929013941981752</v>
      </c>
      <c r="F17" s="213"/>
      <c r="G17" s="213">
        <v>0.90506866830966515</v>
      </c>
    </row>
    <row r="18" spans="1:7" s="347" customFormat="1" x14ac:dyDescent="0.2">
      <c r="A18" s="80" t="s">
        <v>208</v>
      </c>
      <c r="B18" s="377"/>
      <c r="C18" s="196"/>
      <c r="D18" s="196"/>
      <c r="E18" s="378"/>
      <c r="F18" s="378"/>
      <c r="G18" s="378"/>
    </row>
    <row r="19" spans="1:7" s="347" customFormat="1" x14ac:dyDescent="0.2">
      <c r="B19" s="208" t="s">
        <v>197</v>
      </c>
      <c r="C19" s="98">
        <v>105.39219</v>
      </c>
      <c r="D19" s="98">
        <v>8.9493299999999998</v>
      </c>
      <c r="E19" s="209">
        <v>0.10823691964271735</v>
      </c>
      <c r="F19" s="209">
        <v>0.18510000000000001</v>
      </c>
      <c r="G19" s="209">
        <v>0.93814103636838808</v>
      </c>
    </row>
    <row r="20" spans="1:7" s="347" customFormat="1" x14ac:dyDescent="0.2">
      <c r="A20" s="80"/>
      <c r="B20" s="208" t="s">
        <v>198</v>
      </c>
      <c r="C20" s="98">
        <v>1143.809006</v>
      </c>
      <c r="D20" s="98">
        <v>259.42273</v>
      </c>
      <c r="E20" s="209">
        <v>0.25445218342685438</v>
      </c>
      <c r="F20" s="209">
        <v>0.28699999999999998</v>
      </c>
      <c r="G20" s="209">
        <v>0.86991257250503151</v>
      </c>
    </row>
    <row r="21" spans="1:7" s="347" customFormat="1" x14ac:dyDescent="0.2">
      <c r="A21" s="80"/>
      <c r="B21" s="208" t="s">
        <v>199</v>
      </c>
      <c r="C21" s="98">
        <v>3722.1036749999998</v>
      </c>
      <c r="D21" s="98">
        <v>188.014522</v>
      </c>
      <c r="E21" s="209">
        <v>0.37218790446507377</v>
      </c>
      <c r="F21" s="209">
        <v>0.28649999999999998</v>
      </c>
      <c r="G21" s="209">
        <v>0.98450571381916352</v>
      </c>
    </row>
    <row r="22" spans="1:7" s="347" customFormat="1" x14ac:dyDescent="0.2">
      <c r="A22" s="80"/>
      <c r="B22" s="208" t="s">
        <v>200</v>
      </c>
      <c r="C22" s="98">
        <v>5354.930472</v>
      </c>
      <c r="D22" s="98">
        <v>273.92831900000004</v>
      </c>
      <c r="E22" s="209">
        <v>0.46447179678713107</v>
      </c>
      <c r="F22" s="209">
        <v>0.28350000000000003</v>
      </c>
      <c r="G22" s="209">
        <v>0.96963918757059309</v>
      </c>
    </row>
    <row r="23" spans="1:7" s="347" customFormat="1" x14ac:dyDescent="0.2">
      <c r="A23" s="80"/>
      <c r="B23" s="208" t="s">
        <v>201</v>
      </c>
      <c r="C23" s="98">
        <v>9118.5695450000003</v>
      </c>
      <c r="D23" s="98">
        <v>1014.944834</v>
      </c>
      <c r="E23" s="209">
        <v>0.5028219451935978</v>
      </c>
      <c r="F23" s="209">
        <v>0.26929999999999998</v>
      </c>
      <c r="G23" s="209">
        <v>0.90390733740926821</v>
      </c>
    </row>
    <row r="24" spans="1:7" s="347" customFormat="1" x14ac:dyDescent="0.2">
      <c r="A24" s="80"/>
      <c r="B24" s="208" t="s">
        <v>202</v>
      </c>
      <c r="C24" s="98">
        <v>5941.1672980000003</v>
      </c>
      <c r="D24" s="98">
        <v>566.78449499999999</v>
      </c>
      <c r="E24" s="209">
        <v>0.64052214811069941</v>
      </c>
      <c r="F24" s="209">
        <v>0.30320000000000003</v>
      </c>
      <c r="G24" s="209">
        <v>0.97692336889898856</v>
      </c>
    </row>
    <row r="25" spans="1:7" s="347" customFormat="1" x14ac:dyDescent="0.2">
      <c r="A25" s="80"/>
      <c r="B25" s="208" t="s">
        <v>203</v>
      </c>
      <c r="C25" s="98">
        <v>6843.6997759999995</v>
      </c>
      <c r="D25" s="98">
        <v>834.53794800000003</v>
      </c>
      <c r="E25" s="209">
        <v>0.88812371304114912</v>
      </c>
      <c r="F25" s="209">
        <v>0.33460000000000001</v>
      </c>
      <c r="G25" s="209">
        <v>0.97775473842982286</v>
      </c>
    </row>
    <row r="26" spans="1:7" s="347" customFormat="1" x14ac:dyDescent="0.2">
      <c r="A26" s="80"/>
      <c r="B26" s="208" t="s">
        <v>204</v>
      </c>
      <c r="C26" s="98">
        <v>1495.477983</v>
      </c>
      <c r="D26" s="98">
        <v>147.581208</v>
      </c>
      <c r="E26" s="209">
        <v>1.0347997573963614</v>
      </c>
      <c r="F26" s="209">
        <v>0.34610000000000002</v>
      </c>
      <c r="G26" s="209">
        <v>0.98513041949589986</v>
      </c>
    </row>
    <row r="27" spans="1:7" s="347" customFormat="1" x14ac:dyDescent="0.2">
      <c r="A27" s="80"/>
      <c r="B27" s="208" t="s">
        <v>205</v>
      </c>
      <c r="C27" s="98">
        <v>887.04702099999997</v>
      </c>
      <c r="D27" s="98">
        <v>21.816556000000002</v>
      </c>
      <c r="E27" s="209">
        <v>1.5393300317503689</v>
      </c>
      <c r="F27" s="209">
        <v>0.37609999999999999</v>
      </c>
      <c r="G27" s="209">
        <v>0.98163394294833695</v>
      </c>
    </row>
    <row r="28" spans="1:7" s="347" customFormat="1" x14ac:dyDescent="0.2">
      <c r="A28" s="80"/>
      <c r="B28" s="208" t="s">
        <v>206</v>
      </c>
      <c r="C28" s="98">
        <v>80.695800000000006</v>
      </c>
      <c r="D28" s="98">
        <v>8.3757999999999999E-2</v>
      </c>
      <c r="E28" s="209">
        <v>0.1068319912560505</v>
      </c>
      <c r="F28" s="209">
        <v>0.48630000000000001</v>
      </c>
      <c r="G28" s="209">
        <v>0.99896312876581972</v>
      </c>
    </row>
    <row r="29" spans="1:7" s="347" customFormat="1" x14ac:dyDescent="0.2">
      <c r="A29" s="80"/>
      <c r="B29" s="208" t="s">
        <v>207</v>
      </c>
      <c r="C29" s="98">
        <v>329.44653799999998</v>
      </c>
      <c r="D29" s="98">
        <v>4.5916290000000002</v>
      </c>
      <c r="E29" s="209">
        <v>1.0652789558225679</v>
      </c>
      <c r="F29" s="209">
        <v>7.2700000000000001E-2</v>
      </c>
      <c r="G29" s="209">
        <v>0.99316519112633195</v>
      </c>
    </row>
    <row r="30" spans="1:7" s="347" customFormat="1" x14ac:dyDescent="0.2">
      <c r="A30" s="210" t="s">
        <v>220</v>
      </c>
      <c r="B30" s="211"/>
      <c r="C30" s="212">
        <f>SUM(C19:C29)</f>
        <v>35022.339303999994</v>
      </c>
      <c r="D30" s="212">
        <f>SUM(D19:D29)</f>
        <v>3320.6553290000006</v>
      </c>
      <c r="E30" s="213">
        <v>0.62577367781645887</v>
      </c>
      <c r="F30" s="213"/>
      <c r="G30" s="213">
        <v>0.95341620203734934</v>
      </c>
    </row>
    <row r="31" spans="1:7" s="347" customFormat="1" x14ac:dyDescent="0.2">
      <c r="A31" s="80" t="s">
        <v>77</v>
      </c>
      <c r="B31" s="377"/>
      <c r="C31" s="196"/>
      <c r="D31" s="196"/>
      <c r="E31" s="378"/>
      <c r="F31" s="378"/>
      <c r="G31" s="378"/>
    </row>
    <row r="32" spans="1:7" s="347" customFormat="1" x14ac:dyDescent="0.2">
      <c r="B32" s="208" t="s">
        <v>197</v>
      </c>
      <c r="C32" s="98">
        <v>0</v>
      </c>
      <c r="D32" s="98">
        <v>0</v>
      </c>
      <c r="E32" s="209">
        <v>0</v>
      </c>
      <c r="F32" s="209">
        <v>0</v>
      </c>
      <c r="G32" s="209">
        <v>0</v>
      </c>
    </row>
    <row r="33" spans="1:7" s="347" customFormat="1" x14ac:dyDescent="0.2">
      <c r="A33" s="80"/>
      <c r="B33" s="208" t="s">
        <v>198</v>
      </c>
      <c r="C33" s="98">
        <v>34.192304999999998</v>
      </c>
      <c r="D33" s="98">
        <v>0</v>
      </c>
      <c r="E33" s="209">
        <v>0.29926639926732052</v>
      </c>
      <c r="F33" s="209">
        <v>0</v>
      </c>
      <c r="G33" s="209">
        <v>1</v>
      </c>
    </row>
    <row r="34" spans="1:7" s="347" customFormat="1" x14ac:dyDescent="0.2">
      <c r="A34" s="80"/>
      <c r="B34" s="208" t="s">
        <v>199</v>
      </c>
      <c r="C34" s="98">
        <v>252.49118799999999</v>
      </c>
      <c r="D34" s="98">
        <v>14.104379000000002</v>
      </c>
      <c r="E34" s="209">
        <v>0.2480330957134235</v>
      </c>
      <c r="F34" s="209">
        <v>1.0613566482169668E-2</v>
      </c>
      <c r="G34" s="209">
        <v>0.99399232119841685</v>
      </c>
    </row>
    <row r="35" spans="1:7" s="347" customFormat="1" x14ac:dyDescent="0.2">
      <c r="A35" s="80"/>
      <c r="B35" s="208" t="s">
        <v>200</v>
      </c>
      <c r="C35" s="98">
        <v>203.921357</v>
      </c>
      <c r="D35" s="98">
        <v>105.623228</v>
      </c>
      <c r="E35" s="209">
        <v>0.63434308158316155</v>
      </c>
      <c r="F35" s="209">
        <v>0.23111401879107737</v>
      </c>
      <c r="G35" s="209">
        <v>0.7381115781282287</v>
      </c>
    </row>
    <row r="36" spans="1:7" s="347" customFormat="1" x14ac:dyDescent="0.2">
      <c r="A36" s="80"/>
      <c r="B36" s="208" t="s">
        <v>201</v>
      </c>
      <c r="C36" s="98">
        <v>2460.159533</v>
      </c>
      <c r="D36" s="98">
        <v>452.584406</v>
      </c>
      <c r="E36" s="209">
        <v>0.70666282599974795</v>
      </c>
      <c r="F36" s="209">
        <v>6.0138312307326289E-2</v>
      </c>
      <c r="G36" s="209">
        <v>0.88150113498810645</v>
      </c>
    </row>
    <row r="37" spans="1:7" s="347" customFormat="1" x14ac:dyDescent="0.2">
      <c r="A37" s="80"/>
      <c r="B37" s="208" t="s">
        <v>202</v>
      </c>
      <c r="C37" s="98">
        <v>2702.7462960000003</v>
      </c>
      <c r="D37" s="98">
        <v>980.35507099999995</v>
      </c>
      <c r="E37" s="209">
        <v>0.79691523328980629</v>
      </c>
      <c r="F37" s="209">
        <v>0.11081264809566127</v>
      </c>
      <c r="G37" s="209">
        <v>0.74545080345826487</v>
      </c>
    </row>
    <row r="38" spans="1:7" s="347" customFormat="1" x14ac:dyDescent="0.2">
      <c r="A38" s="80"/>
      <c r="B38" s="208" t="s">
        <v>203</v>
      </c>
      <c r="C38" s="98">
        <v>1784.3184059999999</v>
      </c>
      <c r="D38" s="98">
        <v>244.07085699999999</v>
      </c>
      <c r="E38" s="209">
        <v>1.121933663447285</v>
      </c>
      <c r="F38" s="209">
        <v>5.0050218770371205E-2</v>
      </c>
      <c r="G38" s="209">
        <v>0.88219825791882645</v>
      </c>
    </row>
    <row r="39" spans="1:7" s="347" customFormat="1" x14ac:dyDescent="0.2">
      <c r="A39" s="80"/>
      <c r="B39" s="208" t="s">
        <v>204</v>
      </c>
      <c r="C39" s="98">
        <v>285.23002000000002</v>
      </c>
      <c r="D39" s="98">
        <v>195.26447399999998</v>
      </c>
      <c r="E39" s="209">
        <v>2.0535975455879432</v>
      </c>
      <c r="F39" s="209">
        <v>0.41752899183823633</v>
      </c>
      <c r="G39" s="209">
        <v>0.60115890099342284</v>
      </c>
    </row>
    <row r="40" spans="1:7" s="347" customFormat="1" x14ac:dyDescent="0.2">
      <c r="A40" s="80"/>
      <c r="B40" s="208" t="s">
        <v>205</v>
      </c>
      <c r="C40" s="98">
        <v>129.90336299999998</v>
      </c>
      <c r="D40" s="98">
        <v>99.902095000000003</v>
      </c>
      <c r="E40" s="209">
        <v>1.4290881830364932</v>
      </c>
      <c r="F40" s="209">
        <v>0.22894598719126313</v>
      </c>
      <c r="G40" s="209">
        <v>0.48819789041285111</v>
      </c>
    </row>
    <row r="41" spans="1:7" s="347" customFormat="1" x14ac:dyDescent="0.2">
      <c r="A41" s="80"/>
      <c r="B41" s="208" t="s">
        <v>206</v>
      </c>
      <c r="C41" s="98">
        <v>0</v>
      </c>
      <c r="D41" s="98">
        <v>0</v>
      </c>
      <c r="E41" s="209">
        <v>0</v>
      </c>
      <c r="F41" s="209">
        <v>0</v>
      </c>
      <c r="G41" s="209">
        <v>0</v>
      </c>
    </row>
    <row r="42" spans="1:7" s="347" customFormat="1" x14ac:dyDescent="0.2">
      <c r="A42" s="80"/>
      <c r="B42" s="208" t="s">
        <v>207</v>
      </c>
      <c r="C42" s="98">
        <v>142.83272500000001</v>
      </c>
      <c r="D42" s="98">
        <v>0</v>
      </c>
      <c r="E42" s="209">
        <v>0</v>
      </c>
      <c r="F42" s="209">
        <v>0</v>
      </c>
      <c r="G42" s="209">
        <v>0</v>
      </c>
    </row>
    <row r="43" spans="1:7" s="347" customFormat="1" x14ac:dyDescent="0.2">
      <c r="A43" s="210" t="s">
        <v>233</v>
      </c>
      <c r="B43" s="211"/>
      <c r="C43" s="212">
        <f>SUM(C32:C42)</f>
        <v>7995.7951930000017</v>
      </c>
      <c r="D43" s="212">
        <f>SUM(D32:D42)</f>
        <v>2091.9045099999998</v>
      </c>
      <c r="E43" s="213">
        <v>0.85893342866167144</v>
      </c>
      <c r="F43" s="213"/>
      <c r="G43" s="213">
        <v>0.80871952282883253</v>
      </c>
    </row>
    <row r="44" spans="1:7" s="347" customFormat="1" x14ac:dyDescent="0.2">
      <c r="A44" s="548" t="s">
        <v>878</v>
      </c>
      <c r="B44" s="377"/>
      <c r="C44" s="196"/>
      <c r="D44" s="196"/>
      <c r="E44" s="378"/>
      <c r="F44" s="378"/>
      <c r="G44" s="378"/>
    </row>
    <row r="45" spans="1:7" s="347" customFormat="1" x14ac:dyDescent="0.2">
      <c r="A45" s="80"/>
      <c r="B45" s="208" t="s">
        <v>197</v>
      </c>
      <c r="C45" s="98">
        <v>0</v>
      </c>
      <c r="D45" s="98">
        <v>0</v>
      </c>
      <c r="E45" s="209">
        <v>0</v>
      </c>
      <c r="F45" s="209">
        <v>0</v>
      </c>
      <c r="G45" s="209">
        <v>0</v>
      </c>
    </row>
    <row r="46" spans="1:7" s="347" customFormat="1" x14ac:dyDescent="0.2">
      <c r="A46" s="80"/>
      <c r="B46" s="208" t="s">
        <v>198</v>
      </c>
      <c r="C46" s="98">
        <v>1916.928345</v>
      </c>
      <c r="D46" s="98">
        <v>603.38350200000002</v>
      </c>
      <c r="E46" s="209">
        <v>7.4442804485735745E-2</v>
      </c>
      <c r="F46" s="209">
        <v>0.17050000000000001</v>
      </c>
      <c r="G46" s="209">
        <v>0.99911863705304194</v>
      </c>
    </row>
    <row r="47" spans="1:7" s="347" customFormat="1" x14ac:dyDescent="0.2">
      <c r="A47" s="80"/>
      <c r="B47" s="208" t="s">
        <v>199</v>
      </c>
      <c r="C47" s="98">
        <v>1573.590418</v>
      </c>
      <c r="D47" s="98">
        <v>120.65118799999999</v>
      </c>
      <c r="E47" s="209">
        <v>0.12915495968659363</v>
      </c>
      <c r="F47" s="209">
        <v>0.19670000000000001</v>
      </c>
      <c r="G47" s="209">
        <v>0.99969410546335657</v>
      </c>
    </row>
    <row r="48" spans="1:7" s="347" customFormat="1" x14ac:dyDescent="0.2">
      <c r="A48" s="80"/>
      <c r="B48" s="208" t="s">
        <v>200</v>
      </c>
      <c r="C48" s="98">
        <v>794.15225100000009</v>
      </c>
      <c r="D48" s="98">
        <v>14.742882</v>
      </c>
      <c r="E48" s="209">
        <v>0.21346241578555947</v>
      </c>
      <c r="F48" s="209">
        <v>0.22309999999999999</v>
      </c>
      <c r="G48" s="209">
        <v>0.99964503041045238</v>
      </c>
    </row>
    <row r="49" spans="1:7" s="347" customFormat="1" x14ac:dyDescent="0.2">
      <c r="A49" s="80"/>
      <c r="B49" s="208" t="s">
        <v>201</v>
      </c>
      <c r="C49" s="98">
        <v>702.61147600000004</v>
      </c>
      <c r="D49" s="98">
        <v>7.0842809999999998</v>
      </c>
      <c r="E49" s="209">
        <v>0.28424515941154366</v>
      </c>
      <c r="F49" s="209">
        <v>0.21929999999999999</v>
      </c>
      <c r="G49" s="209">
        <v>0.9994964190816108</v>
      </c>
    </row>
    <row r="50" spans="1:7" s="347" customFormat="1" x14ac:dyDescent="0.2">
      <c r="A50" s="80"/>
      <c r="B50" s="208" t="s">
        <v>202</v>
      </c>
      <c r="C50" s="98">
        <v>497.98517599999997</v>
      </c>
      <c r="D50" s="98">
        <v>4.718807</v>
      </c>
      <c r="E50" s="209">
        <v>0.39637380491020885</v>
      </c>
      <c r="F50" s="209">
        <v>0.21629999999999999</v>
      </c>
      <c r="G50" s="209">
        <v>0.9996988769168953</v>
      </c>
    </row>
    <row r="51" spans="1:7" s="347" customFormat="1" x14ac:dyDescent="0.2">
      <c r="A51" s="80"/>
      <c r="B51" s="208" t="s">
        <v>203</v>
      </c>
      <c r="C51" s="98">
        <v>146.414413</v>
      </c>
      <c r="D51" s="98">
        <v>1.3189819999999999</v>
      </c>
      <c r="E51" s="209">
        <v>0.60245904889158686</v>
      </c>
      <c r="F51" s="209">
        <v>0.21879999999999999</v>
      </c>
      <c r="G51" s="209">
        <v>0.99919812689540199</v>
      </c>
    </row>
    <row r="52" spans="1:7" s="347" customFormat="1" x14ac:dyDescent="0.2">
      <c r="A52" s="80"/>
      <c r="B52" s="208" t="s">
        <v>204</v>
      </c>
      <c r="C52" s="98">
        <v>110.657972</v>
      </c>
      <c r="D52" s="98">
        <v>0.55159400000000003</v>
      </c>
      <c r="E52" s="209">
        <v>0.89420228124187939</v>
      </c>
      <c r="F52" s="209">
        <v>0.21820000000000001</v>
      </c>
      <c r="G52" s="209">
        <v>0.99831521071431795</v>
      </c>
    </row>
    <row r="53" spans="1:7" s="347" customFormat="1" x14ac:dyDescent="0.2">
      <c r="A53" s="80"/>
      <c r="B53" s="208" t="s">
        <v>205</v>
      </c>
      <c r="C53" s="98">
        <v>150.28200099999998</v>
      </c>
      <c r="D53" s="98">
        <v>0.31732900000000003</v>
      </c>
      <c r="E53" s="209">
        <v>1.2058842096466365</v>
      </c>
      <c r="F53" s="209">
        <v>0.20960000000000001</v>
      </c>
      <c r="G53" s="209">
        <v>0.99875058151956819</v>
      </c>
    </row>
    <row r="54" spans="1:7" s="347" customFormat="1" x14ac:dyDescent="0.2">
      <c r="A54" s="80"/>
      <c r="B54" s="208" t="s">
        <v>206</v>
      </c>
      <c r="C54" s="98">
        <v>10.754301</v>
      </c>
      <c r="D54" s="98">
        <v>8.6260000000000003E-2</v>
      </c>
      <c r="E54" s="209">
        <v>3.4891156570752486E-2</v>
      </c>
      <c r="F54" s="209">
        <v>0.14480000000000001</v>
      </c>
      <c r="G54" s="209">
        <v>0.99247863632785427</v>
      </c>
    </row>
    <row r="55" spans="1:7" s="347" customFormat="1" x14ac:dyDescent="0.2">
      <c r="A55" s="80"/>
      <c r="B55" s="208" t="s">
        <v>207</v>
      </c>
      <c r="C55" s="98">
        <v>17.529745999999999</v>
      </c>
      <c r="D55" s="98">
        <v>0</v>
      </c>
      <c r="E55" s="209">
        <v>1.2339249524779197</v>
      </c>
      <c r="F55" s="209">
        <v>0.32369999999999999</v>
      </c>
      <c r="G55" s="209">
        <v>1</v>
      </c>
    </row>
    <row r="56" spans="1:7" s="347" customFormat="1" x14ac:dyDescent="0.2">
      <c r="A56" s="210" t="s">
        <v>879</v>
      </c>
      <c r="B56" s="87"/>
      <c r="C56" s="214">
        <f>SUM(C45:C55)</f>
        <v>5920.9060990000007</v>
      </c>
      <c r="D56" s="214">
        <f>SUM(D45:D55)</f>
        <v>752.85482500000001</v>
      </c>
      <c r="E56" s="215">
        <v>0.22005922188498467</v>
      </c>
      <c r="F56" s="215"/>
      <c r="G56" s="216">
        <v>0.99940378314501388</v>
      </c>
    </row>
    <row r="57" spans="1:7" s="347" customFormat="1" x14ac:dyDescent="0.2">
      <c r="A57" s="80" t="s">
        <v>245</v>
      </c>
      <c r="B57" s="377"/>
      <c r="C57" s="196"/>
      <c r="D57" s="196"/>
      <c r="E57" s="378"/>
      <c r="F57" s="378"/>
      <c r="G57" s="378"/>
    </row>
    <row r="58" spans="1:7" s="347" customFormat="1" x14ac:dyDescent="0.2">
      <c r="B58" s="208" t="s">
        <v>197</v>
      </c>
      <c r="C58" s="98">
        <v>0</v>
      </c>
      <c r="D58" s="98">
        <v>0</v>
      </c>
      <c r="E58" s="209">
        <v>0</v>
      </c>
      <c r="F58" s="209">
        <v>0</v>
      </c>
      <c r="G58" s="209">
        <v>0</v>
      </c>
    </row>
    <row r="59" spans="1:7" s="347" customFormat="1" x14ac:dyDescent="0.2">
      <c r="A59" s="80"/>
      <c r="B59" s="208" t="s">
        <v>198</v>
      </c>
      <c r="C59" s="98">
        <v>41460.804916000001</v>
      </c>
      <c r="D59" s="98">
        <v>11725.566626</v>
      </c>
      <c r="E59" s="209">
        <v>7.3446946222330792E-2</v>
      </c>
      <c r="F59" s="209">
        <v>0.16829999999999998</v>
      </c>
      <c r="G59" s="209">
        <v>0.99988635590931618</v>
      </c>
    </row>
    <row r="60" spans="1:7" s="347" customFormat="1" x14ac:dyDescent="0.2">
      <c r="A60" s="80"/>
      <c r="B60" s="208" t="s">
        <v>199</v>
      </c>
      <c r="C60" s="98">
        <v>35338.873233999999</v>
      </c>
      <c r="D60" s="98">
        <v>1416.862509</v>
      </c>
      <c r="E60" s="209">
        <v>0.14046437692371616</v>
      </c>
      <c r="F60" s="209">
        <v>0.21160000000000001</v>
      </c>
      <c r="G60" s="209">
        <v>0.99992821893652784</v>
      </c>
    </row>
    <row r="61" spans="1:7" s="347" customFormat="1" x14ac:dyDescent="0.2">
      <c r="A61" s="80"/>
      <c r="B61" s="208" t="s">
        <v>200</v>
      </c>
      <c r="C61" s="98">
        <v>23709.124024000001</v>
      </c>
      <c r="D61" s="98">
        <v>177.42982500000002</v>
      </c>
      <c r="E61" s="209">
        <v>0.22292152475350346</v>
      </c>
      <c r="F61" s="209">
        <v>0.23319999999999999</v>
      </c>
      <c r="G61" s="209">
        <v>0.999977456444619</v>
      </c>
    </row>
    <row r="62" spans="1:7" s="347" customFormat="1" x14ac:dyDescent="0.2">
      <c r="A62" s="80"/>
      <c r="B62" s="208" t="s">
        <v>201</v>
      </c>
      <c r="C62" s="98">
        <v>19133.693103999998</v>
      </c>
      <c r="D62" s="98">
        <v>62.330131999999999</v>
      </c>
      <c r="E62" s="209">
        <v>0.30867792354029594</v>
      </c>
      <c r="F62" s="209">
        <v>0.2419</v>
      </c>
      <c r="G62" s="209">
        <v>0.99996471668194331</v>
      </c>
    </row>
    <row r="63" spans="1:7" s="347" customFormat="1" x14ac:dyDescent="0.2">
      <c r="A63" s="80"/>
      <c r="B63" s="208" t="s">
        <v>202</v>
      </c>
      <c r="C63" s="98">
        <v>7228.0155250000007</v>
      </c>
      <c r="D63" s="98">
        <v>19.274297999999998</v>
      </c>
      <c r="E63" s="209">
        <v>0.43404239879520734</v>
      </c>
      <c r="F63" s="209">
        <v>0.2404</v>
      </c>
      <c r="G63" s="209">
        <v>0.99996520604466743</v>
      </c>
    </row>
    <row r="64" spans="1:7" s="347" customFormat="1" x14ac:dyDescent="0.2">
      <c r="A64" s="80"/>
      <c r="B64" s="208" t="s">
        <v>203</v>
      </c>
      <c r="C64" s="98">
        <v>1613.172292</v>
      </c>
      <c r="D64" s="98">
        <v>7.0839709999999991</v>
      </c>
      <c r="E64" s="209">
        <v>0.69470662281868656</v>
      </c>
      <c r="F64" s="209">
        <v>0.24350000000000002</v>
      </c>
      <c r="G64" s="209">
        <v>0.99997675441831191</v>
      </c>
    </row>
    <row r="65" spans="1:7" s="347" customFormat="1" x14ac:dyDescent="0.2">
      <c r="A65" s="80"/>
      <c r="B65" s="208" t="s">
        <v>204</v>
      </c>
      <c r="C65" s="98">
        <v>1132.4555730000002</v>
      </c>
      <c r="D65" s="98">
        <v>8.1177010000000003</v>
      </c>
      <c r="E65" s="209">
        <v>0.96135386584388327</v>
      </c>
      <c r="F65" s="209">
        <v>0.23519999999999999</v>
      </c>
      <c r="G65" s="209">
        <v>0.99989890250260927</v>
      </c>
    </row>
    <row r="66" spans="1:7" s="347" customFormat="1" x14ac:dyDescent="0.2">
      <c r="A66" s="80"/>
      <c r="B66" s="208" t="s">
        <v>205</v>
      </c>
      <c r="C66" s="98">
        <v>1589.2940129999999</v>
      </c>
      <c r="D66" s="98">
        <v>1.3797919999999999</v>
      </c>
      <c r="E66" s="209">
        <v>1.3294191651875302</v>
      </c>
      <c r="F66" s="209">
        <v>0.2329</v>
      </c>
      <c r="G66" s="209">
        <v>0.99991569294179794</v>
      </c>
    </row>
    <row r="67" spans="1:7" s="347" customFormat="1" x14ac:dyDescent="0.2">
      <c r="A67" s="80"/>
      <c r="B67" s="208" t="s">
        <v>206</v>
      </c>
      <c r="C67" s="98">
        <v>181.79767999999999</v>
      </c>
      <c r="D67" s="98">
        <v>0.156804</v>
      </c>
      <c r="E67" s="209">
        <v>0.40577091522840114</v>
      </c>
      <c r="F67" s="209">
        <v>0.23170000000000002</v>
      </c>
      <c r="G67" s="209">
        <v>0.99982353824290793</v>
      </c>
    </row>
    <row r="68" spans="1:7" s="347" customFormat="1" x14ac:dyDescent="0.2">
      <c r="A68" s="80"/>
      <c r="B68" s="208" t="s">
        <v>207</v>
      </c>
      <c r="C68" s="98">
        <v>173.385267</v>
      </c>
      <c r="D68" s="98">
        <v>0.98568</v>
      </c>
      <c r="E68" s="209">
        <v>1.6852693602853814</v>
      </c>
      <c r="F68" s="209">
        <v>0.22120000000000001</v>
      </c>
      <c r="G68" s="209">
        <v>0.9997780004398128</v>
      </c>
    </row>
    <row r="69" spans="1:7" s="347" customFormat="1" x14ac:dyDescent="0.2">
      <c r="A69" s="210" t="s">
        <v>257</v>
      </c>
      <c r="B69" s="87"/>
      <c r="C69" s="214">
        <f>SUM(C58:C68)</f>
        <v>131560.61562799997</v>
      </c>
      <c r="D69" s="214">
        <f>SUM(D58:D68)</f>
        <v>13419.187337999998</v>
      </c>
      <c r="E69" s="215">
        <v>0.20542537862864854</v>
      </c>
      <c r="F69" s="215"/>
      <c r="G69" s="216">
        <v>0.9999587379367556</v>
      </c>
    </row>
    <row r="70" spans="1:7" s="347" customFormat="1" x14ac:dyDescent="0.2">
      <c r="A70" s="80" t="s">
        <v>167</v>
      </c>
      <c r="B70" s="208" t="s">
        <v>197</v>
      </c>
      <c r="C70" s="98">
        <v>0</v>
      </c>
      <c r="D70" s="98">
        <v>0</v>
      </c>
      <c r="E70" s="209">
        <v>0</v>
      </c>
      <c r="F70" s="209">
        <v>0</v>
      </c>
      <c r="G70" s="209">
        <v>0</v>
      </c>
    </row>
    <row r="71" spans="1:7" s="347" customFormat="1" x14ac:dyDescent="0.2">
      <c r="A71" s="80"/>
      <c r="B71" s="208" t="s">
        <v>198</v>
      </c>
      <c r="C71" s="98">
        <v>878.78376300000002</v>
      </c>
      <c r="D71" s="98">
        <v>447.83558600000003</v>
      </c>
      <c r="E71" s="209">
        <v>0.21557740934273495</v>
      </c>
      <c r="F71" s="209">
        <v>0.48917939840167479</v>
      </c>
      <c r="G71" s="209">
        <v>0.99677160969033296</v>
      </c>
    </row>
    <row r="72" spans="1:7" s="347" customFormat="1" x14ac:dyDescent="0.2">
      <c r="A72" s="80"/>
      <c r="B72" s="208" t="s">
        <v>199</v>
      </c>
      <c r="C72" s="98">
        <v>1231.2793079999999</v>
      </c>
      <c r="D72" s="98">
        <v>290.709677</v>
      </c>
      <c r="E72" s="209">
        <v>0.31606573705208407</v>
      </c>
      <c r="F72" s="209">
        <v>0.49521114139441064</v>
      </c>
      <c r="G72" s="209">
        <v>0.99804605113844946</v>
      </c>
    </row>
    <row r="73" spans="1:7" s="347" customFormat="1" x14ac:dyDescent="0.2">
      <c r="A73" s="80"/>
      <c r="B73" s="208" t="s">
        <v>200</v>
      </c>
      <c r="C73" s="98">
        <v>925.97205499999995</v>
      </c>
      <c r="D73" s="98">
        <v>84.256932000000006</v>
      </c>
      <c r="E73" s="209">
        <v>0.4273639661836231</v>
      </c>
      <c r="F73" s="209">
        <v>0.50208766541696548</v>
      </c>
      <c r="G73" s="209">
        <v>0.9980440186259556</v>
      </c>
    </row>
    <row r="74" spans="1:7" s="347" customFormat="1" x14ac:dyDescent="0.2">
      <c r="A74" s="80"/>
      <c r="B74" s="208" t="s">
        <v>201</v>
      </c>
      <c r="C74" s="98">
        <v>764.95988899999998</v>
      </c>
      <c r="D74" s="98">
        <v>33.524175999999997</v>
      </c>
      <c r="E74" s="209">
        <v>0.5268698827161642</v>
      </c>
      <c r="F74" s="209">
        <v>0.50074847279489187</v>
      </c>
      <c r="G74" s="209">
        <v>0.99738232503954416</v>
      </c>
    </row>
    <row r="75" spans="1:7" s="347" customFormat="1" x14ac:dyDescent="0.2">
      <c r="A75" s="80"/>
      <c r="B75" s="208" t="s">
        <v>202</v>
      </c>
      <c r="C75" s="98">
        <v>452.86972499999996</v>
      </c>
      <c r="D75" s="98">
        <v>49.217278000000007</v>
      </c>
      <c r="E75" s="209">
        <v>0.64029538296029842</v>
      </c>
      <c r="F75" s="209">
        <v>0.498776439705922</v>
      </c>
      <c r="G75" s="209">
        <v>0.9992575201356958</v>
      </c>
    </row>
    <row r="76" spans="1:7" s="347" customFormat="1" x14ac:dyDescent="0.2">
      <c r="A76" s="80"/>
      <c r="B76" s="208" t="s">
        <v>203</v>
      </c>
      <c r="C76" s="98">
        <v>139.399261</v>
      </c>
      <c r="D76" s="98">
        <v>3.5516329999999998</v>
      </c>
      <c r="E76" s="209">
        <v>0.7612219264203991</v>
      </c>
      <c r="F76" s="209">
        <v>0.50758131948346552</v>
      </c>
      <c r="G76" s="209">
        <v>0.99753608512492442</v>
      </c>
    </row>
    <row r="77" spans="1:7" s="347" customFormat="1" x14ac:dyDescent="0.2">
      <c r="A77" s="80"/>
      <c r="B77" s="208" t="s">
        <v>204</v>
      </c>
      <c r="C77" s="98">
        <v>55.938493000000001</v>
      </c>
      <c r="D77" s="98">
        <v>1.7789989999999998</v>
      </c>
      <c r="E77" s="209">
        <v>0.8039508679649271</v>
      </c>
      <c r="F77" s="209">
        <v>0.49213934186428659</v>
      </c>
      <c r="G77" s="209">
        <v>0.99663646205408285</v>
      </c>
    </row>
    <row r="78" spans="1:7" s="347" customFormat="1" x14ac:dyDescent="0.2">
      <c r="A78" s="80"/>
      <c r="B78" s="208" t="s">
        <v>205</v>
      </c>
      <c r="C78" s="98">
        <v>104.12210899999999</v>
      </c>
      <c r="D78" s="98">
        <v>1.655165</v>
      </c>
      <c r="E78" s="209">
        <v>1.1535417612411212</v>
      </c>
      <c r="F78" s="209">
        <v>0.49708216641001773</v>
      </c>
      <c r="G78" s="209">
        <v>0.99745882884408821</v>
      </c>
    </row>
    <row r="79" spans="1:7" s="347" customFormat="1" x14ac:dyDescent="0.2">
      <c r="A79" s="80"/>
      <c r="B79" s="208" t="s">
        <v>206</v>
      </c>
      <c r="C79" s="98">
        <v>9.2753189999999996</v>
      </c>
      <c r="D79" s="98">
        <v>0.22477799999999998</v>
      </c>
      <c r="E79" s="209">
        <v>1.249121458787563E-3</v>
      </c>
      <c r="F79" s="209">
        <v>0.49907444243157567</v>
      </c>
      <c r="G79" s="209">
        <v>1</v>
      </c>
    </row>
    <row r="80" spans="1:7" s="347" customFormat="1" x14ac:dyDescent="0.2">
      <c r="A80" s="80"/>
      <c r="B80" s="208" t="s">
        <v>207</v>
      </c>
      <c r="C80" s="98">
        <v>29.995533000000002</v>
      </c>
      <c r="D80" s="98">
        <v>3.9204999999999997E-2</v>
      </c>
      <c r="E80" s="209">
        <v>0.1178405797956649</v>
      </c>
      <c r="F80" s="209">
        <v>0.84574898485384464</v>
      </c>
      <c r="G80" s="209">
        <v>0.99872615800189546</v>
      </c>
    </row>
    <row r="81" spans="1:7" s="347" customFormat="1" x14ac:dyDescent="0.2">
      <c r="A81" s="210" t="s">
        <v>938</v>
      </c>
      <c r="B81" s="87"/>
      <c r="C81" s="214">
        <f>SUM(C70:C80)</f>
        <v>4592.5954549999988</v>
      </c>
      <c r="D81" s="214">
        <f>SUM(D70:D80)</f>
        <v>912.79342900000006</v>
      </c>
      <c r="E81" s="215">
        <v>0.42287286372798966</v>
      </c>
      <c r="F81" s="215"/>
      <c r="G81" s="216">
        <v>0.99777175828601217</v>
      </c>
    </row>
    <row r="82" spans="1:7" s="347" customFormat="1" x14ac:dyDescent="0.2">
      <c r="A82" s="204"/>
      <c r="B82" s="85"/>
      <c r="C82" s="15"/>
      <c r="D82" s="15"/>
      <c r="E82" s="15"/>
      <c r="F82" s="15"/>
      <c r="G82" s="15"/>
    </row>
    <row r="83" spans="1:7" x14ac:dyDescent="0.2">
      <c r="A83" s="204"/>
      <c r="B83" s="85"/>
      <c r="C83" s="15"/>
      <c r="D83" s="15"/>
      <c r="E83" s="15"/>
      <c r="F83" s="15"/>
      <c r="G83" s="15"/>
    </row>
    <row r="84" spans="1:7" x14ac:dyDescent="0.2">
      <c r="A84" s="206"/>
      <c r="B84" s="85"/>
      <c r="C84" s="15"/>
      <c r="D84" s="15"/>
      <c r="E84" s="15"/>
      <c r="F84" s="15"/>
      <c r="G84" s="15"/>
    </row>
    <row r="85" spans="1:7" ht="51" customHeight="1" thickBot="1" x14ac:dyDescent="0.25">
      <c r="A85" s="76">
        <v>2016</v>
      </c>
      <c r="B85" s="207" t="s">
        <v>191</v>
      </c>
      <c r="C85" s="340" t="s">
        <v>192</v>
      </c>
      <c r="D85" s="340" t="s">
        <v>193</v>
      </c>
      <c r="E85" s="340" t="s">
        <v>194</v>
      </c>
      <c r="F85" s="340" t="s">
        <v>195</v>
      </c>
      <c r="G85" s="340" t="s">
        <v>196</v>
      </c>
    </row>
    <row r="86" spans="1:7" s="347" customFormat="1" ht="12" customHeight="1" x14ac:dyDescent="0.2">
      <c r="A86" s="80" t="s">
        <v>852</v>
      </c>
      <c r="B86" s="90"/>
      <c r="C86" s="72"/>
      <c r="D86" s="72"/>
      <c r="E86" s="72"/>
      <c r="F86" s="72"/>
      <c r="G86" s="72"/>
    </row>
    <row r="87" spans="1:7" ht="12" customHeight="1" x14ac:dyDescent="0.2">
      <c r="B87" s="208" t="s">
        <v>197</v>
      </c>
      <c r="C87" s="98">
        <v>0</v>
      </c>
      <c r="D87" s="98">
        <v>0</v>
      </c>
      <c r="E87" s="209">
        <v>0</v>
      </c>
      <c r="F87" s="209">
        <v>0</v>
      </c>
      <c r="G87" s="209">
        <v>0</v>
      </c>
    </row>
    <row r="88" spans="1:7" x14ac:dyDescent="0.2">
      <c r="A88" s="80"/>
      <c r="B88" s="208" t="s">
        <v>198</v>
      </c>
      <c r="C88" s="98">
        <v>508.60250692</v>
      </c>
      <c r="D88" s="98">
        <v>49.742920689999998</v>
      </c>
      <c r="E88" s="209">
        <v>0.23159077059757643</v>
      </c>
      <c r="F88" s="209">
        <v>0.25229984525743743</v>
      </c>
      <c r="G88" s="209">
        <v>0.95577149016330776</v>
      </c>
    </row>
    <row r="89" spans="1:7" x14ac:dyDescent="0.2">
      <c r="A89" s="80"/>
      <c r="B89" s="208" t="s">
        <v>199</v>
      </c>
      <c r="C89" s="98">
        <v>3028.92287988</v>
      </c>
      <c r="D89" s="98">
        <v>805.30004779000001</v>
      </c>
      <c r="E89" s="209">
        <v>0.37853400453350639</v>
      </c>
      <c r="F89" s="209">
        <v>0.30968831548747494</v>
      </c>
      <c r="G89" s="209">
        <v>0.81541871449216852</v>
      </c>
    </row>
    <row r="90" spans="1:7" x14ac:dyDescent="0.2">
      <c r="A90" s="80"/>
      <c r="B90" s="208" t="s">
        <v>200</v>
      </c>
      <c r="C90" s="98">
        <v>2920.2697140599989</v>
      </c>
      <c r="D90" s="98">
        <v>778.15335274999995</v>
      </c>
      <c r="E90" s="209">
        <v>0.43903962632553184</v>
      </c>
      <c r="F90" s="209">
        <v>0.27195613925463197</v>
      </c>
      <c r="G90" s="209">
        <v>0.93275489774785991</v>
      </c>
    </row>
    <row r="91" spans="1:7" x14ac:dyDescent="0.2">
      <c r="A91" s="80"/>
      <c r="B91" s="208" t="s">
        <v>201</v>
      </c>
      <c r="C91" s="98">
        <v>4492.3656666999996</v>
      </c>
      <c r="D91" s="98">
        <v>699.16013213999997</v>
      </c>
      <c r="E91" s="209">
        <v>0.5269532052046727</v>
      </c>
      <c r="F91" s="209">
        <v>0.26909939956697893</v>
      </c>
      <c r="G91" s="209">
        <v>0.93092279916868648</v>
      </c>
    </row>
    <row r="92" spans="1:7" x14ac:dyDescent="0.2">
      <c r="A92" s="80"/>
      <c r="B92" s="208" t="s">
        <v>202</v>
      </c>
      <c r="C92" s="98">
        <v>5493.9312260699999</v>
      </c>
      <c r="D92" s="98">
        <v>1155.4618516999999</v>
      </c>
      <c r="E92" s="209">
        <v>0.66654266171438381</v>
      </c>
      <c r="F92" s="209">
        <v>0.31086171224633552</v>
      </c>
      <c r="G92" s="209">
        <v>0.9532090559330042</v>
      </c>
    </row>
    <row r="93" spans="1:7" x14ac:dyDescent="0.2">
      <c r="A93" s="80"/>
      <c r="B93" s="208" t="s">
        <v>203</v>
      </c>
      <c r="C93" s="98">
        <v>5564.7558269900001</v>
      </c>
      <c r="D93" s="98">
        <v>837.91424034000011</v>
      </c>
      <c r="E93" s="209">
        <v>0.84510255396160006</v>
      </c>
      <c r="F93" s="209">
        <v>0.32075310522311351</v>
      </c>
      <c r="G93" s="209">
        <v>0.85319978062715973</v>
      </c>
    </row>
    <row r="94" spans="1:7" x14ac:dyDescent="0.2">
      <c r="A94" s="80"/>
      <c r="B94" s="208" t="s">
        <v>204</v>
      </c>
      <c r="C94" s="98">
        <v>1423.8781184600002</v>
      </c>
      <c r="D94" s="98">
        <v>162.81131857</v>
      </c>
      <c r="E94" s="209">
        <v>1.2470136900770106</v>
      </c>
      <c r="F94" s="209">
        <v>0.39055466146884216</v>
      </c>
      <c r="G94" s="209">
        <v>0.8836286859307021</v>
      </c>
    </row>
    <row r="95" spans="1:7" x14ac:dyDescent="0.2">
      <c r="A95" s="80"/>
      <c r="B95" s="208" t="s">
        <v>205</v>
      </c>
      <c r="C95" s="98">
        <v>464.06926171999999</v>
      </c>
      <c r="D95" s="98">
        <v>65.079421569999994</v>
      </c>
      <c r="E95" s="209">
        <v>1.7671634341722136</v>
      </c>
      <c r="F95" s="209">
        <v>0.44689529086684704</v>
      </c>
      <c r="G95" s="209">
        <v>0.94549287258271641</v>
      </c>
    </row>
    <row r="96" spans="1:7" x14ac:dyDescent="0.2">
      <c r="A96" s="80"/>
      <c r="B96" s="208" t="s">
        <v>206</v>
      </c>
      <c r="C96" s="98">
        <v>6.6988161899999996</v>
      </c>
      <c r="D96" s="98">
        <v>1.3077576899999999</v>
      </c>
      <c r="E96" s="209">
        <v>9.8741300011099431E-2</v>
      </c>
      <c r="F96" s="209">
        <v>0.64357391981735801</v>
      </c>
      <c r="G96" s="209">
        <v>0.91882798213546935</v>
      </c>
    </row>
    <row r="97" spans="1:7" x14ac:dyDescent="0.2">
      <c r="A97" s="80"/>
      <c r="B97" s="208" t="s">
        <v>207</v>
      </c>
      <c r="C97" s="98">
        <v>746.44025621000003</v>
      </c>
      <c r="D97" s="98">
        <v>15.613126319999999</v>
      </c>
      <c r="E97" s="209">
        <v>1.8172239158592902</v>
      </c>
      <c r="F97" s="209">
        <v>0</v>
      </c>
      <c r="G97" s="209">
        <v>0.98868600556622321</v>
      </c>
    </row>
    <row r="98" spans="1:7" ht="12" customHeight="1" x14ac:dyDescent="0.2">
      <c r="A98" s="210" t="s">
        <v>877</v>
      </c>
      <c r="B98" s="211"/>
      <c r="C98" s="212">
        <f>SUM(C87:C97)</f>
        <v>24649.9342732</v>
      </c>
      <c r="D98" s="212">
        <f>SUM(D87:D97)</f>
        <v>4570.5441695600002</v>
      </c>
      <c r="E98" s="213">
        <v>0.69903795888882214</v>
      </c>
      <c r="F98" s="213"/>
      <c r="G98" s="213">
        <v>0.90116092856152685</v>
      </c>
    </row>
    <row r="99" spans="1:7" s="347" customFormat="1" ht="12" customHeight="1" x14ac:dyDescent="0.2">
      <c r="A99" s="80" t="s">
        <v>208</v>
      </c>
      <c r="B99" s="377"/>
      <c r="C99" s="196"/>
      <c r="D99" s="196"/>
      <c r="E99" s="378"/>
      <c r="F99" s="378"/>
      <c r="G99" s="378"/>
    </row>
    <row r="100" spans="1:7" s="347" customFormat="1" ht="12" customHeight="1" x14ac:dyDescent="0.2">
      <c r="B100" s="208" t="s">
        <v>209</v>
      </c>
      <c r="C100" s="98">
        <v>8.9764529999999993</v>
      </c>
      <c r="D100" s="98">
        <v>0</v>
      </c>
      <c r="E100" s="209">
        <v>0.15801341409719408</v>
      </c>
      <c r="F100" s="209">
        <v>0.20843249909019418</v>
      </c>
      <c r="G100" s="209">
        <v>1</v>
      </c>
    </row>
    <row r="101" spans="1:7" s="347" customFormat="1" ht="12" customHeight="1" x14ac:dyDescent="0.2">
      <c r="A101" s="80"/>
      <c r="B101" s="208" t="s">
        <v>210</v>
      </c>
      <c r="C101" s="98">
        <v>1292.3666882004984</v>
      </c>
      <c r="D101" s="98">
        <v>270.88636965262498</v>
      </c>
      <c r="E101" s="209">
        <v>0.23922667326690014</v>
      </c>
      <c r="F101" s="209">
        <v>0.29608513312390722</v>
      </c>
      <c r="G101" s="209">
        <v>0.87705952449236868</v>
      </c>
    </row>
    <row r="102" spans="1:7" s="347" customFormat="1" ht="12" customHeight="1" x14ac:dyDescent="0.2">
      <c r="A102" s="80"/>
      <c r="B102" s="208" t="s">
        <v>211</v>
      </c>
      <c r="C102" s="98">
        <v>4519.4824354335142</v>
      </c>
      <c r="D102" s="98">
        <v>131.95995433000002</v>
      </c>
      <c r="E102" s="209">
        <v>0.36766232863346099</v>
      </c>
      <c r="F102" s="209">
        <v>0.24150892612053537</v>
      </c>
      <c r="G102" s="209">
        <v>0.99580650525077896</v>
      </c>
    </row>
    <row r="103" spans="1:7" s="347" customFormat="1" ht="12" customHeight="1" x14ac:dyDescent="0.2">
      <c r="A103" s="80"/>
      <c r="B103" s="208" t="s">
        <v>212</v>
      </c>
      <c r="C103" s="98">
        <v>4478.2147807547344</v>
      </c>
      <c r="D103" s="98">
        <v>233.31361489</v>
      </c>
      <c r="E103" s="209">
        <v>0.41589382726694857</v>
      </c>
      <c r="F103" s="209">
        <v>0.26771362494098511</v>
      </c>
      <c r="G103" s="209">
        <v>0.96562806871062545</v>
      </c>
    </row>
    <row r="104" spans="1:7" s="347" customFormat="1" ht="12" customHeight="1" x14ac:dyDescent="0.2">
      <c r="A104" s="80"/>
      <c r="B104" s="208" t="s">
        <v>213</v>
      </c>
      <c r="C104" s="98">
        <v>6189.1467061451249</v>
      </c>
      <c r="D104" s="98">
        <v>579.84556558000008</v>
      </c>
      <c r="E104" s="209">
        <v>0.53799966732104609</v>
      </c>
      <c r="F104" s="209">
        <v>0.27495928299422318</v>
      </c>
      <c r="G104" s="209">
        <v>0.90570957081017411</v>
      </c>
    </row>
    <row r="105" spans="1:7" s="347" customFormat="1" ht="12" customHeight="1" x14ac:dyDescent="0.2">
      <c r="A105" s="80"/>
      <c r="B105" s="208" t="s">
        <v>214</v>
      </c>
      <c r="C105" s="98">
        <v>7174.8345009352906</v>
      </c>
      <c r="D105" s="98">
        <v>644.43759955025507</v>
      </c>
      <c r="E105" s="209">
        <v>0.62666789161737169</v>
      </c>
      <c r="F105" s="209">
        <v>0.28239247019303709</v>
      </c>
      <c r="G105" s="209">
        <v>0.97530445498552354</v>
      </c>
    </row>
    <row r="106" spans="1:7" s="347" customFormat="1" ht="12" customHeight="1" x14ac:dyDescent="0.2">
      <c r="A106" s="80"/>
      <c r="B106" s="208" t="s">
        <v>215</v>
      </c>
      <c r="C106" s="98">
        <v>4526.009819120156</v>
      </c>
      <c r="D106" s="98">
        <v>585.03932242550002</v>
      </c>
      <c r="E106" s="209">
        <v>0.80614592396117468</v>
      </c>
      <c r="F106" s="209">
        <v>0.33104683484918701</v>
      </c>
      <c r="G106" s="209">
        <v>0.96335381780064289</v>
      </c>
    </row>
    <row r="107" spans="1:7" s="347" customFormat="1" ht="12" customHeight="1" x14ac:dyDescent="0.2">
      <c r="A107" s="80"/>
      <c r="B107" s="208" t="s">
        <v>216</v>
      </c>
      <c r="C107" s="98">
        <v>2746.0493705574249</v>
      </c>
      <c r="D107" s="98">
        <v>223.00120984000003</v>
      </c>
      <c r="E107" s="209">
        <v>0.96791091064815793</v>
      </c>
      <c r="F107" s="209">
        <v>0.31525197842822178</v>
      </c>
      <c r="G107" s="209">
        <v>0.98408514016999016</v>
      </c>
    </row>
    <row r="108" spans="1:7" s="347" customFormat="1" ht="12" customHeight="1" x14ac:dyDescent="0.2">
      <c r="A108" s="80"/>
      <c r="B108" s="208" t="s">
        <v>217</v>
      </c>
      <c r="C108" s="98">
        <v>623.97168369138501</v>
      </c>
      <c r="D108" s="98">
        <v>83.421689999999998</v>
      </c>
      <c r="E108" s="209">
        <v>1.3882846232058506</v>
      </c>
      <c r="F108" s="209">
        <v>0.36263647450544578</v>
      </c>
      <c r="G108" s="209">
        <v>0.93680574984205012</v>
      </c>
    </row>
    <row r="109" spans="1:7" s="347" customFormat="1" ht="12" customHeight="1" x14ac:dyDescent="0.2">
      <c r="A109" s="80"/>
      <c r="B109" s="208" t="s">
        <v>218</v>
      </c>
      <c r="C109" s="98">
        <v>68.983615493894987</v>
      </c>
      <c r="D109" s="98">
        <v>0.41163877226999995</v>
      </c>
      <c r="E109" s="209">
        <v>0.698064727796055</v>
      </c>
      <c r="F109" s="209">
        <v>0.15564434644824457</v>
      </c>
      <c r="G109" s="209">
        <v>0.99793025675014058</v>
      </c>
    </row>
    <row r="110" spans="1:7" s="347" customFormat="1" ht="12" customHeight="1" x14ac:dyDescent="0.2">
      <c r="A110" s="80"/>
      <c r="B110" s="208" t="s">
        <v>219</v>
      </c>
      <c r="C110" s="98">
        <v>547.85708327000009</v>
      </c>
      <c r="D110" s="98">
        <v>118.78812798</v>
      </c>
      <c r="E110" s="209">
        <v>1.0753569261316196</v>
      </c>
      <c r="F110" s="209">
        <v>8.9179777385500467E-2</v>
      </c>
      <c r="G110" s="209">
        <v>0.82314263096668916</v>
      </c>
    </row>
    <row r="111" spans="1:7" s="347" customFormat="1" ht="12" customHeight="1" x14ac:dyDescent="0.2">
      <c r="A111" s="210" t="s">
        <v>220</v>
      </c>
      <c r="B111" s="211"/>
      <c r="C111" s="212">
        <f>SUM(C100:C110)</f>
        <v>32175.893136602026</v>
      </c>
      <c r="D111" s="212">
        <f>SUM(D100:D110)</f>
        <v>2871.1050930206507</v>
      </c>
      <c r="E111" s="213">
        <v>0.60513603293088813</v>
      </c>
      <c r="F111" s="213"/>
      <c r="G111" s="213">
        <v>0.95369848053549422</v>
      </c>
    </row>
    <row r="112" spans="1:7" s="347" customFormat="1" ht="12" customHeight="1" x14ac:dyDescent="0.2">
      <c r="A112" s="80" t="s">
        <v>221</v>
      </c>
      <c r="B112" s="377"/>
      <c r="C112" s="196"/>
      <c r="D112" s="196"/>
      <c r="E112" s="378"/>
      <c r="F112" s="378"/>
      <c r="G112" s="378"/>
    </row>
    <row r="113" spans="1:7" s="347" customFormat="1" ht="12" customHeight="1" x14ac:dyDescent="0.2">
      <c r="B113" s="208" t="s">
        <v>222</v>
      </c>
      <c r="C113" s="98">
        <v>0</v>
      </c>
      <c r="D113" s="98">
        <v>0</v>
      </c>
      <c r="E113" s="209">
        <v>0</v>
      </c>
      <c r="F113" s="209">
        <v>0</v>
      </c>
      <c r="G113" s="209">
        <v>0</v>
      </c>
    </row>
    <row r="114" spans="1:7" s="347" customFormat="1" ht="12" customHeight="1" x14ac:dyDescent="0.2">
      <c r="A114" s="80"/>
      <c r="B114" s="208" t="s">
        <v>223</v>
      </c>
      <c r="C114" s="98">
        <v>9.6795695516100011</v>
      </c>
      <c r="D114" s="98">
        <v>0</v>
      </c>
      <c r="E114" s="209">
        <v>0.13817296635005125</v>
      </c>
      <c r="F114" s="209">
        <v>0</v>
      </c>
      <c r="G114" s="209">
        <v>1</v>
      </c>
    </row>
    <row r="115" spans="1:7" s="347" customFormat="1" ht="12" customHeight="1" x14ac:dyDescent="0.2">
      <c r="A115" s="80"/>
      <c r="B115" s="208" t="s">
        <v>224</v>
      </c>
      <c r="C115" s="98">
        <v>140.50654062705001</v>
      </c>
      <c r="D115" s="98">
        <v>98.528531389999998</v>
      </c>
      <c r="E115" s="209">
        <v>0.47730687646551129</v>
      </c>
      <c r="F115" s="209">
        <v>0.25489928142361817</v>
      </c>
      <c r="G115" s="209">
        <v>0.64460050955954362</v>
      </c>
    </row>
    <row r="116" spans="1:7" s="347" customFormat="1" ht="12" customHeight="1" x14ac:dyDescent="0.2">
      <c r="A116" s="80"/>
      <c r="B116" s="208" t="s">
        <v>225</v>
      </c>
      <c r="C116" s="98">
        <v>1460.6017306441306</v>
      </c>
      <c r="D116" s="98">
        <v>963.2238807</v>
      </c>
      <c r="E116" s="209">
        <v>0.42325157118797213</v>
      </c>
      <c r="F116" s="209">
        <v>0.12729208794749336</v>
      </c>
      <c r="G116" s="209">
        <v>0.88754005485744347</v>
      </c>
    </row>
    <row r="117" spans="1:7" s="347" customFormat="1" ht="12" customHeight="1" x14ac:dyDescent="0.2">
      <c r="A117" s="80"/>
      <c r="B117" s="208" t="s">
        <v>226</v>
      </c>
      <c r="C117" s="98">
        <v>1848.275679950518</v>
      </c>
      <c r="D117" s="98">
        <v>347.82047100949995</v>
      </c>
      <c r="E117" s="209">
        <v>0.6094744507541362</v>
      </c>
      <c r="F117" s="209">
        <v>5.5182557273047182E-2</v>
      </c>
      <c r="G117" s="209">
        <v>0.88812241850255869</v>
      </c>
    </row>
    <row r="118" spans="1:7" s="347" customFormat="1" ht="12" customHeight="1" x14ac:dyDescent="0.2">
      <c r="A118" s="80"/>
      <c r="B118" s="208" t="s">
        <v>227</v>
      </c>
      <c r="C118" s="98">
        <v>3440.8170037539148</v>
      </c>
      <c r="D118" s="98">
        <v>863.50129737939005</v>
      </c>
      <c r="E118" s="209">
        <v>0.80299172542576769</v>
      </c>
      <c r="F118" s="209">
        <v>7.6255316812568391E-2</v>
      </c>
      <c r="G118" s="209">
        <v>0.76797216854914274</v>
      </c>
    </row>
    <row r="119" spans="1:7" s="347" customFormat="1" ht="12" customHeight="1" x14ac:dyDescent="0.2">
      <c r="A119" s="80"/>
      <c r="B119" s="208" t="s">
        <v>228</v>
      </c>
      <c r="C119" s="98">
        <v>1117.0853648116126</v>
      </c>
      <c r="D119" s="98">
        <v>408.32991959000003</v>
      </c>
      <c r="E119" s="209">
        <v>1.2001133758699694</v>
      </c>
      <c r="F119" s="209">
        <v>0.15598602114787835</v>
      </c>
      <c r="G119" s="209">
        <v>0.76250437352968359</v>
      </c>
    </row>
    <row r="120" spans="1:7" s="347" customFormat="1" ht="12" customHeight="1" x14ac:dyDescent="0.2">
      <c r="A120" s="80"/>
      <c r="B120" s="208" t="s">
        <v>229</v>
      </c>
      <c r="C120" s="98">
        <v>615.04830802697268</v>
      </c>
      <c r="D120" s="98">
        <v>37.521473400000005</v>
      </c>
      <c r="E120" s="209">
        <v>1.0586977411204357</v>
      </c>
      <c r="F120" s="209">
        <v>2.3572290100769975E-2</v>
      </c>
      <c r="G120" s="209">
        <v>0.98530517443365584</v>
      </c>
    </row>
    <row r="121" spans="1:7" s="347" customFormat="1" ht="12" customHeight="1" x14ac:dyDescent="0.2">
      <c r="A121" s="80"/>
      <c r="B121" s="208" t="s">
        <v>230</v>
      </c>
      <c r="C121" s="98">
        <v>140.74805287826999</v>
      </c>
      <c r="D121" s="98">
        <v>56.907179999999997</v>
      </c>
      <c r="E121" s="209">
        <v>1.155500847709628</v>
      </c>
      <c r="F121" s="209">
        <v>8.6857035686429621E-2</v>
      </c>
      <c r="G121" s="209">
        <v>0.38207635019589065</v>
      </c>
    </row>
    <row r="122" spans="1:7" s="347" customFormat="1" ht="12" customHeight="1" x14ac:dyDescent="0.2">
      <c r="A122" s="80"/>
      <c r="B122" s="208" t="s">
        <v>231</v>
      </c>
      <c r="C122" s="98">
        <v>41.348864849507663</v>
      </c>
      <c r="D122" s="98">
        <v>0</v>
      </c>
      <c r="E122" s="209">
        <v>0</v>
      </c>
      <c r="F122" s="209">
        <v>0</v>
      </c>
      <c r="G122" s="209">
        <v>0</v>
      </c>
    </row>
    <row r="123" spans="1:7" s="347" customFormat="1" ht="12" customHeight="1" x14ac:dyDescent="0.2">
      <c r="A123" s="80"/>
      <c r="B123" s="208" t="s">
        <v>232</v>
      </c>
      <c r="C123" s="98">
        <v>374.19409467999992</v>
      </c>
      <c r="D123" s="98">
        <v>0</v>
      </c>
      <c r="E123" s="209">
        <v>0</v>
      </c>
      <c r="F123" s="209">
        <v>0</v>
      </c>
      <c r="G123" s="209">
        <v>0</v>
      </c>
    </row>
    <row r="124" spans="1:7" s="347" customFormat="1" ht="12" customHeight="1" x14ac:dyDescent="0.2">
      <c r="A124" s="210" t="s">
        <v>233</v>
      </c>
      <c r="B124" s="211"/>
      <c r="C124" s="212">
        <f>SUM(C113:C123)</f>
        <v>9188.3052097735872</v>
      </c>
      <c r="D124" s="212">
        <f>SUM(D113:D123)</f>
        <v>2775.8327534688901</v>
      </c>
      <c r="E124" s="213">
        <v>0.73844257155882065</v>
      </c>
      <c r="F124" s="213"/>
      <c r="G124" s="213">
        <v>0.81254994351744403</v>
      </c>
    </row>
    <row r="125" spans="1:7" s="347" customFormat="1" ht="12" customHeight="1" x14ac:dyDescent="0.2">
      <c r="A125" s="430" t="s">
        <v>878</v>
      </c>
      <c r="B125" s="377"/>
      <c r="C125" s="196"/>
      <c r="D125" s="196"/>
      <c r="E125" s="378"/>
      <c r="F125" s="378"/>
      <c r="G125" s="378"/>
    </row>
    <row r="126" spans="1:7" s="347" customFormat="1" ht="12" customHeight="1" x14ac:dyDescent="0.2">
      <c r="A126" s="429"/>
      <c r="B126" s="208" t="s">
        <v>234</v>
      </c>
      <c r="C126" s="98">
        <v>0</v>
      </c>
      <c r="D126" s="98">
        <v>0</v>
      </c>
      <c r="E126" s="209">
        <v>0</v>
      </c>
      <c r="F126" s="209">
        <v>0</v>
      </c>
      <c r="G126" s="209">
        <v>0</v>
      </c>
    </row>
    <row r="127" spans="1:7" s="347" customFormat="1" ht="12" customHeight="1" x14ac:dyDescent="0.2">
      <c r="A127" s="80"/>
      <c r="B127" s="208" t="s">
        <v>235</v>
      </c>
      <c r="C127" s="98">
        <v>1779.6147873657858</v>
      </c>
      <c r="D127" s="98">
        <v>570.7819279353879</v>
      </c>
      <c r="E127" s="209">
        <v>7.1726372854279588E-2</v>
      </c>
      <c r="F127" s="209">
        <v>0.16719164695696603</v>
      </c>
      <c r="G127" s="209">
        <v>0.99945568911006732</v>
      </c>
    </row>
    <row r="128" spans="1:7" s="347" customFormat="1" ht="12" customHeight="1" x14ac:dyDescent="0.2">
      <c r="A128" s="80"/>
      <c r="B128" s="208" t="s">
        <v>236</v>
      </c>
      <c r="C128" s="98">
        <v>1545.20331090679</v>
      </c>
      <c r="D128" s="98">
        <v>129.453841450347</v>
      </c>
      <c r="E128" s="209">
        <v>0.13507507386841935</v>
      </c>
      <c r="F128" s="209">
        <v>0.21526286443721515</v>
      </c>
      <c r="G128" s="209">
        <v>0.99968387944023696</v>
      </c>
    </row>
    <row r="129" spans="1:7" s="347" customFormat="1" ht="12" customHeight="1" x14ac:dyDescent="0.2">
      <c r="A129" s="80"/>
      <c r="B129" s="208" t="s">
        <v>237</v>
      </c>
      <c r="C129" s="98">
        <v>769.56911073675599</v>
      </c>
      <c r="D129" s="98">
        <v>15.676783214159</v>
      </c>
      <c r="E129" s="209">
        <v>0.21562003111069877</v>
      </c>
      <c r="F129" s="209">
        <v>0.23987518944175532</v>
      </c>
      <c r="G129" s="209">
        <v>0.99992691249162302</v>
      </c>
    </row>
    <row r="130" spans="1:7" s="347" customFormat="1" ht="12" customHeight="1" x14ac:dyDescent="0.2">
      <c r="A130" s="80"/>
      <c r="B130" s="208" t="s">
        <v>238</v>
      </c>
      <c r="C130" s="98">
        <v>735.75436030588105</v>
      </c>
      <c r="D130" s="98">
        <v>6.7939215817350007</v>
      </c>
      <c r="E130" s="209">
        <v>0.30373677600304766</v>
      </c>
      <c r="F130" s="209">
        <v>0.24357811385424635</v>
      </c>
      <c r="G130" s="209">
        <v>0.99971262253943127</v>
      </c>
    </row>
    <row r="131" spans="1:7" s="347" customFormat="1" ht="12" customHeight="1" x14ac:dyDescent="0.2">
      <c r="A131" s="80"/>
      <c r="B131" s="208" t="s">
        <v>239</v>
      </c>
      <c r="C131" s="98">
        <v>391.474390837822</v>
      </c>
      <c r="D131" s="98">
        <v>6.0417244081470001</v>
      </c>
      <c r="E131" s="209">
        <v>0.40746312595239259</v>
      </c>
      <c r="F131" s="209">
        <v>0.22997286062671818</v>
      </c>
      <c r="G131" s="209">
        <v>0.9999521064405883</v>
      </c>
    </row>
    <row r="132" spans="1:7" s="347" customFormat="1" ht="12" customHeight="1" x14ac:dyDescent="0.2">
      <c r="A132" s="80"/>
      <c r="B132" s="208" t="s">
        <v>240</v>
      </c>
      <c r="C132" s="98">
        <v>92.181682247330997</v>
      </c>
      <c r="D132" s="98">
        <v>0.94871778436999998</v>
      </c>
      <c r="E132" s="209">
        <v>0.55642150252843658</v>
      </c>
      <c r="F132" s="209">
        <v>0.21243530474795222</v>
      </c>
      <c r="G132" s="209">
        <v>0.99911395015328663</v>
      </c>
    </row>
    <row r="133" spans="1:7" s="347" customFormat="1" ht="12" customHeight="1" x14ac:dyDescent="0.2">
      <c r="A133" s="80"/>
      <c r="B133" s="208" t="s">
        <v>241</v>
      </c>
      <c r="C133" s="98">
        <v>75.280267518692014</v>
      </c>
      <c r="D133" s="98">
        <v>0.59024221365999996</v>
      </c>
      <c r="E133" s="209">
        <v>0.93994850320162648</v>
      </c>
      <c r="F133" s="209">
        <v>0.2324003487697385</v>
      </c>
      <c r="G133" s="209">
        <v>0.99920361312779893</v>
      </c>
    </row>
    <row r="134" spans="1:7" s="347" customFormat="1" ht="12" customHeight="1" x14ac:dyDescent="0.2">
      <c r="A134" s="80"/>
      <c r="B134" s="208" t="s">
        <v>242</v>
      </c>
      <c r="C134" s="98">
        <v>151.60256365950002</v>
      </c>
      <c r="D134" s="98">
        <v>1.0309378617489999</v>
      </c>
      <c r="E134" s="209">
        <v>1.1690842248493711</v>
      </c>
      <c r="F134" s="209">
        <v>0.22223305210853145</v>
      </c>
      <c r="G134" s="209">
        <v>0.99951459091469341</v>
      </c>
    </row>
    <row r="135" spans="1:7" s="347" customFormat="1" ht="12" customHeight="1" x14ac:dyDescent="0.2">
      <c r="A135" s="80"/>
      <c r="B135" s="208" t="s">
        <v>243</v>
      </c>
      <c r="C135" s="98">
        <v>7.7369912654000004</v>
      </c>
      <c r="D135" s="98">
        <v>0</v>
      </c>
      <c r="E135" s="209">
        <v>0.11700163493146308</v>
      </c>
      <c r="F135" s="209">
        <v>0.13130450894386447</v>
      </c>
      <c r="G135" s="209">
        <v>1</v>
      </c>
    </row>
    <row r="136" spans="1:7" s="347" customFormat="1" ht="12" customHeight="1" x14ac:dyDescent="0.2">
      <c r="A136" s="80"/>
      <c r="B136" s="208" t="s">
        <v>244</v>
      </c>
      <c r="C136" s="98">
        <v>13.154860810000001</v>
      </c>
      <c r="D136" s="98">
        <v>7.0480050080000004E-3</v>
      </c>
      <c r="E136" s="209">
        <v>0.65876265073534157</v>
      </c>
      <c r="F136" s="209">
        <v>0.52774241661681598</v>
      </c>
      <c r="G136" s="209">
        <v>1</v>
      </c>
    </row>
    <row r="137" spans="1:7" s="347" customFormat="1" ht="12" customHeight="1" x14ac:dyDescent="0.2">
      <c r="A137" s="210" t="s">
        <v>879</v>
      </c>
      <c r="B137" s="87"/>
      <c r="C137" s="214">
        <f>SUM(C126:C136)</f>
        <v>5561.5723256539595</v>
      </c>
      <c r="D137" s="214">
        <f>SUM(D126:D136)</f>
        <v>731.32514445456286</v>
      </c>
      <c r="E137" s="215">
        <v>0.21471339925249922</v>
      </c>
      <c r="F137" s="215"/>
      <c r="G137" s="216">
        <v>0.99964776130629862</v>
      </c>
    </row>
    <row r="138" spans="1:7" s="347" customFormat="1" ht="12" customHeight="1" x14ac:dyDescent="0.2">
      <c r="A138" s="80" t="s">
        <v>245</v>
      </c>
      <c r="B138" s="377"/>
      <c r="C138" s="196"/>
      <c r="D138" s="196"/>
      <c r="E138" s="378"/>
      <c r="F138" s="378"/>
      <c r="G138" s="378"/>
    </row>
    <row r="139" spans="1:7" ht="12" customHeight="1" x14ac:dyDescent="0.2">
      <c r="B139" s="208" t="s">
        <v>246</v>
      </c>
      <c r="C139" s="98">
        <v>0</v>
      </c>
      <c r="D139" s="98">
        <v>0</v>
      </c>
      <c r="E139" s="209">
        <v>0</v>
      </c>
      <c r="F139" s="209">
        <v>0</v>
      </c>
      <c r="G139" s="209">
        <v>0</v>
      </c>
    </row>
    <row r="140" spans="1:7" x14ac:dyDescent="0.2">
      <c r="A140" s="80"/>
      <c r="B140" s="208" t="s">
        <v>247</v>
      </c>
      <c r="C140" s="98">
        <v>37907.303700378492</v>
      </c>
      <c r="D140" s="98">
        <v>11046.698445915037</v>
      </c>
      <c r="E140" s="209">
        <v>7.071823575115864E-2</v>
      </c>
      <c r="F140" s="209">
        <v>0.16203691307002821</v>
      </c>
      <c r="G140" s="209">
        <v>0.99994037792803026</v>
      </c>
    </row>
    <row r="141" spans="1:7" x14ac:dyDescent="0.2">
      <c r="A141" s="80"/>
      <c r="B141" s="208" t="s">
        <v>248</v>
      </c>
      <c r="C141" s="98">
        <v>33392.920376401067</v>
      </c>
      <c r="D141" s="98">
        <v>1807.2190805655432</v>
      </c>
      <c r="E141" s="209">
        <v>0.13093019010371054</v>
      </c>
      <c r="F141" s="209">
        <v>0.19932418342382965</v>
      </c>
      <c r="G141" s="209">
        <v>0.99995874295681297</v>
      </c>
    </row>
    <row r="142" spans="1:7" x14ac:dyDescent="0.2">
      <c r="A142" s="80"/>
      <c r="B142" s="208" t="s">
        <v>249</v>
      </c>
      <c r="C142" s="98">
        <v>22701.684406333607</v>
      </c>
      <c r="D142" s="98">
        <v>267.19159227775503</v>
      </c>
      <c r="E142" s="209">
        <v>0.20759213077405991</v>
      </c>
      <c r="F142" s="209">
        <v>0.21900532194531785</v>
      </c>
      <c r="G142" s="209">
        <v>0.99998335186494869</v>
      </c>
    </row>
    <row r="143" spans="1:7" x14ac:dyDescent="0.2">
      <c r="A143" s="80"/>
      <c r="B143" s="208" t="s">
        <v>250</v>
      </c>
      <c r="C143" s="98">
        <v>20562.687941025746</v>
      </c>
      <c r="D143" s="98">
        <v>85.518704057882005</v>
      </c>
      <c r="E143" s="209">
        <v>0.29583703690256091</v>
      </c>
      <c r="F143" s="209">
        <v>0.23196598515454162</v>
      </c>
      <c r="G143" s="209">
        <v>0.99997136886261628</v>
      </c>
    </row>
    <row r="144" spans="1:7" x14ac:dyDescent="0.2">
      <c r="A144" s="80"/>
      <c r="B144" s="208" t="s">
        <v>251</v>
      </c>
      <c r="C144" s="98">
        <v>8289.7231052903117</v>
      </c>
      <c r="D144" s="98">
        <v>27.374211008190002</v>
      </c>
      <c r="E144" s="209">
        <v>0.41900836552407822</v>
      </c>
      <c r="F144" s="209">
        <v>0.23423819698674372</v>
      </c>
      <c r="G144" s="209">
        <v>0.99996439995765973</v>
      </c>
    </row>
    <row r="145" spans="1:7" x14ac:dyDescent="0.2">
      <c r="A145" s="80"/>
      <c r="B145" s="208" t="s">
        <v>252</v>
      </c>
      <c r="C145" s="98">
        <v>1968.9287908910298</v>
      </c>
      <c r="D145" s="98">
        <v>5.8576862653200008</v>
      </c>
      <c r="E145" s="209">
        <v>0.59040606305901044</v>
      </c>
      <c r="F145" s="209">
        <v>0.22312121367103793</v>
      </c>
      <c r="G145" s="209">
        <v>0.99992750390372542</v>
      </c>
    </row>
    <row r="146" spans="1:7" x14ac:dyDescent="0.2">
      <c r="A146" s="80"/>
      <c r="B146" s="208" t="s">
        <v>253</v>
      </c>
      <c r="C146" s="98">
        <v>1211.3643192763423</v>
      </c>
      <c r="D146" s="98">
        <v>11.084954367762</v>
      </c>
      <c r="E146" s="209">
        <v>0.86525240316133889</v>
      </c>
      <c r="F146" s="209">
        <v>0.21482571299042014</v>
      </c>
      <c r="G146" s="209">
        <v>0.99995831320601625</v>
      </c>
    </row>
    <row r="147" spans="1:7" x14ac:dyDescent="0.2">
      <c r="A147" s="80"/>
      <c r="B147" s="208" t="s">
        <v>254</v>
      </c>
      <c r="C147" s="98">
        <v>1625.5758071012638</v>
      </c>
      <c r="D147" s="98">
        <v>4.7454517134600005</v>
      </c>
      <c r="E147" s="209">
        <v>1.2681647216997329</v>
      </c>
      <c r="F147" s="209">
        <v>0.22345163670115029</v>
      </c>
      <c r="G147" s="209">
        <v>0.99989558636696962</v>
      </c>
    </row>
    <row r="148" spans="1:7" x14ac:dyDescent="0.2">
      <c r="A148" s="80"/>
      <c r="B148" s="208" t="s">
        <v>255</v>
      </c>
      <c r="C148" s="98">
        <v>186.15536439201352</v>
      </c>
      <c r="D148" s="98">
        <v>0.2394056772470001</v>
      </c>
      <c r="E148" s="209">
        <v>0.34544489441926796</v>
      </c>
      <c r="F148" s="209">
        <v>0.2437809582494965</v>
      </c>
      <c r="G148" s="209">
        <v>1</v>
      </c>
    </row>
    <row r="149" spans="1:7" x14ac:dyDescent="0.2">
      <c r="A149" s="80"/>
      <c r="B149" s="208" t="s">
        <v>256</v>
      </c>
      <c r="C149" s="98">
        <v>161.08930387152498</v>
      </c>
      <c r="D149" s="98">
        <v>4.6699173604359991</v>
      </c>
      <c r="E149" s="209">
        <v>1.4898649267444488</v>
      </c>
      <c r="F149" s="209">
        <v>0.26421828539620268</v>
      </c>
      <c r="G149" s="209">
        <v>0.99988051534485656</v>
      </c>
    </row>
    <row r="150" spans="1:7" ht="12" customHeight="1" x14ac:dyDescent="0.2">
      <c r="A150" s="210" t="s">
        <v>257</v>
      </c>
      <c r="B150" s="87"/>
      <c r="C150" s="214">
        <f>SUM(C139:C149)</f>
        <v>128007.4331149614</v>
      </c>
      <c r="D150" s="214">
        <f>SUM(D139:D149)</f>
        <v>13260.59944920863</v>
      </c>
      <c r="E150" s="215">
        <v>0.20232143134345756</v>
      </c>
      <c r="F150" s="215"/>
      <c r="G150" s="216">
        <v>0.9999587379367556</v>
      </c>
    </row>
    <row r="151" spans="1:7" x14ac:dyDescent="0.2">
      <c r="A151" s="80" t="s">
        <v>258</v>
      </c>
      <c r="B151" s="208" t="s">
        <v>259</v>
      </c>
      <c r="C151" s="98">
        <v>0</v>
      </c>
      <c r="D151" s="98">
        <v>0</v>
      </c>
      <c r="E151" s="209">
        <v>0</v>
      </c>
      <c r="F151" s="209">
        <v>0</v>
      </c>
      <c r="G151" s="209">
        <v>0</v>
      </c>
    </row>
    <row r="152" spans="1:7" x14ac:dyDescent="0.2">
      <c r="A152" s="80"/>
      <c r="B152" s="208" t="s">
        <v>260</v>
      </c>
      <c r="C152" s="98">
        <v>702.63676980736795</v>
      </c>
      <c r="D152" s="98">
        <v>363.68530286028397</v>
      </c>
      <c r="E152" s="209">
        <v>0.21442629293041005</v>
      </c>
      <c r="F152" s="209">
        <v>0.48354596937172284</v>
      </c>
      <c r="G152" s="209">
        <v>0.99826449291035202</v>
      </c>
    </row>
    <row r="153" spans="1:7" x14ac:dyDescent="0.2">
      <c r="A153" s="80"/>
      <c r="B153" s="208" t="s">
        <v>261</v>
      </c>
      <c r="C153" s="98">
        <v>1202.3192139043788</v>
      </c>
      <c r="D153" s="98">
        <v>285.54324535932199</v>
      </c>
      <c r="E153" s="209">
        <v>0.31259225886220487</v>
      </c>
      <c r="F153" s="209">
        <v>0.49260814649970841</v>
      </c>
      <c r="G153" s="209">
        <v>0.9984964004224719</v>
      </c>
    </row>
    <row r="154" spans="1:7" x14ac:dyDescent="0.2">
      <c r="A154" s="80"/>
      <c r="B154" s="208" t="s">
        <v>262</v>
      </c>
      <c r="C154" s="98">
        <v>952.77548797156498</v>
      </c>
      <c r="D154" s="98">
        <v>90.390450049395</v>
      </c>
      <c r="E154" s="209">
        <v>0.43039942018244931</v>
      </c>
      <c r="F154" s="209">
        <v>0.50373743081252986</v>
      </c>
      <c r="G154" s="209">
        <v>0.99901585666920456</v>
      </c>
    </row>
    <row r="155" spans="1:7" x14ac:dyDescent="0.2">
      <c r="A155" s="80"/>
      <c r="B155" s="208" t="s">
        <v>263</v>
      </c>
      <c r="C155" s="98">
        <v>1022.4087684410189</v>
      </c>
      <c r="D155" s="98">
        <v>55.124127132607001</v>
      </c>
      <c r="E155" s="209">
        <v>0.53195212277773019</v>
      </c>
      <c r="F155" s="209">
        <v>0.50320869131022394</v>
      </c>
      <c r="G155" s="209">
        <v>0.99915847814881198</v>
      </c>
    </row>
    <row r="156" spans="1:7" x14ac:dyDescent="0.2">
      <c r="A156" s="80"/>
      <c r="B156" s="208" t="s">
        <v>264</v>
      </c>
      <c r="C156" s="98">
        <v>433.631767039289</v>
      </c>
      <c r="D156" s="98">
        <v>20.218583217231</v>
      </c>
      <c r="E156" s="209">
        <v>0.65266551377896798</v>
      </c>
      <c r="F156" s="209">
        <v>0.50408971456278517</v>
      </c>
      <c r="G156" s="209">
        <v>0.99940048004710014</v>
      </c>
    </row>
    <row r="157" spans="1:7" x14ac:dyDescent="0.2">
      <c r="A157" s="80"/>
      <c r="B157" s="208" t="s">
        <v>265</v>
      </c>
      <c r="C157" s="98">
        <v>178.04938789251798</v>
      </c>
      <c r="D157" s="98">
        <v>3.902694020802</v>
      </c>
      <c r="E157" s="209">
        <v>0.74657172340653943</v>
      </c>
      <c r="F157" s="209">
        <v>0.49815128704924472</v>
      </c>
      <c r="G157" s="209">
        <v>0.9992826686009193</v>
      </c>
    </row>
    <row r="158" spans="1:7" x14ac:dyDescent="0.2">
      <c r="A158" s="80"/>
      <c r="B158" s="208" t="s">
        <v>266</v>
      </c>
      <c r="C158" s="98">
        <v>59.441548461103999</v>
      </c>
      <c r="D158" s="98">
        <v>1.5095639342</v>
      </c>
      <c r="E158" s="209">
        <v>0.82505694372796456</v>
      </c>
      <c r="F158" s="209">
        <v>0.50345980972164717</v>
      </c>
      <c r="G158" s="209">
        <v>0.99717396279629178</v>
      </c>
    </row>
    <row r="159" spans="1:7" x14ac:dyDescent="0.2">
      <c r="A159" s="80"/>
      <c r="B159" s="208" t="s">
        <v>267</v>
      </c>
      <c r="C159" s="98">
        <v>72.219556932000003</v>
      </c>
      <c r="D159" s="98">
        <v>2.4415072200000001</v>
      </c>
      <c r="E159" s="209">
        <v>1.1122311855690972</v>
      </c>
      <c r="F159" s="209">
        <v>0.49390285955840613</v>
      </c>
      <c r="G159" s="209">
        <v>0.99385866061806882</v>
      </c>
    </row>
    <row r="160" spans="1:7" x14ac:dyDescent="0.2">
      <c r="A160" s="80"/>
      <c r="B160" s="208" t="s">
        <v>268</v>
      </c>
      <c r="C160" s="98">
        <v>7.8519054399999986</v>
      </c>
      <c r="D160" s="98">
        <v>0.13826966999999998</v>
      </c>
      <c r="E160" s="209">
        <v>1.848109180744286E-3</v>
      </c>
      <c r="F160" s="209">
        <v>0.50595117011080981</v>
      </c>
      <c r="G160" s="209">
        <v>0.99755445821531108</v>
      </c>
    </row>
    <row r="161" spans="1:7" x14ac:dyDescent="0.2">
      <c r="A161" s="80"/>
      <c r="B161" s="208" t="s">
        <v>269</v>
      </c>
      <c r="C161" s="98">
        <v>28.282117769999999</v>
      </c>
      <c r="D161" s="98">
        <v>0</v>
      </c>
      <c r="E161" s="209">
        <v>6.62045835054169E-2</v>
      </c>
      <c r="F161" s="209">
        <v>0.88220373696971599</v>
      </c>
      <c r="G161" s="209">
        <v>1</v>
      </c>
    </row>
    <row r="162" spans="1:7" x14ac:dyDescent="0.2">
      <c r="A162" s="210" t="s">
        <v>270</v>
      </c>
      <c r="B162" s="87"/>
      <c r="C162" s="214">
        <f>SUM(C151:C161)</f>
        <v>4659.6165236592415</v>
      </c>
      <c r="D162" s="214">
        <f>SUM(D151:D161)</f>
        <v>822.95374346384074</v>
      </c>
      <c r="E162" s="215">
        <v>0.4351524551254895</v>
      </c>
      <c r="F162" s="215"/>
      <c r="G162" s="216">
        <v>0.99874412675784507</v>
      </c>
    </row>
    <row r="163" spans="1:7" x14ac:dyDescent="0.2">
      <c r="A163" s="97"/>
      <c r="B163" s="94"/>
      <c r="C163" s="217"/>
      <c r="D163" s="217"/>
      <c r="E163" s="218"/>
      <c r="F163" s="218"/>
      <c r="G163" s="219"/>
    </row>
    <row r="164" spans="1:7" x14ac:dyDescent="0.2">
      <c r="A164" s="97"/>
      <c r="B164" s="94"/>
      <c r="C164" s="217"/>
      <c r="D164" s="217"/>
      <c r="E164" s="218"/>
      <c r="F164" s="218"/>
      <c r="G164" s="219"/>
    </row>
    <row r="165" spans="1:7" x14ac:dyDescent="0.2">
      <c r="A165" s="97"/>
      <c r="B165" s="94"/>
      <c r="C165" s="217"/>
      <c r="D165" s="217"/>
      <c r="E165" s="218"/>
      <c r="F165" s="218"/>
      <c r="G165" s="219"/>
    </row>
    <row r="166" spans="1:7" x14ac:dyDescent="0.2">
      <c r="A166" s="97"/>
      <c r="B166" s="94"/>
      <c r="C166" s="217"/>
      <c r="D166" s="217"/>
      <c r="E166" s="218"/>
      <c r="F166" s="218"/>
      <c r="G166" s="219"/>
    </row>
    <row r="167" spans="1:7" x14ac:dyDescent="0.2">
      <c r="A167" s="97"/>
      <c r="B167" s="94"/>
      <c r="C167" s="217"/>
      <c r="D167" s="217"/>
      <c r="E167" s="218"/>
      <c r="F167" s="218"/>
      <c r="G167" s="219"/>
    </row>
    <row r="168" spans="1:7" x14ac:dyDescent="0.2">
      <c r="A168" s="97"/>
      <c r="B168" s="94"/>
      <c r="C168" s="217"/>
      <c r="D168" s="217"/>
      <c r="E168" s="218"/>
      <c r="F168" s="218"/>
      <c r="G168" s="219"/>
    </row>
    <row r="169" spans="1:7" x14ac:dyDescent="0.2">
      <c r="A169" s="97"/>
      <c r="B169" s="94"/>
      <c r="C169" s="217"/>
      <c r="D169" s="217"/>
      <c r="E169" s="218"/>
      <c r="F169" s="218"/>
      <c r="G169" s="219"/>
    </row>
    <row r="170" spans="1:7" x14ac:dyDescent="0.2">
      <c r="A170" s="97"/>
      <c r="B170" s="94"/>
      <c r="C170" s="217"/>
      <c r="D170" s="217"/>
      <c r="E170" s="218"/>
      <c r="F170" s="218"/>
      <c r="G170" s="219"/>
    </row>
    <row r="171" spans="1:7" x14ac:dyDescent="0.2">
      <c r="A171" s="97"/>
      <c r="B171" s="94"/>
      <c r="C171" s="217"/>
      <c r="D171" s="217"/>
      <c r="E171" s="218"/>
      <c r="F171" s="218"/>
      <c r="G171" s="219"/>
    </row>
    <row r="172" spans="1:7" x14ac:dyDescent="0.2">
      <c r="A172" s="97"/>
      <c r="B172" s="94"/>
      <c r="C172" s="217"/>
      <c r="D172" s="217"/>
      <c r="E172" s="218"/>
      <c r="F172" s="218"/>
      <c r="G172" s="219"/>
    </row>
  </sheetData>
  <phoneticPr fontId="3" type="noConversion"/>
  <pageMargins left="0.74803149606299213" right="0.74803149606299213" top="0.98425196850393704" bottom="0.98425196850393704" header="0.51181102362204722" footer="0.51181102362204722"/>
  <pageSetup paperSize="9" scale="91" fitToHeight="0" orientation="portrait" r:id="rId1"/>
  <headerFooter>
    <oddFooter>&amp;R&amp;A</oddFooter>
  </headerFooter>
  <rowBreaks count="1" manualBreakCount="1">
    <brk id="124"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zoomScaleNormal="100" workbookViewId="0">
      <selection sqref="A1:E1"/>
    </sheetView>
  </sheetViews>
  <sheetFormatPr baseColWidth="10" defaultColWidth="11" defaultRowHeight="12" x14ac:dyDescent="0.2"/>
  <cols>
    <col min="1" max="1" width="12.5" style="221" customWidth="1"/>
    <col min="2" max="3" width="10.125" style="221" customWidth="1"/>
    <col min="4" max="4" width="3.75" style="221" customWidth="1"/>
    <col min="5" max="5" width="12.5" style="221" customWidth="1"/>
    <col min="6" max="7" width="10.125" style="221" customWidth="1"/>
    <col min="8" max="8" width="3.75" style="221" customWidth="1"/>
    <col min="9" max="9" width="12.5" style="221" customWidth="1"/>
    <col min="10" max="11" width="10.125" style="221" customWidth="1"/>
    <col min="12" max="16384" width="11" style="221"/>
  </cols>
  <sheetData>
    <row r="1" spans="1:11" x14ac:dyDescent="0.2">
      <c r="A1" s="220" t="s">
        <v>939</v>
      </c>
      <c r="C1" s="222"/>
      <c r="F1" s="17"/>
    </row>
    <row r="2" spans="1:11" x14ac:dyDescent="0.2">
      <c r="A2" s="220"/>
      <c r="C2" s="222"/>
      <c r="F2" s="347"/>
    </row>
    <row r="3" spans="1:11" ht="12.75" x14ac:dyDescent="0.2">
      <c r="A3" s="589" t="s">
        <v>245</v>
      </c>
      <c r="B3"/>
      <c r="C3"/>
      <c r="D3"/>
      <c r="E3" s="589" t="s">
        <v>167</v>
      </c>
      <c r="F3"/>
      <c r="G3"/>
      <c r="I3" s="589" t="s">
        <v>52</v>
      </c>
      <c r="J3"/>
      <c r="K3"/>
    </row>
    <row r="4" spans="1:11" ht="12.75" x14ac:dyDescent="0.2">
      <c r="A4"/>
      <c r="B4"/>
      <c r="C4"/>
      <c r="D4"/>
      <c r="E4"/>
      <c r="F4"/>
      <c r="G4"/>
      <c r="I4"/>
      <c r="J4"/>
      <c r="K4"/>
    </row>
    <row r="5" spans="1:11" ht="13.5" thickBot="1" x14ac:dyDescent="0.25">
      <c r="A5" s="579" t="s">
        <v>1013</v>
      </c>
      <c r="B5" s="590" t="s">
        <v>1012</v>
      </c>
      <c r="C5" s="590" t="s">
        <v>1010</v>
      </c>
      <c r="D5"/>
      <c r="E5" s="579" t="s">
        <v>1013</v>
      </c>
      <c r="F5" s="590" t="s">
        <v>1012</v>
      </c>
      <c r="G5" s="590" t="s">
        <v>1010</v>
      </c>
      <c r="I5" s="579" t="s">
        <v>1013</v>
      </c>
      <c r="J5" s="590" t="s">
        <v>1012</v>
      </c>
      <c r="K5" s="590" t="s">
        <v>1010</v>
      </c>
    </row>
    <row r="6" spans="1:11" ht="14.1" customHeight="1" thickTop="1" x14ac:dyDescent="0.2">
      <c r="A6" s="674">
        <v>2007</v>
      </c>
      <c r="B6" s="592">
        <v>7.9000000000000025E-3</v>
      </c>
      <c r="C6" s="592">
        <v>4.1333333333333335E-3</v>
      </c>
      <c r="D6" s="593"/>
      <c r="E6" s="674">
        <v>2007</v>
      </c>
      <c r="F6" s="592">
        <v>3.9225000000000003E-2</v>
      </c>
      <c r="G6" s="592">
        <v>2.2608333333333331E-2</v>
      </c>
      <c r="I6" s="674">
        <v>2007</v>
      </c>
      <c r="J6" s="592">
        <v>2.9275000000000006E-2</v>
      </c>
      <c r="K6" s="592">
        <v>1.675833333333333E-2</v>
      </c>
    </row>
    <row r="7" spans="1:11" ht="14.1" customHeight="1" x14ac:dyDescent="0.2">
      <c r="A7" s="674">
        <v>2008</v>
      </c>
      <c r="B7" s="592">
        <v>7.9250000000000015E-3</v>
      </c>
      <c r="C7" s="592">
        <v>4.0499999999999998E-3</v>
      </c>
      <c r="D7" s="593"/>
      <c r="E7" s="674">
        <v>2008</v>
      </c>
      <c r="F7" s="592">
        <v>3.6441666666666664E-2</v>
      </c>
      <c r="G7" s="592">
        <v>1.9958333333333331E-2</v>
      </c>
      <c r="I7" s="674">
        <v>2008</v>
      </c>
      <c r="J7" s="592">
        <v>2.9149999999999995E-2</v>
      </c>
      <c r="K7" s="592">
        <v>1.7824999999999997E-2</v>
      </c>
    </row>
    <row r="8" spans="1:11" ht="14.1" customHeight="1" x14ac:dyDescent="0.2">
      <c r="A8" s="674">
        <v>2009</v>
      </c>
      <c r="B8" s="592">
        <v>8.7666666666666657E-3</v>
      </c>
      <c r="C8" s="592">
        <v>4.3E-3</v>
      </c>
      <c r="D8" s="593"/>
      <c r="E8" s="674">
        <v>2009</v>
      </c>
      <c r="F8" s="592">
        <v>3.9050000000000001E-2</v>
      </c>
      <c r="G8" s="592">
        <v>2.5816666666666665E-2</v>
      </c>
      <c r="I8" s="674">
        <v>2009</v>
      </c>
      <c r="J8" s="592">
        <v>2.985833333333333E-2</v>
      </c>
      <c r="K8" s="592">
        <v>2.8208333333333332E-2</v>
      </c>
    </row>
    <row r="9" spans="1:11" ht="14.1" customHeight="1" x14ac:dyDescent="0.2">
      <c r="A9" s="674">
        <v>2010</v>
      </c>
      <c r="B9" s="592">
        <v>1.0741666666666665E-2</v>
      </c>
      <c r="C9" s="592">
        <v>4.1583333333333333E-3</v>
      </c>
      <c r="D9" s="593"/>
      <c r="E9" s="674">
        <v>2010</v>
      </c>
      <c r="F9" s="592">
        <v>4.2916666666666665E-2</v>
      </c>
      <c r="G9" s="592">
        <v>2.6633333333333332E-2</v>
      </c>
      <c r="I9" s="674">
        <v>2010</v>
      </c>
      <c r="J9" s="592">
        <v>3.3791666666666664E-2</v>
      </c>
      <c r="K9" s="592">
        <v>2.7066666666666659E-2</v>
      </c>
    </row>
    <row r="10" spans="1:11" ht="14.1" customHeight="1" x14ac:dyDescent="0.2">
      <c r="A10" s="674">
        <v>2011</v>
      </c>
      <c r="B10" s="592">
        <v>1.0491666666666668E-2</v>
      </c>
      <c r="C10" s="592">
        <v>3.2166666666666667E-3</v>
      </c>
      <c r="D10" s="593"/>
      <c r="E10" s="674">
        <v>2011</v>
      </c>
      <c r="F10" s="592">
        <v>3.7841666666666669E-2</v>
      </c>
      <c r="G10" s="592">
        <v>1.9066666666666666E-2</v>
      </c>
      <c r="I10" s="674">
        <v>2011</v>
      </c>
      <c r="J10" s="592">
        <v>3.6466666666666668E-2</v>
      </c>
      <c r="K10" s="592">
        <v>2.4041666666666666E-2</v>
      </c>
    </row>
    <row r="11" spans="1:11" ht="14.1" customHeight="1" x14ac:dyDescent="0.2">
      <c r="A11" s="674">
        <v>2012</v>
      </c>
      <c r="B11" s="592">
        <v>9.6333333333333323E-3</v>
      </c>
      <c r="C11" s="592">
        <v>2.6083333333333327E-3</v>
      </c>
      <c r="D11" s="593"/>
      <c r="E11" s="674">
        <v>2012</v>
      </c>
      <c r="F11" s="592">
        <v>3.3816666666666668E-2</v>
      </c>
      <c r="G11" s="592">
        <v>1.4341666666666667E-2</v>
      </c>
      <c r="I11" s="674">
        <v>2012</v>
      </c>
      <c r="J11" s="592">
        <v>3.4374999999999996E-2</v>
      </c>
      <c r="K11" s="592">
        <v>1.9041666666666669E-2</v>
      </c>
    </row>
    <row r="12" spans="1:11" ht="14.1" customHeight="1" x14ac:dyDescent="0.2">
      <c r="A12" s="674">
        <v>2013</v>
      </c>
      <c r="B12" s="592">
        <v>9.4083333333333345E-3</v>
      </c>
      <c r="C12" s="592">
        <v>2.3833333333333332E-3</v>
      </c>
      <c r="D12" s="593"/>
      <c r="E12" s="674">
        <v>2013</v>
      </c>
      <c r="F12" s="592">
        <v>3.1174999999999998E-2</v>
      </c>
      <c r="G12" s="592">
        <v>1.5675000000000005E-2</v>
      </c>
      <c r="I12" s="674">
        <v>2013</v>
      </c>
      <c r="J12" s="592">
        <v>3.3183333333333336E-2</v>
      </c>
      <c r="K12" s="592">
        <v>2.0874999999999994E-2</v>
      </c>
    </row>
    <row r="13" spans="1:11" ht="14.1" customHeight="1" x14ac:dyDescent="0.2">
      <c r="A13" s="674">
        <v>2014</v>
      </c>
      <c r="B13" s="592">
        <v>9.2750000000000003E-3</v>
      </c>
      <c r="C13" s="592">
        <v>2.3583333333333334E-3</v>
      </c>
      <c r="D13" s="593"/>
      <c r="E13" s="674">
        <v>2014</v>
      </c>
      <c r="F13" s="592">
        <v>3.0108333333333334E-2</v>
      </c>
      <c r="G13" s="592">
        <v>1.5316666666666666E-2</v>
      </c>
      <c r="I13" s="674">
        <v>2014</v>
      </c>
      <c r="J13" s="592">
        <v>3.2199999999999999E-2</v>
      </c>
      <c r="K13" s="592">
        <v>2.1158333333333335E-2</v>
      </c>
    </row>
    <row r="14" spans="1:11" ht="14.1" customHeight="1" x14ac:dyDescent="0.2">
      <c r="A14" s="674">
        <v>2015</v>
      </c>
      <c r="B14" s="592">
        <v>9.166666666666665E-3</v>
      </c>
      <c r="C14" s="592">
        <v>2.4083333333333331E-3</v>
      </c>
      <c r="D14" s="593"/>
      <c r="E14" s="674">
        <v>2015</v>
      </c>
      <c r="F14" s="592">
        <v>2.7591666666666667E-2</v>
      </c>
      <c r="G14" s="592">
        <v>1.3183333333333332E-2</v>
      </c>
      <c r="I14" s="674">
        <v>2015</v>
      </c>
      <c r="J14" s="592">
        <v>3.1041666666666665E-2</v>
      </c>
      <c r="K14" s="592">
        <v>1.9775000000000001E-2</v>
      </c>
    </row>
    <row r="15" spans="1:11" ht="14.1" customHeight="1" x14ac:dyDescent="0.2">
      <c r="A15" s="674">
        <v>2016</v>
      </c>
      <c r="B15" s="592">
        <v>8.3000000000000001E-3</v>
      </c>
      <c r="C15" s="592">
        <v>1.7500000000000005E-3</v>
      </c>
      <c r="D15" s="593"/>
      <c r="E15" s="674">
        <v>2016</v>
      </c>
      <c r="F15" s="592">
        <v>2.3908333333333334E-2</v>
      </c>
      <c r="G15" s="592">
        <v>8.4250000000000019E-3</v>
      </c>
      <c r="I15" s="674">
        <v>2016</v>
      </c>
      <c r="J15" s="592">
        <v>2.9966666666666666E-2</v>
      </c>
      <c r="K15" s="592">
        <v>1.7258333333333334E-2</v>
      </c>
    </row>
    <row r="16" spans="1:11" ht="14.1" customHeight="1" x14ac:dyDescent="0.2">
      <c r="A16" s="674">
        <v>2017</v>
      </c>
      <c r="B16" s="592">
        <v>8.0000000000000002E-3</v>
      </c>
      <c r="C16" s="592">
        <v>2.0999999999999999E-3</v>
      </c>
      <c r="D16" s="593"/>
      <c r="E16" s="674">
        <v>2017</v>
      </c>
      <c r="F16" s="592">
        <v>2.1841666666666665E-2</v>
      </c>
      <c r="G16" s="592">
        <v>1.0141666666666665E-2</v>
      </c>
      <c r="I16" s="674">
        <v>2017</v>
      </c>
      <c r="J16" s="592">
        <v>2.900833333333333E-2</v>
      </c>
      <c r="K16" s="592">
        <v>1.8008333333333331E-2</v>
      </c>
    </row>
    <row r="17" spans="1:11" s="220" customFormat="1" ht="14.1" customHeight="1" x14ac:dyDescent="0.2">
      <c r="A17" s="594" t="s">
        <v>1011</v>
      </c>
      <c r="B17" s="595">
        <v>9.0553030303030281E-3</v>
      </c>
      <c r="C17" s="595">
        <v>3.0424242424242453E-3</v>
      </c>
      <c r="D17" s="596"/>
      <c r="E17" s="594" t="s">
        <v>1011</v>
      </c>
      <c r="F17" s="595">
        <v>3.3083333333333347E-2</v>
      </c>
      <c r="G17" s="595">
        <v>1.7378787878787872E-2</v>
      </c>
      <c r="I17" s="594" t="s">
        <v>1011</v>
      </c>
      <c r="J17" s="595">
        <v>3.1665151515151514E-2</v>
      </c>
      <c r="K17" s="595">
        <v>2.0910606060606067E-2</v>
      </c>
    </row>
    <row r="18" spans="1:11" x14ac:dyDescent="0.2">
      <c r="A18" s="220"/>
      <c r="C18" s="222"/>
      <c r="F18" s="347"/>
    </row>
    <row r="19" spans="1:11" x14ac:dyDescent="0.2">
      <c r="A19" s="220"/>
      <c r="C19" s="222"/>
      <c r="F19" s="347"/>
    </row>
    <row r="20" spans="1:11" x14ac:dyDescent="0.2">
      <c r="A20" s="220"/>
      <c r="C20" s="222"/>
      <c r="F20" s="347"/>
    </row>
    <row r="21" spans="1:11" x14ac:dyDescent="0.2">
      <c r="A21" s="220" t="s">
        <v>394</v>
      </c>
      <c r="C21" s="222"/>
      <c r="F21" s="347"/>
    </row>
    <row r="22" spans="1:11" x14ac:dyDescent="0.2">
      <c r="F22" s="17"/>
    </row>
    <row r="23" spans="1:11" ht="12.75" x14ac:dyDescent="0.2">
      <c r="A23" s="589" t="s">
        <v>245</v>
      </c>
      <c r="B23"/>
      <c r="C23"/>
      <c r="D23"/>
      <c r="E23" s="589" t="s">
        <v>167</v>
      </c>
      <c r="F23"/>
      <c r="G23"/>
      <c r="I23" s="589" t="s">
        <v>52</v>
      </c>
      <c r="J23"/>
      <c r="K23"/>
    </row>
    <row r="24" spans="1:11" ht="12.75" x14ac:dyDescent="0.2">
      <c r="A24"/>
      <c r="B24"/>
      <c r="C24"/>
      <c r="D24"/>
      <c r="E24"/>
      <c r="F24"/>
      <c r="G24"/>
      <c r="I24"/>
      <c r="J24"/>
      <c r="K24"/>
    </row>
    <row r="25" spans="1:11" ht="13.5" thickBot="1" x14ac:dyDescent="0.25">
      <c r="A25" s="579" t="s">
        <v>1013</v>
      </c>
      <c r="B25" s="590" t="s">
        <v>1012</v>
      </c>
      <c r="C25" s="590" t="s">
        <v>1010</v>
      </c>
      <c r="D25"/>
      <c r="E25" s="579" t="s">
        <v>1013</v>
      </c>
      <c r="F25" s="590" t="s">
        <v>1012</v>
      </c>
      <c r="G25" s="590" t="s">
        <v>1010</v>
      </c>
      <c r="I25" s="579" t="s">
        <v>1013</v>
      </c>
      <c r="J25" s="590" t="s">
        <v>1012</v>
      </c>
      <c r="K25" s="590" t="s">
        <v>1010</v>
      </c>
    </row>
    <row r="26" spans="1:11" ht="14.1" customHeight="1" thickTop="1" x14ac:dyDescent="0.2">
      <c r="A26" s="591">
        <v>2007</v>
      </c>
      <c r="B26" s="592">
        <v>9.4333333333333335E-3</v>
      </c>
      <c r="C26" s="592">
        <v>4.9249999999999997E-3</v>
      </c>
      <c r="D26" s="593"/>
      <c r="E26" s="591">
        <v>2007</v>
      </c>
      <c r="F26" s="592">
        <v>3.4416666666666665E-2</v>
      </c>
      <c r="G26" s="592">
        <v>1.6366666666666668E-2</v>
      </c>
      <c r="I26" s="591">
        <v>2007</v>
      </c>
      <c r="J26" s="592">
        <v>2.2991666666666664E-2</v>
      </c>
      <c r="K26" s="592">
        <v>1.7841666666666669E-2</v>
      </c>
    </row>
    <row r="27" spans="1:11" ht="14.1" customHeight="1" x14ac:dyDescent="0.2">
      <c r="A27" s="591">
        <v>2008</v>
      </c>
      <c r="B27" s="592">
        <v>9.3833333333333338E-3</v>
      </c>
      <c r="C27" s="592">
        <v>5.3750000000000004E-3</v>
      </c>
      <c r="D27" s="593"/>
      <c r="E27" s="591">
        <v>2008</v>
      </c>
      <c r="F27" s="592">
        <v>3.1049999999999994E-2</v>
      </c>
      <c r="G27" s="592">
        <v>9.5000000000000015E-3</v>
      </c>
      <c r="I27" s="591">
        <v>2008</v>
      </c>
      <c r="J27" s="592">
        <v>2.6008333333333338E-2</v>
      </c>
      <c r="K27" s="592">
        <v>2.7275000000000004E-2</v>
      </c>
    </row>
    <row r="28" spans="1:11" ht="14.1" customHeight="1" x14ac:dyDescent="0.2">
      <c r="A28" s="591">
        <v>2009</v>
      </c>
      <c r="B28" s="592">
        <v>1.0791666666666666E-2</v>
      </c>
      <c r="C28" s="592">
        <v>6.1166666666666661E-3</v>
      </c>
      <c r="D28" s="593"/>
      <c r="E28" s="591">
        <v>2009</v>
      </c>
      <c r="F28" s="592">
        <v>3.5716666666666667E-2</v>
      </c>
      <c r="G28" s="592">
        <v>3.9016666666666665E-2</v>
      </c>
      <c r="I28" s="591">
        <v>2009</v>
      </c>
      <c r="J28" s="592">
        <v>2.6624999999999999E-2</v>
      </c>
      <c r="K28" s="592">
        <v>3.4333333333333334E-2</v>
      </c>
    </row>
    <row r="29" spans="1:11" ht="14.1" customHeight="1" x14ac:dyDescent="0.2">
      <c r="A29" s="591">
        <v>2010</v>
      </c>
      <c r="B29" s="592">
        <v>1.3066666666666666E-2</v>
      </c>
      <c r="C29" s="592">
        <v>6.0666666666666655E-3</v>
      </c>
      <c r="D29" s="593"/>
      <c r="E29" s="591">
        <v>2010</v>
      </c>
      <c r="F29" s="592">
        <v>4.1033333333333331E-2</v>
      </c>
      <c r="G29" s="592">
        <v>1.2724999999999995E-2</v>
      </c>
      <c r="I29" s="591">
        <v>2010</v>
      </c>
      <c r="J29" s="592">
        <v>2.9141666666666666E-2</v>
      </c>
      <c r="K29" s="592">
        <v>1.3975000000000001E-2</v>
      </c>
    </row>
    <row r="30" spans="1:11" ht="14.1" customHeight="1" x14ac:dyDescent="0.2">
      <c r="A30" s="591">
        <v>2011</v>
      </c>
      <c r="B30" s="592">
        <v>1.2716666666666668E-2</v>
      </c>
      <c r="C30" s="592">
        <v>4.783333333333333E-3</v>
      </c>
      <c r="D30" s="593"/>
      <c r="E30" s="591">
        <v>2011</v>
      </c>
      <c r="F30" s="592">
        <v>4.0875000000000002E-2</v>
      </c>
      <c r="G30" s="592">
        <v>1.1108333333333331E-2</v>
      </c>
      <c r="I30" s="591">
        <v>2011</v>
      </c>
      <c r="J30" s="592">
        <v>2.9383333333333334E-2</v>
      </c>
      <c r="K30" s="592">
        <v>1.2541666666666665E-2</v>
      </c>
    </row>
    <row r="31" spans="1:11" ht="14.1" customHeight="1" x14ac:dyDescent="0.2">
      <c r="A31" s="591">
        <v>2012</v>
      </c>
      <c r="B31" s="592">
        <v>1.1274999999999999E-2</v>
      </c>
      <c r="C31" s="592">
        <v>3.8083333333333333E-3</v>
      </c>
      <c r="D31" s="593"/>
      <c r="E31" s="591">
        <v>2012</v>
      </c>
      <c r="F31" s="592">
        <v>3.7175000000000007E-2</v>
      </c>
      <c r="G31" s="592">
        <v>9.6333333333333323E-3</v>
      </c>
      <c r="I31" s="591">
        <v>2012</v>
      </c>
      <c r="J31" s="592">
        <v>2.6458333333333337E-2</v>
      </c>
      <c r="K31" s="592">
        <v>1.7124999999999998E-2</v>
      </c>
    </row>
    <row r="32" spans="1:11" ht="14.1" customHeight="1" x14ac:dyDescent="0.2">
      <c r="A32" s="591">
        <v>2013</v>
      </c>
      <c r="B32" s="592">
        <v>1.0791666666666666E-2</v>
      </c>
      <c r="C32" s="592">
        <v>2.8333333333333331E-3</v>
      </c>
      <c r="D32" s="593"/>
      <c r="E32" s="591">
        <v>2013</v>
      </c>
      <c r="F32" s="592">
        <v>3.4141666666666674E-2</v>
      </c>
      <c r="G32" s="592">
        <v>7.9583333333333329E-3</v>
      </c>
      <c r="I32" s="591">
        <v>2013</v>
      </c>
      <c r="J32" s="592">
        <v>2.6275000000000003E-2</v>
      </c>
      <c r="K32" s="592">
        <v>1.2783333333333334E-2</v>
      </c>
    </row>
    <row r="33" spans="1:11" ht="14.1" customHeight="1" x14ac:dyDescent="0.2">
      <c r="A33" s="591">
        <v>2014</v>
      </c>
      <c r="B33" s="592">
        <v>1.0758333333333333E-2</v>
      </c>
      <c r="C33" s="592">
        <v>3.7500000000000012E-3</v>
      </c>
      <c r="D33" s="593"/>
      <c r="E33" s="591">
        <v>2014</v>
      </c>
      <c r="F33" s="592">
        <v>3.3774999999999993E-2</v>
      </c>
      <c r="G33" s="592">
        <v>1.2191666666666668E-2</v>
      </c>
      <c r="I33" s="591">
        <v>2014</v>
      </c>
      <c r="J33" s="592">
        <v>2.3833333333333331E-2</v>
      </c>
      <c r="K33" s="592">
        <v>1.7441666666666664E-2</v>
      </c>
    </row>
    <row r="34" spans="1:11" ht="14.1" customHeight="1" x14ac:dyDescent="0.2">
      <c r="A34" s="591">
        <v>2015</v>
      </c>
      <c r="B34" s="592">
        <v>1.0666666666666666E-2</v>
      </c>
      <c r="C34" s="592">
        <v>2.725E-3</v>
      </c>
      <c r="D34" s="593"/>
      <c r="E34" s="591">
        <v>2015</v>
      </c>
      <c r="F34" s="592">
        <v>2.9149999999999995E-2</v>
      </c>
      <c r="G34" s="592">
        <v>1.0116666666666668E-2</v>
      </c>
      <c r="I34" s="591">
        <v>2015</v>
      </c>
      <c r="J34" s="592">
        <v>2.2000000000000002E-2</v>
      </c>
      <c r="K34" s="592">
        <v>8.2083333333333331E-3</v>
      </c>
    </row>
    <row r="35" spans="1:11" ht="14.1" customHeight="1" x14ac:dyDescent="0.2">
      <c r="A35" s="591">
        <v>2016</v>
      </c>
      <c r="B35" s="592">
        <v>9.4083333333333328E-3</v>
      </c>
      <c r="C35" s="592">
        <v>2.4166666666666672E-3</v>
      </c>
      <c r="D35" s="593"/>
      <c r="E35" s="591">
        <v>2016</v>
      </c>
      <c r="F35" s="592">
        <v>2.8891666666666663E-2</v>
      </c>
      <c r="G35" s="592">
        <v>4.6749999999999995E-3</v>
      </c>
      <c r="I35" s="591">
        <v>2016</v>
      </c>
      <c r="J35" s="592">
        <v>2.0858333333333336E-2</v>
      </c>
      <c r="K35" s="592">
        <v>1.6375000000000001E-2</v>
      </c>
    </row>
    <row r="36" spans="1:11" ht="14.1" customHeight="1" x14ac:dyDescent="0.2">
      <c r="A36" s="591">
        <v>2017</v>
      </c>
      <c r="B36" s="592">
        <v>8.9333333333333331E-3</v>
      </c>
      <c r="C36" s="592">
        <v>2.2000000000000001E-3</v>
      </c>
      <c r="D36" s="593"/>
      <c r="E36" s="591">
        <v>2017</v>
      </c>
      <c r="F36" s="592">
        <v>2.6566666666666669E-2</v>
      </c>
      <c r="G36" s="592">
        <v>1.0391666666666665E-2</v>
      </c>
      <c r="I36" s="591">
        <v>2017</v>
      </c>
      <c r="J36" s="592">
        <v>2.1150000000000002E-2</v>
      </c>
      <c r="K36" s="592">
        <v>1.4566666666666665E-2</v>
      </c>
    </row>
    <row r="37" spans="1:11" s="220" customFormat="1" ht="14.1" customHeight="1" x14ac:dyDescent="0.2">
      <c r="A37" s="594" t="s">
        <v>1011</v>
      </c>
      <c r="B37" s="595">
        <v>1.0656818181818177E-2</v>
      </c>
      <c r="C37" s="595">
        <v>4.0909090909090886E-3</v>
      </c>
      <c r="D37" s="596"/>
      <c r="E37" s="594" t="s">
        <v>1011</v>
      </c>
      <c r="F37" s="595">
        <v>3.3890151515151512E-2</v>
      </c>
      <c r="G37" s="595">
        <v>1.3062121212121211E-2</v>
      </c>
      <c r="I37" s="594" t="s">
        <v>1011</v>
      </c>
      <c r="J37" s="595">
        <v>2.4975000000000004E-2</v>
      </c>
      <c r="K37" s="595">
        <v>1.7496969696969698E-2</v>
      </c>
    </row>
  </sheetData>
  <pageMargins left="0.78740157480314965" right="0.78740157480314965" top="0.98425196850393704" bottom="0.98425196850393704" header="0.51181102362204722" footer="0.51181102362204722"/>
  <pageSetup paperSize="9" orientation="portrait" r:id="rId1"/>
  <headerFooter>
    <oddFooter>&amp;R&amp;A</oddFooter>
  </headerFooter>
  <rowBreaks count="1" manualBreakCount="1">
    <brk id="43" max="16383" man="1"/>
  </rowBreaks>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zoomScaleNormal="100" workbookViewId="0">
      <selection sqref="A1:E1"/>
    </sheetView>
  </sheetViews>
  <sheetFormatPr baseColWidth="10" defaultColWidth="11" defaultRowHeight="12" x14ac:dyDescent="0.2"/>
  <cols>
    <col min="1" max="1" width="31.375" style="221" bestFit="1" customWidth="1"/>
    <col min="2" max="5" width="14.875" style="221" customWidth="1"/>
    <col min="6" max="16384" width="11" style="221"/>
  </cols>
  <sheetData>
    <row r="1" spans="1:5" x14ac:dyDescent="0.2">
      <c r="A1" s="220" t="s">
        <v>1014</v>
      </c>
      <c r="B1" s="222"/>
      <c r="C1" s="222"/>
    </row>
    <row r="3" spans="1:5" ht="12.75" customHeight="1" x14ac:dyDescent="0.2">
      <c r="A3" s="223"/>
      <c r="B3" s="398"/>
      <c r="C3" s="224"/>
      <c r="D3" s="224"/>
    </row>
    <row r="4" spans="1:5" ht="12" customHeight="1" x14ac:dyDescent="0.2">
      <c r="A4" s="399"/>
      <c r="B4" s="400" t="s">
        <v>327</v>
      </c>
      <c r="C4" s="400" t="s">
        <v>328</v>
      </c>
      <c r="D4" s="400" t="s">
        <v>329</v>
      </c>
      <c r="E4" s="400" t="s">
        <v>330</v>
      </c>
    </row>
    <row r="5" spans="1:5" ht="12.75" thickBot="1" x14ac:dyDescent="0.25">
      <c r="A5" s="401" t="s">
        <v>245</v>
      </c>
      <c r="B5" s="401">
        <v>2017</v>
      </c>
      <c r="C5" s="402">
        <v>2017</v>
      </c>
      <c r="D5" s="402" t="s">
        <v>1100</v>
      </c>
      <c r="E5" s="402" t="s">
        <v>1100</v>
      </c>
    </row>
    <row r="6" spans="1:5" ht="14.1" customHeight="1" thickTop="1" x14ac:dyDescent="0.2">
      <c r="A6" s="403" t="s">
        <v>197</v>
      </c>
      <c r="B6" s="405">
        <v>0</v>
      </c>
      <c r="C6" s="406">
        <v>0</v>
      </c>
      <c r="D6" s="405">
        <v>0</v>
      </c>
      <c r="E6" s="406">
        <v>0</v>
      </c>
    </row>
    <row r="7" spans="1:5" ht="14.1" customHeight="1" x14ac:dyDescent="0.2">
      <c r="A7" s="403" t="s">
        <v>198</v>
      </c>
      <c r="B7" s="597">
        <v>2.0083333333333338E-3</v>
      </c>
      <c r="C7" s="597">
        <v>4.1666666666666665E-5</v>
      </c>
      <c r="D7" s="597">
        <v>2.0742424242424216E-3</v>
      </c>
      <c r="E7" s="597">
        <v>1.9242424242424204E-4</v>
      </c>
    </row>
    <row r="8" spans="1:5" ht="14.1" customHeight="1" x14ac:dyDescent="0.2">
      <c r="A8" s="404" t="s">
        <v>199</v>
      </c>
      <c r="B8" s="597">
        <v>3.5999999999999995E-3</v>
      </c>
      <c r="C8" s="597">
        <v>1E-4</v>
      </c>
      <c r="D8" s="597">
        <v>3.5999999999999951E-3</v>
      </c>
      <c r="E8" s="597">
        <v>6.5833333333333325E-4</v>
      </c>
    </row>
    <row r="9" spans="1:5" ht="14.1" customHeight="1" x14ac:dyDescent="0.2">
      <c r="A9" s="404" t="s">
        <v>200</v>
      </c>
      <c r="B9" s="597">
        <v>6.1000000000000004E-3</v>
      </c>
      <c r="C9" s="597">
        <v>1.75E-4</v>
      </c>
      <c r="D9" s="597">
        <v>6.1272727272727191E-3</v>
      </c>
      <c r="E9" s="597">
        <v>1.0916666666666672E-3</v>
      </c>
    </row>
    <row r="10" spans="1:5" ht="14.1" customHeight="1" x14ac:dyDescent="0.2">
      <c r="A10" s="403" t="s">
        <v>201</v>
      </c>
      <c r="B10" s="597">
        <v>9.4000000000000021E-3</v>
      </c>
      <c r="C10" s="597">
        <v>1.1083333333333333E-3</v>
      </c>
      <c r="D10" s="597">
        <v>9.5053030303030427E-3</v>
      </c>
      <c r="E10" s="597">
        <v>2.4681818181818186E-3</v>
      </c>
    </row>
    <row r="11" spans="1:5" ht="14.1" customHeight="1" x14ac:dyDescent="0.2">
      <c r="A11" s="404" t="s">
        <v>202</v>
      </c>
      <c r="B11" s="597">
        <v>1.6424999999999999E-2</v>
      </c>
      <c r="C11" s="597">
        <v>3.2499999999999999E-3</v>
      </c>
      <c r="D11" s="597">
        <v>1.6730303030303015E-2</v>
      </c>
      <c r="E11" s="597">
        <v>5.7681818181818147E-3</v>
      </c>
    </row>
    <row r="12" spans="1:5" ht="14.1" customHeight="1" x14ac:dyDescent="0.2">
      <c r="A12" s="404" t="s">
        <v>203</v>
      </c>
      <c r="B12" s="407">
        <v>3.5166666666666672E-2</v>
      </c>
      <c r="C12" s="597">
        <v>1.3258333333333332E-2</v>
      </c>
      <c r="D12" s="597">
        <v>3.4853030303030309E-2</v>
      </c>
      <c r="E12" s="597">
        <v>1.4247727272727273E-2</v>
      </c>
    </row>
    <row r="13" spans="1:5" ht="14.1" customHeight="1" x14ac:dyDescent="0.2">
      <c r="A13" s="403" t="s">
        <v>204</v>
      </c>
      <c r="B13" s="597">
        <v>7.0900000000000005E-2</v>
      </c>
      <c r="C13" s="597">
        <v>2.6483333333333331E-2</v>
      </c>
      <c r="D13" s="597">
        <v>7.0074999999999957E-2</v>
      </c>
      <c r="E13" s="597">
        <v>3.0462121212121204E-2</v>
      </c>
    </row>
    <row r="14" spans="1:5" ht="14.1" customHeight="1" x14ac:dyDescent="0.2">
      <c r="A14" s="404" t="s">
        <v>205</v>
      </c>
      <c r="B14" s="597">
        <v>0.22897499999999996</v>
      </c>
      <c r="C14" s="597">
        <v>0.121575</v>
      </c>
      <c r="D14" s="597">
        <v>0.22015606060606066</v>
      </c>
      <c r="E14" s="597">
        <v>0.10665075757575759</v>
      </c>
    </row>
    <row r="15" spans="1:5" ht="14.1" customHeight="1" x14ac:dyDescent="0.2">
      <c r="A15" s="549" t="s">
        <v>940</v>
      </c>
      <c r="B15" s="550">
        <v>8.0000000000000002E-3</v>
      </c>
      <c r="C15" s="551">
        <v>2.0999999999999999E-3</v>
      </c>
      <c r="D15" s="552">
        <v>9.0553030303030281E-3</v>
      </c>
      <c r="E15" s="552">
        <v>3.0424242424242453E-3</v>
      </c>
    </row>
    <row r="18" spans="1:5" x14ac:dyDescent="0.2">
      <c r="B18" s="400" t="s">
        <v>331</v>
      </c>
      <c r="C18" s="400" t="s">
        <v>332</v>
      </c>
      <c r="D18" s="400" t="s">
        <v>333</v>
      </c>
      <c r="E18" s="400" t="s">
        <v>334</v>
      </c>
    </row>
    <row r="19" spans="1:5" ht="12.75" thickBot="1" x14ac:dyDescent="0.25">
      <c r="A19" s="401" t="s">
        <v>335</v>
      </c>
      <c r="B19" s="401">
        <v>2017</v>
      </c>
      <c r="C19" s="402">
        <v>2017</v>
      </c>
      <c r="D19" s="402" t="s">
        <v>1100</v>
      </c>
      <c r="E19" s="402" t="s">
        <v>1100</v>
      </c>
    </row>
    <row r="20" spans="1:5" ht="14.1" customHeight="1" thickTop="1" x14ac:dyDescent="0.2">
      <c r="A20" s="404" t="s">
        <v>197</v>
      </c>
      <c r="B20" s="407">
        <v>0</v>
      </c>
      <c r="C20" s="406">
        <v>0</v>
      </c>
      <c r="D20" s="408">
        <v>0</v>
      </c>
      <c r="E20" s="408">
        <v>0</v>
      </c>
    </row>
    <row r="21" spans="1:5" ht="14.1" customHeight="1" x14ac:dyDescent="0.2">
      <c r="A21" s="404" t="s">
        <v>198</v>
      </c>
      <c r="B21" s="407">
        <v>0</v>
      </c>
      <c r="C21" s="406">
        <v>0</v>
      </c>
      <c r="D21" s="597">
        <v>2.4490909090909107E-3</v>
      </c>
      <c r="E21" s="597">
        <v>0</v>
      </c>
    </row>
    <row r="22" spans="1:5" ht="14.1" customHeight="1" x14ac:dyDescent="0.2">
      <c r="A22" s="404" t="s">
        <v>199</v>
      </c>
      <c r="B22" s="597">
        <v>4.1000000000000003E-3</v>
      </c>
      <c r="C22" s="597">
        <v>7.4999999999999993E-5</v>
      </c>
      <c r="D22" s="597">
        <v>4.0901515151515119E-3</v>
      </c>
      <c r="E22" s="597">
        <v>2.5075757575757567E-4</v>
      </c>
    </row>
    <row r="23" spans="1:5" ht="14.1" customHeight="1" x14ac:dyDescent="0.2">
      <c r="A23" s="404" t="s">
        <v>200</v>
      </c>
      <c r="B23" s="597">
        <v>6.0750000000000005E-3</v>
      </c>
      <c r="C23" s="597">
        <v>1.1666666666666668E-3</v>
      </c>
      <c r="D23" s="597">
        <v>6.1553030303030248E-3</v>
      </c>
      <c r="E23" s="597">
        <v>8.4621212121212058E-4</v>
      </c>
    </row>
    <row r="24" spans="1:5" ht="14.1" customHeight="1" x14ac:dyDescent="0.2">
      <c r="A24" s="403" t="s">
        <v>201</v>
      </c>
      <c r="B24" s="597">
        <v>9.6249999999999981E-3</v>
      </c>
      <c r="C24" s="597">
        <v>1.1333333333333334E-3</v>
      </c>
      <c r="D24" s="597">
        <v>9.7106060606060845E-3</v>
      </c>
      <c r="E24" s="597">
        <v>2.3234848484848477E-3</v>
      </c>
    </row>
    <row r="25" spans="1:5" ht="14.1" customHeight="1" x14ac:dyDescent="0.2">
      <c r="A25" s="404" t="s">
        <v>202</v>
      </c>
      <c r="B25" s="597">
        <v>1.7275000000000002E-2</v>
      </c>
      <c r="C25" s="597">
        <v>9.7916666666666655E-3</v>
      </c>
      <c r="D25" s="597">
        <v>1.7659848484848518E-2</v>
      </c>
      <c r="E25" s="597">
        <v>7.6772727272727244E-3</v>
      </c>
    </row>
    <row r="26" spans="1:5" ht="14.1" customHeight="1" x14ac:dyDescent="0.2">
      <c r="A26" s="404" t="s">
        <v>203</v>
      </c>
      <c r="B26" s="597">
        <v>3.4541666666666672E-2</v>
      </c>
      <c r="C26" s="597">
        <v>1.8974999999999999E-2</v>
      </c>
      <c r="D26" s="597">
        <v>3.4891666666666682E-2</v>
      </c>
      <c r="E26" s="597">
        <v>1.8137121212121212E-2</v>
      </c>
    </row>
    <row r="27" spans="1:5" ht="14.1" customHeight="1" x14ac:dyDescent="0.2">
      <c r="A27" s="403" t="s">
        <v>204</v>
      </c>
      <c r="B27" s="597">
        <v>6.9608333333333341E-2</v>
      </c>
      <c r="C27" s="597">
        <v>4.9449999999999994E-2</v>
      </c>
      <c r="D27" s="597">
        <v>6.943787878787884E-2</v>
      </c>
      <c r="E27" s="597">
        <v>3.7624242424242456E-2</v>
      </c>
    </row>
    <row r="28" spans="1:5" ht="14.1" customHeight="1" x14ac:dyDescent="0.2">
      <c r="A28" s="404" t="s">
        <v>205</v>
      </c>
      <c r="B28" s="597">
        <v>0.23264166666666666</v>
      </c>
      <c r="C28" s="597">
        <v>0.12340000000000001</v>
      </c>
      <c r="D28" s="597">
        <v>0.22200378787878788</v>
      </c>
      <c r="E28" s="597">
        <v>0.13310227272727274</v>
      </c>
    </row>
    <row r="29" spans="1:5" ht="14.1" customHeight="1" x14ac:dyDescent="0.2">
      <c r="A29" s="553" t="s">
        <v>270</v>
      </c>
      <c r="B29" s="550">
        <v>2.1841666666666665E-2</v>
      </c>
      <c r="C29" s="551">
        <v>1.0141666666666665E-2</v>
      </c>
      <c r="D29" s="552">
        <v>3.3083333333333347E-2</v>
      </c>
      <c r="E29" s="552">
        <v>1.7378787878787872E-2</v>
      </c>
    </row>
    <row r="33" spans="1:5" x14ac:dyDescent="0.2">
      <c r="B33" s="400" t="s">
        <v>336</v>
      </c>
      <c r="C33" s="400" t="s">
        <v>337</v>
      </c>
      <c r="D33" s="400" t="s">
        <v>338</v>
      </c>
      <c r="E33" s="400" t="s">
        <v>339</v>
      </c>
    </row>
    <row r="34" spans="1:5" ht="12.75" thickBot="1" x14ac:dyDescent="0.25">
      <c r="A34" s="401" t="s">
        <v>340</v>
      </c>
      <c r="B34" s="401">
        <v>2017</v>
      </c>
      <c r="C34" s="402">
        <v>2017</v>
      </c>
      <c r="D34" s="402" t="s">
        <v>1100</v>
      </c>
      <c r="E34" s="402" t="s">
        <v>1100</v>
      </c>
    </row>
    <row r="35" spans="1:5" ht="14.1" customHeight="1" thickTop="1" x14ac:dyDescent="0.2">
      <c r="A35" s="403" t="s">
        <v>197</v>
      </c>
      <c r="B35" s="597">
        <v>7.7999999999999999E-4</v>
      </c>
      <c r="C35" s="597">
        <v>0</v>
      </c>
      <c r="D35" s="597">
        <v>7.8787878787878781E-4</v>
      </c>
      <c r="E35" s="597">
        <v>0</v>
      </c>
    </row>
    <row r="36" spans="1:5" ht="14.1" customHeight="1" x14ac:dyDescent="0.2">
      <c r="A36" s="403" t="s">
        <v>198</v>
      </c>
      <c r="B36" s="597">
        <v>2.2333333333333333E-3</v>
      </c>
      <c r="C36" s="597">
        <v>1.9749999999999998E-3</v>
      </c>
      <c r="D36" s="597">
        <v>2.2492424242424249E-3</v>
      </c>
      <c r="E36" s="597">
        <v>1.7954545454545453E-4</v>
      </c>
    </row>
    <row r="37" spans="1:5" ht="14.1" customHeight="1" x14ac:dyDescent="0.2">
      <c r="A37" s="404" t="s">
        <v>199</v>
      </c>
      <c r="B37" s="597">
        <v>3.6916666666666677E-3</v>
      </c>
      <c r="C37" s="597">
        <v>3.1583333333333329E-3</v>
      </c>
      <c r="D37" s="597">
        <v>3.7128787878787802E-3</v>
      </c>
      <c r="E37" s="597">
        <v>1.1053030303030307E-3</v>
      </c>
    </row>
    <row r="38" spans="1:5" ht="14.1" customHeight="1" x14ac:dyDescent="0.2">
      <c r="A38" s="404" t="s">
        <v>200</v>
      </c>
      <c r="B38" s="597">
        <v>6.1749999999999991E-3</v>
      </c>
      <c r="C38" s="597">
        <v>1.3750000000000001E-3</v>
      </c>
      <c r="D38" s="597">
        <v>6.1840909090909004E-3</v>
      </c>
      <c r="E38" s="597">
        <v>2.7265151515151525E-3</v>
      </c>
    </row>
    <row r="39" spans="1:5" ht="14.1" customHeight="1" x14ac:dyDescent="0.2">
      <c r="A39" s="403" t="s">
        <v>201</v>
      </c>
      <c r="B39" s="597">
        <v>9.8333333333333363E-3</v>
      </c>
      <c r="C39" s="597">
        <v>4.0166666666666675E-3</v>
      </c>
      <c r="D39" s="597">
        <v>9.7492424242424398E-3</v>
      </c>
      <c r="E39" s="597">
        <v>5.9856060606060585E-3</v>
      </c>
    </row>
    <row r="40" spans="1:5" ht="14.1" customHeight="1" x14ac:dyDescent="0.2">
      <c r="A40" s="404" t="s">
        <v>202</v>
      </c>
      <c r="B40" s="597">
        <v>1.7741666666666666E-2</v>
      </c>
      <c r="C40" s="597">
        <v>1.6075000000000002E-2</v>
      </c>
      <c r="D40" s="597">
        <v>1.7742424242424254E-2</v>
      </c>
      <c r="E40" s="597">
        <v>1.1304545454545446E-2</v>
      </c>
    </row>
    <row r="41" spans="1:5" ht="14.1" customHeight="1" x14ac:dyDescent="0.2">
      <c r="A41" s="404" t="s">
        <v>203</v>
      </c>
      <c r="B41" s="597">
        <v>3.518333333333333E-2</v>
      </c>
      <c r="C41" s="597">
        <v>1.9833333333333331E-2</v>
      </c>
      <c r="D41" s="597">
        <v>3.545454545454544E-2</v>
      </c>
      <c r="E41" s="597">
        <v>2.2018939393939389E-2</v>
      </c>
    </row>
    <row r="42" spans="1:5" ht="14.1" customHeight="1" x14ac:dyDescent="0.2">
      <c r="A42" s="403" t="s">
        <v>204</v>
      </c>
      <c r="B42" s="597">
        <v>7.0375000000000007E-2</v>
      </c>
      <c r="C42" s="597">
        <v>3.4216666666666666E-2</v>
      </c>
      <c r="D42" s="597">
        <v>7.0389393939393904E-2</v>
      </c>
      <c r="E42" s="597">
        <v>3.8410606060606069E-2</v>
      </c>
    </row>
    <row r="43" spans="1:5" ht="14.1" customHeight="1" x14ac:dyDescent="0.2">
      <c r="A43" s="404" t="s">
        <v>205</v>
      </c>
      <c r="B43" s="597">
        <v>0.15709166666666666</v>
      </c>
      <c r="C43" s="597">
        <v>0.10809166666666666</v>
      </c>
      <c r="D43" s="597">
        <v>0.1606318181818181</v>
      </c>
      <c r="E43" s="597">
        <v>0.12413484848484843</v>
      </c>
    </row>
    <row r="44" spans="1:5" ht="14.1" customHeight="1" x14ac:dyDescent="0.2">
      <c r="A44" s="553" t="s">
        <v>271</v>
      </c>
      <c r="B44" s="550">
        <v>2.900833333333333E-2</v>
      </c>
      <c r="C44" s="551">
        <v>1.8008333333333331E-2</v>
      </c>
      <c r="D44" s="552">
        <v>3.1665151515151514E-2</v>
      </c>
      <c r="E44" s="552">
        <v>2.0910606060606067E-2</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51"/>
  <sheetViews>
    <sheetView zoomScaleNormal="100" workbookViewId="0">
      <selection activeCell="A19" sqref="A19"/>
    </sheetView>
  </sheetViews>
  <sheetFormatPr baseColWidth="10" defaultColWidth="11" defaultRowHeight="12" x14ac:dyDescent="0.2"/>
  <cols>
    <col min="1" max="1" width="25.625" style="17" customWidth="1"/>
    <col min="2" max="2" width="12.75" style="17" customWidth="1"/>
    <col min="3" max="4" width="10.625" style="17" customWidth="1"/>
    <col min="5" max="5" width="15.625" style="17" customWidth="1"/>
    <col min="6" max="6" width="10.625" style="17" customWidth="1"/>
    <col min="7" max="7" width="10.875" style="17" customWidth="1"/>
    <col min="8" max="16384" width="11" style="17"/>
  </cols>
  <sheetData>
    <row r="1" spans="1:5" x14ac:dyDescent="0.2">
      <c r="A1" s="89" t="s">
        <v>408</v>
      </c>
    </row>
    <row r="2" spans="1:5" x14ac:dyDescent="0.2">
      <c r="A2" s="514" t="s">
        <v>870</v>
      </c>
    </row>
    <row r="3" spans="1:5" s="287" customFormat="1" x14ac:dyDescent="0.2">
      <c r="A3" s="81"/>
    </row>
    <row r="4" spans="1:5" s="346" customFormat="1" x14ac:dyDescent="0.2">
      <c r="A4" s="90" t="s">
        <v>409</v>
      </c>
    </row>
    <row r="5" spans="1:5" s="346" customFormat="1" ht="12.75" thickBot="1" x14ac:dyDescent="0.25">
      <c r="A5" s="413" t="s">
        <v>1162</v>
      </c>
      <c r="B5" s="92" t="s">
        <v>410</v>
      </c>
      <c r="C5" s="92" t="s">
        <v>411</v>
      </c>
      <c r="D5" s="92" t="s">
        <v>412</v>
      </c>
      <c r="E5" s="93" t="s">
        <v>413</v>
      </c>
    </row>
    <row r="6" spans="1:5" s="346" customFormat="1" x14ac:dyDescent="0.2">
      <c r="A6" s="94" t="s">
        <v>414</v>
      </c>
      <c r="B6" s="94"/>
      <c r="C6" s="94"/>
      <c r="D6" s="94"/>
      <c r="E6" s="94"/>
    </row>
    <row r="7" spans="1:5" s="346" customFormat="1" x14ac:dyDescent="0.2">
      <c r="A7" s="81" t="s">
        <v>415</v>
      </c>
      <c r="B7" s="86">
        <v>150</v>
      </c>
      <c r="C7" s="86">
        <v>97205</v>
      </c>
      <c r="D7" s="95">
        <v>1</v>
      </c>
      <c r="E7" s="96" t="s">
        <v>425</v>
      </c>
    </row>
    <row r="8" spans="1:5" s="346" customFormat="1" x14ac:dyDescent="0.2">
      <c r="A8" s="15" t="s">
        <v>1144</v>
      </c>
      <c r="B8" s="86">
        <v>6700</v>
      </c>
      <c r="C8" s="86">
        <v>324225</v>
      </c>
      <c r="D8" s="95">
        <v>1</v>
      </c>
      <c r="E8" s="96" t="s">
        <v>425</v>
      </c>
    </row>
    <row r="9" spans="1:5" s="346" customFormat="1" x14ac:dyDescent="0.2">
      <c r="A9" s="15" t="s">
        <v>416</v>
      </c>
      <c r="B9" s="86">
        <v>6000</v>
      </c>
      <c r="C9" s="86">
        <v>29018</v>
      </c>
      <c r="D9" s="95">
        <v>1</v>
      </c>
      <c r="E9" s="96" t="s">
        <v>425</v>
      </c>
    </row>
    <row r="10" spans="1:5" s="346" customFormat="1" x14ac:dyDescent="0.2">
      <c r="A10" s="15" t="s">
        <v>881</v>
      </c>
      <c r="B10" s="308">
        <v>9000</v>
      </c>
      <c r="C10" s="86">
        <v>80125</v>
      </c>
      <c r="D10" s="95">
        <v>1</v>
      </c>
      <c r="E10" s="96" t="s">
        <v>425</v>
      </c>
    </row>
    <row r="11" spans="1:5" s="346" customFormat="1" x14ac:dyDescent="0.2">
      <c r="A11" s="15" t="s">
        <v>417</v>
      </c>
      <c r="B11" s="86">
        <v>90000</v>
      </c>
      <c r="C11" s="86">
        <v>144490</v>
      </c>
      <c r="D11" s="95">
        <v>1</v>
      </c>
      <c r="E11" s="96" t="s">
        <v>425</v>
      </c>
    </row>
    <row r="12" spans="1:5" s="346" customFormat="1" x14ac:dyDescent="0.2">
      <c r="A12" s="15" t="s">
        <v>418</v>
      </c>
      <c r="B12" s="86">
        <v>8000</v>
      </c>
      <c r="C12" s="86">
        <v>433016</v>
      </c>
      <c r="D12" s="95">
        <v>1</v>
      </c>
      <c r="E12" s="96" t="s">
        <v>425</v>
      </c>
    </row>
    <row r="13" spans="1:5" s="346" customFormat="1" x14ac:dyDescent="0.2">
      <c r="A13" s="15" t="s">
        <v>882</v>
      </c>
      <c r="B13" s="86">
        <v>4000000</v>
      </c>
      <c r="C13" s="86">
        <v>4000150</v>
      </c>
      <c r="D13" s="95">
        <v>1</v>
      </c>
      <c r="E13" s="96" t="s">
        <v>425</v>
      </c>
    </row>
    <row r="14" spans="1:5" s="347" customFormat="1" x14ac:dyDescent="0.2">
      <c r="A14" s="15" t="s">
        <v>1161</v>
      </c>
      <c r="B14" s="661">
        <v>3000000</v>
      </c>
      <c r="C14" s="86">
        <v>3000</v>
      </c>
      <c r="D14" s="95">
        <v>1</v>
      </c>
      <c r="E14" s="96" t="s">
        <v>425</v>
      </c>
    </row>
    <row r="15" spans="1:5" s="346" customFormat="1" x14ac:dyDescent="0.2">
      <c r="A15" s="99" t="s">
        <v>419</v>
      </c>
      <c r="B15" s="100"/>
      <c r="C15" s="100">
        <f>SUM(C7:C14)</f>
        <v>5111229</v>
      </c>
      <c r="D15" s="101"/>
      <c r="E15" s="102"/>
    </row>
    <row r="16" spans="1:5" s="346" customFormat="1" x14ac:dyDescent="0.2">
      <c r="A16" s="81"/>
    </row>
    <row r="17" spans="1:10" s="287" customFormat="1" x14ac:dyDescent="0.2">
      <c r="A17" s="90" t="s">
        <v>420</v>
      </c>
    </row>
    <row r="18" spans="1:10" s="287" customFormat="1" ht="12.75" thickBot="1" x14ac:dyDescent="0.25">
      <c r="A18" s="413" t="s">
        <v>1082</v>
      </c>
      <c r="B18" s="92" t="s">
        <v>421</v>
      </c>
      <c r="C18" s="92" t="s">
        <v>422</v>
      </c>
      <c r="D18" s="92" t="s">
        <v>423</v>
      </c>
      <c r="E18" s="93" t="s">
        <v>424</v>
      </c>
    </row>
    <row r="19" spans="1:10" s="287" customFormat="1" x14ac:dyDescent="0.2">
      <c r="A19" s="94" t="s">
        <v>414</v>
      </c>
      <c r="B19" s="94"/>
      <c r="C19" s="94"/>
      <c r="D19" s="94"/>
      <c r="E19" s="94"/>
    </row>
    <row r="20" spans="1:10" s="287" customFormat="1" ht="12" customHeight="1" x14ac:dyDescent="0.2">
      <c r="A20" s="81" t="s">
        <v>415</v>
      </c>
      <c r="B20" s="86">
        <v>150</v>
      </c>
      <c r="C20" s="86">
        <v>97205</v>
      </c>
      <c r="D20" s="95">
        <v>1</v>
      </c>
      <c r="E20" s="96" t="s">
        <v>425</v>
      </c>
    </row>
    <row r="21" spans="1:10" s="287" customFormat="1" ht="12" customHeight="1" x14ac:dyDescent="0.2">
      <c r="A21" s="15" t="s">
        <v>1145</v>
      </c>
      <c r="B21" s="86">
        <v>4700</v>
      </c>
      <c r="C21" s="86">
        <v>224225</v>
      </c>
      <c r="D21" s="95">
        <v>1</v>
      </c>
      <c r="E21" s="96" t="s">
        <v>426</v>
      </c>
    </row>
    <row r="22" spans="1:10" s="287" customFormat="1" x14ac:dyDescent="0.2">
      <c r="A22" s="15" t="s">
        <v>416</v>
      </c>
      <c r="B22" s="86">
        <v>6000</v>
      </c>
      <c r="C22" s="86">
        <v>29018</v>
      </c>
      <c r="D22" s="95">
        <v>1</v>
      </c>
      <c r="E22" s="96" t="s">
        <v>427</v>
      </c>
    </row>
    <row r="23" spans="1:10" s="287" customFormat="1" x14ac:dyDescent="0.2">
      <c r="A23" s="15" t="s">
        <v>881</v>
      </c>
      <c r="B23" s="308">
        <v>9000</v>
      </c>
      <c r="C23" s="86">
        <v>80125</v>
      </c>
      <c r="D23" s="95">
        <v>1</v>
      </c>
      <c r="E23" s="96" t="s">
        <v>428</v>
      </c>
    </row>
    <row r="24" spans="1:10" s="287" customFormat="1" x14ac:dyDescent="0.2">
      <c r="A24" s="15" t="s">
        <v>417</v>
      </c>
      <c r="B24" s="86">
        <v>90000</v>
      </c>
      <c r="C24" s="86">
        <v>164382</v>
      </c>
      <c r="D24" s="95">
        <v>1</v>
      </c>
      <c r="E24" s="96" t="s">
        <v>429</v>
      </c>
    </row>
    <row r="25" spans="1:10" s="287" customFormat="1" x14ac:dyDescent="0.2">
      <c r="A25" s="15" t="s">
        <v>418</v>
      </c>
      <c r="B25" s="86">
        <v>8000</v>
      </c>
      <c r="C25" s="86">
        <v>258016</v>
      </c>
      <c r="D25" s="95">
        <v>1</v>
      </c>
      <c r="E25" s="96" t="s">
        <v>430</v>
      </c>
    </row>
    <row r="26" spans="1:10" s="287" customFormat="1" x14ac:dyDescent="0.2">
      <c r="A26" s="15" t="s">
        <v>882</v>
      </c>
      <c r="B26" s="308">
        <v>4000000</v>
      </c>
      <c r="C26" s="86">
        <v>4000150</v>
      </c>
      <c r="D26" s="95">
        <v>1</v>
      </c>
      <c r="E26" s="96" t="s">
        <v>431</v>
      </c>
    </row>
    <row r="27" spans="1:10" s="287" customFormat="1" x14ac:dyDescent="0.2">
      <c r="A27" s="99" t="s">
        <v>432</v>
      </c>
      <c r="B27" s="100"/>
      <c r="C27" s="100">
        <f>SUM(C20:C26)</f>
        <v>4853121</v>
      </c>
      <c r="D27" s="101"/>
      <c r="E27" s="102"/>
    </row>
    <row r="28" spans="1:10" hidden="1" x14ac:dyDescent="0.2">
      <c r="A28" s="15"/>
      <c r="B28" s="85"/>
      <c r="C28" s="85"/>
      <c r="D28" s="95"/>
      <c r="E28" s="15"/>
      <c r="F28" s="15"/>
    </row>
    <row r="29" spans="1:10" hidden="1" x14ac:dyDescent="0.2">
      <c r="A29" s="15"/>
      <c r="B29" s="85"/>
      <c r="C29" s="85"/>
      <c r="D29" s="95"/>
      <c r="E29" s="15"/>
      <c r="F29" s="15"/>
      <c r="J29" s="15"/>
    </row>
    <row r="30" spans="1:10" hidden="1" x14ac:dyDescent="0.2">
      <c r="F30" s="15"/>
    </row>
    <row r="31" spans="1:10" x14ac:dyDescent="0.2">
      <c r="A31" s="15"/>
      <c r="B31" s="85"/>
      <c r="C31" s="85"/>
      <c r="D31" s="95"/>
      <c r="E31" s="15"/>
      <c r="F31" s="15"/>
    </row>
    <row r="32" spans="1:10" x14ac:dyDescent="0.2">
      <c r="A32" s="419" t="s">
        <v>843</v>
      </c>
      <c r="B32" s="85"/>
      <c r="C32" s="85"/>
      <c r="D32" s="95"/>
      <c r="E32" s="15"/>
      <c r="F32" s="15"/>
    </row>
    <row r="33" spans="1:6" s="347" customFormat="1" x14ac:dyDescent="0.2">
      <c r="A33" s="15"/>
      <c r="B33" s="85"/>
      <c r="C33" s="85"/>
      <c r="D33" s="95"/>
      <c r="E33" s="15"/>
      <c r="F33" s="15"/>
    </row>
    <row r="34" spans="1:6" s="347" customFormat="1" x14ac:dyDescent="0.2">
      <c r="A34" s="15"/>
      <c r="B34" s="85"/>
      <c r="C34" s="85"/>
      <c r="D34" s="95"/>
      <c r="E34" s="15"/>
      <c r="F34" s="15"/>
    </row>
    <row r="35" spans="1:6" x14ac:dyDescent="0.2">
      <c r="C35" s="85"/>
      <c r="D35" s="95"/>
      <c r="E35" s="15"/>
      <c r="F35" s="15"/>
    </row>
    <row r="36" spans="1:6" x14ac:dyDescent="0.2">
      <c r="A36" s="533" t="s">
        <v>929</v>
      </c>
      <c r="B36" s="85"/>
      <c r="C36" s="85"/>
      <c r="D36" s="95"/>
      <c r="E36" s="15"/>
      <c r="F36" s="15"/>
    </row>
    <row r="37" spans="1:6" x14ac:dyDescent="0.2">
      <c r="B37" s="85"/>
      <c r="C37" s="85"/>
      <c r="D37" s="95"/>
      <c r="E37" s="15"/>
      <c r="F37" s="15"/>
    </row>
    <row r="38" spans="1:6" s="347" customFormat="1" ht="12.75" customHeight="1" x14ac:dyDescent="0.2">
      <c r="B38" s="534" t="s">
        <v>1163</v>
      </c>
      <c r="C38" s="688" t="s">
        <v>1083</v>
      </c>
      <c r="D38" s="685"/>
    </row>
    <row r="39" spans="1:6" ht="13.5" customHeight="1" thickBot="1" x14ac:dyDescent="0.25">
      <c r="A39" s="1" t="s">
        <v>433</v>
      </c>
      <c r="B39" s="692" t="s">
        <v>434</v>
      </c>
      <c r="C39" s="692"/>
      <c r="D39" s="686"/>
    </row>
    <row r="40" spans="1:6" x14ac:dyDescent="0.2">
      <c r="A40" s="347" t="s">
        <v>435</v>
      </c>
      <c r="B40" s="358">
        <v>19</v>
      </c>
      <c r="C40" s="84">
        <v>19</v>
      </c>
      <c r="D40" s="104"/>
    </row>
    <row r="41" spans="1:6" x14ac:dyDescent="0.2">
      <c r="A41" s="15" t="s">
        <v>436</v>
      </c>
      <c r="B41" s="358">
        <v>91</v>
      </c>
      <c r="C41" s="84">
        <v>83</v>
      </c>
      <c r="D41" s="361"/>
    </row>
    <row r="42" spans="1:6" x14ac:dyDescent="0.2">
      <c r="A42" s="20" t="s">
        <v>437</v>
      </c>
      <c r="B42" s="363">
        <v>21.19</v>
      </c>
      <c r="C42" s="516">
        <v>23.29</v>
      </c>
      <c r="D42" s="687"/>
    </row>
    <row r="43" spans="1:6" x14ac:dyDescent="0.2">
      <c r="A43" s="15"/>
      <c r="B43" s="85"/>
      <c r="C43" s="85"/>
      <c r="D43" s="95"/>
      <c r="E43" s="15"/>
      <c r="F43" s="15"/>
    </row>
    <row r="44" spans="1:6" x14ac:dyDescent="0.2">
      <c r="B44" s="15"/>
      <c r="D44" s="95"/>
      <c r="E44" s="15"/>
      <c r="F44" s="15"/>
    </row>
    <row r="45" spans="1:6" x14ac:dyDescent="0.2">
      <c r="A45" s="14" t="s">
        <v>930</v>
      </c>
      <c r="B45" s="85"/>
    </row>
    <row r="46" spans="1:6" x14ac:dyDescent="0.2">
      <c r="A46" s="347"/>
      <c r="B46" s="85"/>
    </row>
    <row r="47" spans="1:6" x14ac:dyDescent="0.2">
      <c r="A47" s="347"/>
      <c r="B47" s="534" t="s">
        <v>1163</v>
      </c>
      <c r="C47" s="688" t="s">
        <v>1083</v>
      </c>
    </row>
    <row r="48" spans="1:6" ht="13.5" customHeight="1" thickBot="1" x14ac:dyDescent="0.25">
      <c r="A48" s="1" t="s">
        <v>7</v>
      </c>
      <c r="B48" s="691" t="s">
        <v>903</v>
      </c>
      <c r="C48" s="691"/>
    </row>
    <row r="49" spans="1:3" x14ac:dyDescent="0.2">
      <c r="A49" s="347" t="s">
        <v>435</v>
      </c>
      <c r="B49" s="358">
        <v>3918</v>
      </c>
      <c r="C49" s="84">
        <v>3934</v>
      </c>
    </row>
    <row r="50" spans="1:3" x14ac:dyDescent="0.2">
      <c r="A50" s="15" t="s">
        <v>436</v>
      </c>
      <c r="B50" s="358">
        <v>20735</v>
      </c>
      <c r="C50" s="84">
        <v>16925</v>
      </c>
    </row>
    <row r="51" spans="1:3" x14ac:dyDescent="0.2">
      <c r="A51" s="20" t="s">
        <v>437</v>
      </c>
      <c r="B51" s="360">
        <v>18.89</v>
      </c>
      <c r="C51" s="359">
        <v>23.24</v>
      </c>
    </row>
  </sheetData>
  <mergeCells count="2">
    <mergeCell ref="B48:C48"/>
    <mergeCell ref="B39:C39"/>
  </mergeCells>
  <pageMargins left="0.74803149606299213" right="0.74803149606299213" top="0.98425196850393704" bottom="0.98425196850393704" header="0.51181102362204722" footer="0.51181102362204722"/>
  <pageSetup paperSize="9" scale="80" fitToHeight="2" orientation="portrait" r:id="rId1"/>
  <headerFoot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zoomScaleNormal="100" workbookViewId="0">
      <selection sqref="A1:E1"/>
    </sheetView>
  </sheetViews>
  <sheetFormatPr baseColWidth="10" defaultColWidth="11" defaultRowHeight="12" x14ac:dyDescent="0.2"/>
  <cols>
    <col min="1" max="1" width="30.375" style="221" customWidth="1"/>
    <col min="2" max="5" width="13.875" style="221" customWidth="1"/>
    <col min="6" max="16384" width="11" style="221"/>
  </cols>
  <sheetData>
    <row r="1" spans="1:7" x14ac:dyDescent="0.2">
      <c r="A1" s="554" t="s">
        <v>941</v>
      </c>
      <c r="B1" s="222"/>
      <c r="C1" s="222"/>
      <c r="E1" s="347"/>
      <c r="G1" s="17"/>
    </row>
    <row r="2" spans="1:7" x14ac:dyDescent="0.2">
      <c r="E2" s="347"/>
      <c r="G2" s="17"/>
    </row>
    <row r="3" spans="1:7" ht="12.75" customHeight="1" x14ac:dyDescent="0.2">
      <c r="A3" s="223"/>
      <c r="B3" s="226"/>
      <c r="C3" s="224"/>
      <c r="D3" s="224"/>
    </row>
    <row r="4" spans="1:7" ht="12" customHeight="1" x14ac:dyDescent="0.2">
      <c r="B4" s="392" t="s">
        <v>161</v>
      </c>
      <c r="C4" s="392" t="s">
        <v>162</v>
      </c>
      <c r="D4" s="392" t="s">
        <v>163</v>
      </c>
      <c r="E4" s="392" t="s">
        <v>164</v>
      </c>
    </row>
    <row r="5" spans="1:7" ht="12" customHeight="1" thickBot="1" x14ac:dyDescent="0.25">
      <c r="A5" s="391" t="s">
        <v>165</v>
      </c>
      <c r="B5" s="391">
        <v>2016</v>
      </c>
      <c r="C5" s="390">
        <v>2016</v>
      </c>
      <c r="D5" s="390" t="s">
        <v>1101</v>
      </c>
      <c r="E5" s="390" t="s">
        <v>1101</v>
      </c>
    </row>
    <row r="6" spans="1:7" ht="12.75" customHeight="1" thickTop="1" x14ac:dyDescent="0.2">
      <c r="A6" s="395" t="s">
        <v>166</v>
      </c>
      <c r="B6" s="393">
        <v>0.24199999999999999</v>
      </c>
      <c r="C6" s="394">
        <v>7.0999999999999994E-2</v>
      </c>
      <c r="D6" s="393">
        <v>0.27</v>
      </c>
      <c r="E6" s="394">
        <v>9.8000000000000004E-2</v>
      </c>
    </row>
    <row r="7" spans="1:7" ht="12.75" customHeight="1" x14ac:dyDescent="0.2">
      <c r="A7" s="395" t="s">
        <v>167</v>
      </c>
      <c r="B7" s="396">
        <v>0</v>
      </c>
      <c r="C7" s="394">
        <v>0</v>
      </c>
      <c r="D7" s="397">
        <v>0.19900000000000001</v>
      </c>
      <c r="E7" s="397">
        <v>2.5999999999999999E-2</v>
      </c>
    </row>
    <row r="8" spans="1:7" ht="12.75" customHeight="1" x14ac:dyDescent="0.2">
      <c r="A8" s="395" t="s">
        <v>168</v>
      </c>
      <c r="B8" s="396">
        <v>0.47599999999999998</v>
      </c>
      <c r="C8" s="394">
        <v>0.29599999999999999</v>
      </c>
      <c r="D8" s="397">
        <v>0.52300000000000002</v>
      </c>
      <c r="E8" s="397">
        <v>0.29699999999999999</v>
      </c>
    </row>
    <row r="10" spans="1:7" x14ac:dyDescent="0.2">
      <c r="A10" s="221" t="s">
        <v>1103</v>
      </c>
    </row>
    <row r="13" spans="1:7" x14ac:dyDescent="0.2">
      <c r="A13" s="554" t="s">
        <v>942</v>
      </c>
    </row>
    <row r="15" spans="1:7" x14ac:dyDescent="0.2">
      <c r="B15" s="392" t="s">
        <v>161</v>
      </c>
      <c r="C15" s="392" t="s">
        <v>162</v>
      </c>
      <c r="D15" s="392" t="s">
        <v>161</v>
      </c>
      <c r="E15" s="392" t="s">
        <v>162</v>
      </c>
    </row>
    <row r="16" spans="1:7" ht="12.75" thickBot="1" x14ac:dyDescent="0.25">
      <c r="A16" s="391" t="s">
        <v>165</v>
      </c>
      <c r="B16" s="391">
        <v>2016</v>
      </c>
      <c r="C16" s="390">
        <v>2016</v>
      </c>
      <c r="D16" s="390" t="s">
        <v>1101</v>
      </c>
      <c r="E16" s="390" t="s">
        <v>1101</v>
      </c>
    </row>
    <row r="17" spans="1:5" ht="12.75" customHeight="1" thickTop="1" x14ac:dyDescent="0.2">
      <c r="A17" s="395" t="s">
        <v>166</v>
      </c>
      <c r="B17" s="393">
        <v>0.25600000000000001</v>
      </c>
      <c r="C17" s="394">
        <v>6.8000000000000005E-2</v>
      </c>
      <c r="D17" s="393">
        <v>0.28899999999999998</v>
      </c>
      <c r="E17" s="394">
        <v>5.0999999999999997E-2</v>
      </c>
    </row>
    <row r="18" spans="1:5" ht="12.75" customHeight="1" x14ac:dyDescent="0.2">
      <c r="A18" s="395" t="s">
        <v>167</v>
      </c>
      <c r="B18" s="396">
        <v>0</v>
      </c>
      <c r="C18" s="394">
        <v>0</v>
      </c>
      <c r="D18" s="397">
        <v>0.17299999999999999</v>
      </c>
      <c r="E18" s="397">
        <v>2.8000000000000001E-2</v>
      </c>
    </row>
    <row r="19" spans="1:5" ht="12.75" customHeight="1" x14ac:dyDescent="0.2">
      <c r="A19" s="395" t="s">
        <v>168</v>
      </c>
      <c r="B19" s="396">
        <v>0.39900000000000002</v>
      </c>
      <c r="C19" s="394">
        <v>0.27</v>
      </c>
      <c r="D19" s="397">
        <v>0.46400000000000002</v>
      </c>
      <c r="E19" s="397">
        <v>0.184</v>
      </c>
    </row>
    <row r="22" spans="1:5" x14ac:dyDescent="0.2">
      <c r="A22" s="221" t="s">
        <v>1104</v>
      </c>
    </row>
    <row r="24" spans="1:5" x14ac:dyDescent="0.2">
      <c r="A24" s="221" t="s">
        <v>1102</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rowBreaks count="1" manualBreakCount="1">
    <brk id="38"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election sqref="A1:E1"/>
    </sheetView>
  </sheetViews>
  <sheetFormatPr baseColWidth="10" defaultRowHeight="12.75" x14ac:dyDescent="0.2"/>
  <cols>
    <col min="4" max="4" width="4.375" customWidth="1"/>
  </cols>
  <sheetData>
    <row r="1" spans="1:7" x14ac:dyDescent="0.2">
      <c r="A1" s="220" t="s">
        <v>1022</v>
      </c>
      <c r="B1" s="221"/>
      <c r="C1" s="222"/>
      <c r="D1" s="221"/>
      <c r="E1" s="221"/>
      <c r="F1" s="31"/>
      <c r="G1" s="31"/>
    </row>
    <row r="2" spans="1:7" x14ac:dyDescent="0.2">
      <c r="A2" s="221"/>
      <c r="B2" s="221"/>
      <c r="C2" s="221"/>
      <c r="D2" s="221"/>
      <c r="E2" s="221"/>
      <c r="F2" s="31"/>
      <c r="G2" s="31"/>
    </row>
    <row r="3" spans="1:7" x14ac:dyDescent="0.2">
      <c r="A3" s="605" t="s">
        <v>1023</v>
      </c>
      <c r="B3" s="31"/>
      <c r="C3" s="31"/>
      <c r="D3" s="31"/>
      <c r="E3" s="605" t="s">
        <v>52</v>
      </c>
      <c r="F3" s="31"/>
      <c r="G3" s="31"/>
    </row>
    <row r="4" spans="1:7" x14ac:dyDescent="0.2">
      <c r="A4" s="31"/>
      <c r="B4" s="31"/>
      <c r="C4" s="31"/>
      <c r="D4" s="31"/>
      <c r="E4" s="31"/>
      <c r="F4" s="31"/>
      <c r="G4" s="31"/>
    </row>
    <row r="5" spans="1:7" ht="13.5" thickBot="1" x14ac:dyDescent="0.25">
      <c r="A5" s="606" t="s">
        <v>1013</v>
      </c>
      <c r="B5" s="607" t="s">
        <v>327</v>
      </c>
      <c r="C5" s="607" t="s">
        <v>328</v>
      </c>
      <c r="D5" s="31"/>
      <c r="E5" s="606" t="s">
        <v>1013</v>
      </c>
      <c r="F5" s="607" t="s">
        <v>327</v>
      </c>
      <c r="G5" s="607" t="s">
        <v>328</v>
      </c>
    </row>
    <row r="6" spans="1:7" ht="13.5" thickTop="1" x14ac:dyDescent="0.2">
      <c r="A6" s="591">
        <v>2015</v>
      </c>
      <c r="B6" s="608">
        <v>2.1698704751408303E-3</v>
      </c>
      <c r="C6" s="608">
        <v>1.1489137380899986E-4</v>
      </c>
      <c r="D6" s="31"/>
      <c r="E6" s="591">
        <v>2015</v>
      </c>
      <c r="F6" s="608">
        <v>9.4678367002797321E-3</v>
      </c>
      <c r="G6" s="608">
        <v>3.5547298983219719E-3</v>
      </c>
    </row>
    <row r="7" spans="1:7" x14ac:dyDescent="0.2">
      <c r="A7" s="591">
        <v>2016</v>
      </c>
      <c r="B7" s="608">
        <v>2.7804258962259511E-3</v>
      </c>
      <c r="C7" s="608">
        <v>2.0747506412048902E-4</v>
      </c>
      <c r="D7" s="31"/>
      <c r="E7" s="591">
        <v>2016</v>
      </c>
      <c r="F7" s="608">
        <v>1.1059053007654591E-2</v>
      </c>
      <c r="G7" s="608">
        <v>7.7754867599068621E-3</v>
      </c>
    </row>
    <row r="8" spans="1:7" x14ac:dyDescent="0.2">
      <c r="A8" s="591">
        <v>2017</v>
      </c>
      <c r="B8" s="608">
        <v>2.5566634336990899E-3</v>
      </c>
      <c r="C8" s="608">
        <v>4.256805422729337E-4</v>
      </c>
      <c r="D8" s="31"/>
      <c r="E8" s="591">
        <v>2017</v>
      </c>
      <c r="F8" s="608">
        <v>1.3838391011895233E-2</v>
      </c>
      <c r="G8" s="608">
        <v>6.7880389534714283E-3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I21"/>
  <sheetViews>
    <sheetView showGridLines="0" zoomScaleNormal="100" workbookViewId="0">
      <selection sqref="A1:E1"/>
    </sheetView>
  </sheetViews>
  <sheetFormatPr baseColWidth="10" defaultColWidth="11" defaultRowHeight="12" x14ac:dyDescent="0.2"/>
  <cols>
    <col min="1" max="1" width="21.25" style="17" customWidth="1"/>
    <col min="2" max="2" width="9.875" style="17" customWidth="1"/>
    <col min="3" max="3" width="14.125" style="17" customWidth="1"/>
    <col min="4" max="4" width="11.125" style="17" customWidth="1"/>
    <col min="5" max="5" width="2.125" style="17" customWidth="1"/>
    <col min="6" max="6" width="15.125" style="17" customWidth="1"/>
    <col min="7" max="7" width="11.125" style="17" customWidth="1"/>
    <col min="8" max="8" width="2.125" style="17" customWidth="1"/>
    <col min="9" max="9" width="15.625" style="17" customWidth="1"/>
    <col min="10" max="11" width="16.125" style="17" customWidth="1"/>
    <col min="12" max="12" width="11" style="17" customWidth="1"/>
    <col min="13" max="16384" width="11" style="17"/>
  </cols>
  <sheetData>
    <row r="1" spans="1:9" x14ac:dyDescent="0.2">
      <c r="A1" s="423" t="s">
        <v>863</v>
      </c>
      <c r="F1" s="15"/>
      <c r="G1" s="15"/>
      <c r="H1" s="15"/>
      <c r="I1" s="15"/>
    </row>
    <row r="3" spans="1:9" x14ac:dyDescent="0.2">
      <c r="A3" s="227"/>
    </row>
    <row r="4" spans="1:9" ht="12.75" x14ac:dyDescent="0.2">
      <c r="A4" s="228"/>
      <c r="B4" s="347"/>
      <c r="C4" s="716">
        <v>2017</v>
      </c>
      <c r="D4" s="717"/>
      <c r="E4" s="531"/>
      <c r="F4" s="718">
        <v>2016</v>
      </c>
      <c r="G4" s="717"/>
      <c r="H4" s="347"/>
      <c r="I4" s="347"/>
    </row>
    <row r="5" spans="1:9" ht="51" thickBot="1" x14ac:dyDescent="0.25">
      <c r="A5" s="715" t="s">
        <v>864</v>
      </c>
      <c r="B5" s="715"/>
      <c r="C5" s="93" t="s">
        <v>943</v>
      </c>
      <c r="D5" s="202" t="s">
        <v>944</v>
      </c>
      <c r="E5" s="202"/>
      <c r="F5" s="555" t="s">
        <v>943</v>
      </c>
      <c r="G5" s="229" t="s">
        <v>945</v>
      </c>
      <c r="H5" s="1"/>
      <c r="I5" s="347"/>
    </row>
    <row r="6" spans="1:9" s="347" customFormat="1" x14ac:dyDescent="0.2">
      <c r="A6" s="561" t="s">
        <v>52</v>
      </c>
      <c r="B6" s="561"/>
      <c r="C6" s="75"/>
      <c r="D6" s="562"/>
      <c r="E6" s="562"/>
      <c r="F6" s="557"/>
      <c r="G6" s="556"/>
      <c r="H6" s="15"/>
    </row>
    <row r="7" spans="1:9" x14ac:dyDescent="0.2">
      <c r="A7" s="71" t="s">
        <v>208</v>
      </c>
      <c r="B7" s="71"/>
      <c r="C7" s="203">
        <v>36733.525999999998</v>
      </c>
      <c r="D7" s="230">
        <f>20222.484/C7</f>
        <v>0.55051845553840928</v>
      </c>
      <c r="E7" s="556"/>
      <c r="F7" s="203">
        <v>33738</v>
      </c>
      <c r="G7" s="230">
        <v>0.53</v>
      </c>
      <c r="H7" s="15"/>
      <c r="I7" s="347"/>
    </row>
    <row r="8" spans="1:9" x14ac:dyDescent="0.2">
      <c r="A8" s="71" t="s">
        <v>852</v>
      </c>
      <c r="B8" s="71"/>
      <c r="C8" s="203">
        <f>26902.374+1.888</f>
        <v>26904.261999999999</v>
      </c>
      <c r="D8" s="230">
        <f>4642.56/C8</f>
        <v>0.17255853366280779</v>
      </c>
      <c r="E8" s="556"/>
      <c r="F8" s="203">
        <v>27353</v>
      </c>
      <c r="G8" s="230">
        <v>0.18</v>
      </c>
      <c r="H8" s="15"/>
      <c r="I8" s="347"/>
    </row>
    <row r="9" spans="1:9" x14ac:dyDescent="0.2">
      <c r="A9" s="558" t="s">
        <v>77</v>
      </c>
      <c r="B9" s="558"/>
      <c r="C9" s="559">
        <v>9886.982</v>
      </c>
      <c r="D9" s="560">
        <f>638.793/C9</f>
        <v>6.4609503688789968E-2</v>
      </c>
      <c r="E9" s="559"/>
      <c r="F9" s="559">
        <v>11308</v>
      </c>
      <c r="G9" s="560">
        <v>0.05</v>
      </c>
      <c r="H9" s="20"/>
      <c r="I9" s="347"/>
    </row>
    <row r="10" spans="1:9" x14ac:dyDescent="0.2">
      <c r="A10" s="532" t="s">
        <v>53</v>
      </c>
      <c r="B10" s="73"/>
      <c r="C10" s="73"/>
      <c r="D10" s="73"/>
      <c r="E10" s="73"/>
      <c r="F10" s="73"/>
      <c r="G10" s="230"/>
      <c r="H10" s="347"/>
      <c r="I10" s="347"/>
    </row>
    <row r="11" spans="1:9" x14ac:dyDescent="0.2">
      <c r="A11" s="440" t="s">
        <v>245</v>
      </c>
      <c r="B11" s="440"/>
      <c r="C11" s="203">
        <v>131569.682</v>
      </c>
      <c r="D11" s="230">
        <f>116382.48/C11</f>
        <v>0.88456913652797298</v>
      </c>
      <c r="E11" s="230"/>
      <c r="F11" s="203">
        <v>128013</v>
      </c>
      <c r="G11" s="230">
        <v>0.87</v>
      </c>
      <c r="H11" s="347"/>
      <c r="I11" s="347"/>
    </row>
    <row r="12" spans="1:9" x14ac:dyDescent="0.2">
      <c r="A12" s="440" t="s">
        <v>878</v>
      </c>
      <c r="B12" s="73"/>
      <c r="C12" s="203">
        <v>5924.4380000000001</v>
      </c>
      <c r="D12" s="230">
        <f>5052.245/C12</f>
        <v>0.85278046626532333</v>
      </c>
      <c r="E12" s="230"/>
      <c r="F12" s="203">
        <v>5563</v>
      </c>
      <c r="G12" s="230">
        <v>0.85</v>
      </c>
      <c r="H12" s="347"/>
      <c r="I12" s="347"/>
    </row>
    <row r="13" spans="1:9" ht="14.25" x14ac:dyDescent="0.2">
      <c r="A13" s="440" t="s">
        <v>167</v>
      </c>
      <c r="B13" s="73"/>
      <c r="C13" s="203">
        <f>366.603+4236.264</f>
        <v>4602.8670000000002</v>
      </c>
      <c r="D13" s="230">
        <f>(15.636+178.266)/C13</f>
        <v>4.21263529882571E-2</v>
      </c>
      <c r="E13" s="225" t="s">
        <v>272</v>
      </c>
      <c r="F13" s="203">
        <v>4666</v>
      </c>
      <c r="G13" s="230">
        <v>0.03</v>
      </c>
      <c r="H13" s="225" t="s">
        <v>272</v>
      </c>
      <c r="I13" s="347"/>
    </row>
    <row r="14" spans="1:9" x14ac:dyDescent="0.2">
      <c r="A14" s="115" t="s">
        <v>10</v>
      </c>
      <c r="B14" s="231"/>
      <c r="C14" s="232">
        <f>SUM(C7:C13)</f>
        <v>215621.75699999998</v>
      </c>
      <c r="D14" s="233"/>
      <c r="E14" s="233"/>
      <c r="F14" s="233">
        <f>SUM(F7:F13)</f>
        <v>210641</v>
      </c>
      <c r="G14" s="234"/>
      <c r="H14" s="235"/>
      <c r="I14" s="347"/>
    </row>
    <row r="15" spans="1:9" x14ac:dyDescent="0.2">
      <c r="A15" s="365"/>
      <c r="B15" s="365"/>
      <c r="C15" s="236"/>
      <c r="D15" s="237"/>
      <c r="E15" s="237"/>
      <c r="F15" s="237"/>
      <c r="G15" s="237"/>
      <c r="H15" s="237"/>
      <c r="I15" s="237"/>
    </row>
    <row r="16" spans="1:9" x14ac:dyDescent="0.2">
      <c r="A16" s="347"/>
      <c r="B16" s="347"/>
      <c r="C16" s="347"/>
      <c r="D16" s="347"/>
      <c r="E16" s="347"/>
      <c r="F16" s="347"/>
      <c r="G16" s="347"/>
      <c r="H16" s="347"/>
      <c r="I16" s="347"/>
    </row>
    <row r="17" spans="1:9" ht="14.25" x14ac:dyDescent="0.2">
      <c r="A17" s="347" t="s">
        <v>273</v>
      </c>
      <c r="B17" s="347"/>
      <c r="C17" s="347"/>
      <c r="D17" s="347"/>
      <c r="E17" s="347"/>
      <c r="F17" s="347"/>
      <c r="G17" s="347"/>
      <c r="H17" s="347"/>
      <c r="I17" s="347"/>
    </row>
    <row r="18" spans="1:9" ht="14.25" x14ac:dyDescent="0.2">
      <c r="A18" s="347" t="s">
        <v>274</v>
      </c>
      <c r="B18" s="347"/>
      <c r="C18" s="347"/>
      <c r="D18" s="347"/>
      <c r="E18" s="347"/>
      <c r="F18" s="347"/>
      <c r="G18" s="347"/>
      <c r="H18" s="347"/>
      <c r="I18" s="347"/>
    </row>
    <row r="19" spans="1:9" x14ac:dyDescent="0.2">
      <c r="A19" s="347" t="s">
        <v>275</v>
      </c>
      <c r="B19" s="347"/>
      <c r="C19" s="347"/>
      <c r="D19" s="347"/>
      <c r="E19" s="347"/>
      <c r="F19" s="347"/>
      <c r="G19" s="347"/>
      <c r="H19" s="347"/>
      <c r="I19" s="347"/>
    </row>
    <row r="20" spans="1:9" x14ac:dyDescent="0.2">
      <c r="A20" s="347"/>
      <c r="B20" s="347"/>
      <c r="C20" s="347"/>
      <c r="D20" s="347"/>
      <c r="E20" s="347"/>
      <c r="F20" s="347"/>
      <c r="G20" s="347"/>
      <c r="H20" s="347"/>
      <c r="I20" s="347"/>
    </row>
    <row r="21" spans="1:9" x14ac:dyDescent="0.2">
      <c r="A21" s="505" t="s">
        <v>946</v>
      </c>
      <c r="B21" s="347"/>
      <c r="C21" s="347"/>
      <c r="D21" s="347"/>
      <c r="E21" s="347"/>
      <c r="F21" s="347"/>
      <c r="G21" s="347"/>
      <c r="H21" s="347"/>
      <c r="I21" s="347"/>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oddFooter>&amp;R&amp;A</oddFooter>
  </headerFooter>
  <colBreaks count="1" manualBreakCount="1">
    <brk id="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16"/>
  <sheetViews>
    <sheetView zoomScaleNormal="100" workbookViewId="0">
      <selection sqref="A1:E1"/>
    </sheetView>
  </sheetViews>
  <sheetFormatPr baseColWidth="10" defaultColWidth="11" defaultRowHeight="12" x14ac:dyDescent="0.2"/>
  <cols>
    <col min="1" max="1" width="18" style="17" customWidth="1"/>
    <col min="2" max="2" width="23" style="17" customWidth="1"/>
    <col min="3" max="3" width="10.25" style="17" customWidth="1"/>
    <col min="4" max="4" width="11.875" style="17" customWidth="1"/>
    <col min="5" max="5" width="10.375" style="17" customWidth="1"/>
    <col min="6" max="6" width="11.875" style="17" customWidth="1"/>
    <col min="7" max="7" width="9.875" style="17" bestFit="1" customWidth="1"/>
    <col min="8" max="8" width="11.375" style="17" customWidth="1"/>
    <col min="9" max="9" width="9.375" style="17" customWidth="1"/>
    <col min="10" max="16384" width="11" style="17"/>
  </cols>
  <sheetData>
    <row r="1" spans="1:11" x14ac:dyDescent="0.2">
      <c r="A1" s="89" t="s">
        <v>70</v>
      </c>
      <c r="B1" s="205"/>
      <c r="C1" s="205"/>
      <c r="D1" s="205"/>
      <c r="E1" s="205"/>
      <c r="F1" s="205"/>
      <c r="G1" s="205"/>
      <c r="H1" s="205"/>
      <c r="I1" s="205"/>
    </row>
    <row r="2" spans="1:11" x14ac:dyDescent="0.2">
      <c r="B2" s="15"/>
      <c r="C2" s="15"/>
      <c r="D2" s="15"/>
      <c r="E2" s="15"/>
      <c r="F2" s="15"/>
      <c r="G2" s="15"/>
      <c r="H2" s="15"/>
      <c r="I2" s="15"/>
    </row>
    <row r="3" spans="1:11" ht="24.75" thickBot="1" x14ac:dyDescent="0.25">
      <c r="A3" s="715" t="s">
        <v>865</v>
      </c>
      <c r="B3" s="715"/>
      <c r="C3" s="238" t="s">
        <v>1105</v>
      </c>
      <c r="D3" s="431" t="s">
        <v>1106</v>
      </c>
      <c r="E3" s="238" t="s">
        <v>1015</v>
      </c>
      <c r="F3" s="431" t="s">
        <v>1016</v>
      </c>
      <c r="G3" s="238" t="s">
        <v>947</v>
      </c>
      <c r="H3" s="431" t="s">
        <v>948</v>
      </c>
      <c r="I3" s="238" t="s">
        <v>71</v>
      </c>
    </row>
    <row r="4" spans="1:11" ht="12" customHeight="1" x14ac:dyDescent="0.2">
      <c r="A4" s="723" t="s">
        <v>72</v>
      </c>
      <c r="B4" s="723"/>
      <c r="C4" s="167">
        <f>SUM(C5:C7)</f>
        <v>142096.98699999999</v>
      </c>
      <c r="D4" s="239">
        <f>(C4-E4)/E4</f>
        <v>2.7885787242661376E-2</v>
      </c>
      <c r="E4" s="167">
        <f>SUM(E5:E7)</f>
        <v>138242</v>
      </c>
      <c r="F4" s="318">
        <f>(E4-G4)/G4</f>
        <v>1.7390472405596154E-2</v>
      </c>
      <c r="G4" s="168">
        <f>SUM(G5:G7)</f>
        <v>135879</v>
      </c>
      <c r="H4" s="318">
        <f>(G4-I4)/I4</f>
        <v>7.0992811652689322E-2</v>
      </c>
      <c r="I4" s="168">
        <v>126872</v>
      </c>
      <c r="K4" s="23"/>
    </row>
    <row r="5" spans="1:11" ht="12" customHeight="1" x14ac:dyDescent="0.2">
      <c r="A5" s="724" t="s">
        <v>73</v>
      </c>
      <c r="B5" s="724"/>
      <c r="C5" s="237">
        <v>5924.4380000000001</v>
      </c>
      <c r="D5" s="239">
        <f t="shared" ref="D5:F8" si="0">(C5-E5)/E5</f>
        <v>6.4971777817724272E-2</v>
      </c>
      <c r="E5" s="237">
        <v>5563</v>
      </c>
      <c r="F5" s="318">
        <f t="shared" si="0"/>
        <v>-3.0667363652204217E-2</v>
      </c>
      <c r="G5" s="188">
        <v>5739</v>
      </c>
      <c r="H5" s="318">
        <f>(G5-I5)/I5</f>
        <v>-1.1199172984148863E-2</v>
      </c>
      <c r="I5" s="188">
        <v>5804</v>
      </c>
      <c r="K5" s="23"/>
    </row>
    <row r="6" spans="1:11" ht="12" customHeight="1" x14ac:dyDescent="0.2">
      <c r="A6" s="724" t="s">
        <v>74</v>
      </c>
      <c r="B6" s="724"/>
      <c r="C6" s="237">
        <v>131569.682</v>
      </c>
      <c r="D6" s="239">
        <f>(C6-E6)/E6</f>
        <v>2.7783756337247004E-2</v>
      </c>
      <c r="E6" s="237">
        <v>128013</v>
      </c>
      <c r="F6" s="318">
        <f>(E6-G6)/G6</f>
        <v>-4.3726428722017037E-4</v>
      </c>
      <c r="G6" s="188">
        <v>128069</v>
      </c>
      <c r="H6" s="318">
        <f>(G6-I6)/I6</f>
        <v>7.4674834270370055E-2</v>
      </c>
      <c r="I6" s="188">
        <v>119170</v>
      </c>
    </row>
    <row r="7" spans="1:11" ht="12" customHeight="1" x14ac:dyDescent="0.2">
      <c r="A7" s="724" t="s">
        <v>75</v>
      </c>
      <c r="B7" s="724"/>
      <c r="C7" s="237">
        <f>366.603+4236.264</f>
        <v>4602.8670000000002</v>
      </c>
      <c r="D7" s="239">
        <f t="shared" si="0"/>
        <v>-1.3530432918988386E-2</v>
      </c>
      <c r="E7" s="237">
        <v>4666</v>
      </c>
      <c r="F7" s="318">
        <f t="shared" si="0"/>
        <v>1.2530178657653308</v>
      </c>
      <c r="G7" s="188">
        <f>383+1688</f>
        <v>2071</v>
      </c>
      <c r="H7" s="318">
        <f>(G7-I7)/I7</f>
        <v>9.114857744994731E-2</v>
      </c>
      <c r="I7" s="188">
        <v>1898</v>
      </c>
    </row>
    <row r="8" spans="1:11" ht="12" customHeight="1" x14ac:dyDescent="0.2">
      <c r="A8" s="725" t="s">
        <v>76</v>
      </c>
      <c r="B8" s="726"/>
      <c r="C8" s="237">
        <v>36733.525999999998</v>
      </c>
      <c r="D8" s="239">
        <f t="shared" si="0"/>
        <v>8.8787894955243293E-2</v>
      </c>
      <c r="E8" s="237">
        <v>33738</v>
      </c>
      <c r="F8" s="318">
        <f t="shared" si="0"/>
        <v>-0.11348766324197913</v>
      </c>
      <c r="G8" s="188">
        <v>38057</v>
      </c>
      <c r="H8" s="318">
        <f>(G8-I8)/I8</f>
        <v>-5.314358221580872E-2</v>
      </c>
      <c r="I8" s="188">
        <v>40193</v>
      </c>
    </row>
    <row r="9" spans="1:11" s="347" customFormat="1" ht="12" customHeight="1" x14ac:dyDescent="0.2">
      <c r="A9" s="376" t="s">
        <v>852</v>
      </c>
      <c r="B9" s="376"/>
      <c r="C9" s="237">
        <f>26902.374+1.888</f>
        <v>26904.261999999999</v>
      </c>
      <c r="D9" s="239">
        <f>(C9-E9)/E9</f>
        <v>-1.6405439988301143E-2</v>
      </c>
      <c r="E9" s="237">
        <v>27353</v>
      </c>
      <c r="F9" s="318">
        <f>(E9-G9)/G9</f>
        <v>-9.0928850891175191E-3</v>
      </c>
      <c r="G9" s="188">
        <v>27604</v>
      </c>
      <c r="H9" s="318">
        <f t="shared" ref="H9:H10" si="1">(G9-I9)/I9</f>
        <v>4.3274500170074455E-2</v>
      </c>
      <c r="I9" s="188">
        <v>26459</v>
      </c>
    </row>
    <row r="10" spans="1:11" x14ac:dyDescent="0.2">
      <c r="A10" s="726" t="s">
        <v>77</v>
      </c>
      <c r="B10" s="726"/>
      <c r="C10" s="240">
        <v>9886.982</v>
      </c>
      <c r="D10" s="239">
        <f>(C10-E10)/E10</f>
        <v>-0.1256648390519986</v>
      </c>
      <c r="E10" s="240">
        <v>11308</v>
      </c>
      <c r="F10" s="318">
        <f>(E10-G10)/G10</f>
        <v>-3.9660297239915071E-2</v>
      </c>
      <c r="G10" s="319">
        <v>11775</v>
      </c>
      <c r="H10" s="318">
        <f t="shared" si="1"/>
        <v>0.14721356196414653</v>
      </c>
      <c r="I10" s="319">
        <v>10264</v>
      </c>
    </row>
    <row r="11" spans="1:11" x14ac:dyDescent="0.2">
      <c r="A11" s="99" t="s">
        <v>880</v>
      </c>
      <c r="B11" s="235"/>
      <c r="C11" s="212">
        <f>C4+C8+C9+C10</f>
        <v>215621.75699999995</v>
      </c>
      <c r="D11" s="241">
        <f>(C11-E11)/E11</f>
        <v>2.3645714746891412E-2</v>
      </c>
      <c r="E11" s="212">
        <f>E4+E8+E9+E10</f>
        <v>210641</v>
      </c>
      <c r="F11" s="241">
        <f>(E11-G11)/G11</f>
        <v>-1.253545226542906E-2</v>
      </c>
      <c r="G11" s="212">
        <f>G4+G8+G9+G10</f>
        <v>213315</v>
      </c>
      <c r="H11" s="241">
        <f>(G11-I11)/I11</f>
        <v>0.20293353033062839</v>
      </c>
      <c r="I11" s="212">
        <f>I4+I8+I10</f>
        <v>177329</v>
      </c>
    </row>
    <row r="12" spans="1:11" x14ac:dyDescent="0.2">
      <c r="A12" s="70"/>
      <c r="B12" s="70"/>
      <c r="C12" s="70"/>
      <c r="D12" s="70"/>
      <c r="E12" s="236"/>
      <c r="F12" s="70"/>
      <c r="G12" s="242"/>
      <c r="H12" s="243"/>
      <c r="I12" s="242"/>
    </row>
    <row r="13" spans="1:11" x14ac:dyDescent="0.2">
      <c r="A13" s="721"/>
      <c r="B13" s="722"/>
      <c r="C13" s="722"/>
      <c r="D13" s="722"/>
      <c r="E13" s="722"/>
      <c r="F13" s="722"/>
      <c r="G13" s="722"/>
      <c r="H13" s="722"/>
      <c r="I13" s="722"/>
    </row>
    <row r="14" spans="1:11" x14ac:dyDescent="0.2">
      <c r="A14" s="383"/>
      <c r="B14" s="383"/>
      <c r="C14" s="383"/>
      <c r="D14" s="383"/>
      <c r="E14" s="383"/>
      <c r="F14" s="383"/>
      <c r="G14" s="383"/>
      <c r="H14" s="383"/>
      <c r="I14" s="383"/>
    </row>
    <row r="16" spans="1:11" x14ac:dyDescent="0.2">
      <c r="A16" s="719"/>
      <c r="B16" s="720"/>
      <c r="C16" s="720"/>
      <c r="D16" s="720"/>
      <c r="E16" s="720"/>
      <c r="F16" s="720"/>
      <c r="G16" s="720"/>
      <c r="H16" s="720"/>
      <c r="I16" s="720"/>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oddFooter>&amp;R&amp;A</oddFooter>
  </headerFooter>
  <rowBreaks count="1" manualBreakCount="1">
    <brk id="35" max="16383" man="1"/>
  </rowBreaks>
  <colBreaks count="1" manualBreakCount="1">
    <brk id="1" max="1048575" man="1"/>
  </colBreaks>
  <ignoredErrors>
    <ignoredError sqref="C12" formulaRange="1"/>
    <ignoredError sqref="D12:I12" formula="1" formulaRange="1"/>
    <ignoredError sqref="E11:G11 H11 D11"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31"/>
  <sheetViews>
    <sheetView zoomScaleNormal="100" workbookViewId="0">
      <selection sqref="A1:E1"/>
    </sheetView>
  </sheetViews>
  <sheetFormatPr baseColWidth="10" defaultColWidth="11" defaultRowHeight="12" x14ac:dyDescent="0.2"/>
  <cols>
    <col min="1" max="1" width="39.75" style="17" customWidth="1"/>
    <col min="2" max="2" width="22.375" style="17" customWidth="1"/>
    <col min="3" max="4" width="10" style="17" customWidth="1"/>
    <col min="5" max="16384" width="11" style="17"/>
  </cols>
  <sheetData>
    <row r="1" spans="1:4" x14ac:dyDescent="0.2">
      <c r="A1" s="244" t="s">
        <v>355</v>
      </c>
      <c r="B1" s="245"/>
      <c r="C1" s="205"/>
      <c r="D1" s="15"/>
    </row>
    <row r="2" spans="1:4" x14ac:dyDescent="0.2">
      <c r="A2" s="15"/>
      <c r="B2" s="15"/>
      <c r="C2" s="15"/>
      <c r="D2" s="15"/>
    </row>
    <row r="3" spans="1:4" x14ac:dyDescent="0.2">
      <c r="A3" s="15"/>
      <c r="B3" s="15"/>
    </row>
    <row r="4" spans="1:4" ht="12.75" thickBot="1" x14ac:dyDescent="0.25">
      <c r="A4" s="1"/>
      <c r="B4" s="91" t="s">
        <v>356</v>
      </c>
      <c r="C4" s="432">
        <v>43100</v>
      </c>
      <c r="D4" s="433">
        <v>42735</v>
      </c>
    </row>
    <row r="5" spans="1:4" x14ac:dyDescent="0.2">
      <c r="A5" s="246" t="s">
        <v>357</v>
      </c>
      <c r="B5" s="247" t="s">
        <v>1017</v>
      </c>
      <c r="C5" s="18">
        <v>37</v>
      </c>
      <c r="D5" s="18">
        <v>32</v>
      </c>
    </row>
    <row r="6" spans="1:4" x14ac:dyDescent="0.2">
      <c r="A6" s="246"/>
      <c r="B6" s="347" t="s">
        <v>359</v>
      </c>
      <c r="C6" s="361">
        <v>24</v>
      </c>
      <c r="D6" s="361">
        <v>19</v>
      </c>
    </row>
    <row r="7" spans="1:4" x14ac:dyDescent="0.2">
      <c r="A7" s="246"/>
      <c r="B7" s="15" t="s">
        <v>1107</v>
      </c>
      <c r="C7" s="18">
        <v>24</v>
      </c>
      <c r="D7" s="18">
        <v>24</v>
      </c>
    </row>
    <row r="8" spans="1:4" x14ac:dyDescent="0.2">
      <c r="A8" s="246"/>
      <c r="B8" s="247" t="s">
        <v>1108</v>
      </c>
      <c r="C8" s="18">
        <v>23</v>
      </c>
      <c r="D8" s="18">
        <v>0</v>
      </c>
    </row>
    <row r="9" spans="1:4" s="347" customFormat="1" x14ac:dyDescent="0.2">
      <c r="A9" s="246"/>
      <c r="B9" s="247" t="s">
        <v>358</v>
      </c>
      <c r="C9" s="18">
        <v>15</v>
      </c>
      <c r="D9" s="18">
        <v>10</v>
      </c>
    </row>
    <row r="10" spans="1:4" x14ac:dyDescent="0.2">
      <c r="A10" s="246"/>
      <c r="B10" s="247" t="s">
        <v>1109</v>
      </c>
      <c r="C10" s="18">
        <v>14</v>
      </c>
      <c r="D10" s="18">
        <v>7</v>
      </c>
    </row>
    <row r="11" spans="1:4" s="347" customFormat="1" x14ac:dyDescent="0.2">
      <c r="A11" s="246"/>
      <c r="B11" s="247" t="s">
        <v>1110</v>
      </c>
      <c r="C11" s="18">
        <v>13</v>
      </c>
      <c r="D11" s="18">
        <v>9</v>
      </c>
    </row>
    <row r="12" spans="1:4" s="347" customFormat="1" x14ac:dyDescent="0.2">
      <c r="A12" s="246"/>
      <c r="B12" s="347" t="s">
        <v>949</v>
      </c>
      <c r="C12" s="361">
        <v>12</v>
      </c>
      <c r="D12" s="361">
        <v>9</v>
      </c>
    </row>
    <row r="13" spans="1:4" s="347" customFormat="1" x14ac:dyDescent="0.2">
      <c r="A13" s="246"/>
      <c r="B13" s="248" t="s">
        <v>950</v>
      </c>
      <c r="C13" s="362">
        <v>47</v>
      </c>
      <c r="D13" s="362">
        <v>51</v>
      </c>
    </row>
    <row r="14" spans="1:4" x14ac:dyDescent="0.2">
      <c r="A14" s="249"/>
      <c r="B14" s="250"/>
      <c r="C14" s="251"/>
      <c r="D14" s="251"/>
    </row>
    <row r="15" spans="1:4" x14ac:dyDescent="0.2">
      <c r="A15" s="252" t="s">
        <v>360</v>
      </c>
      <c r="B15" s="253"/>
      <c r="C15" s="254">
        <f>SUM(C5:C14)</f>
        <v>209</v>
      </c>
      <c r="D15" s="255">
        <f>SUM(D5:D14)</f>
        <v>161</v>
      </c>
    </row>
    <row r="16" spans="1:4" x14ac:dyDescent="0.2">
      <c r="A16" s="246" t="s">
        <v>361</v>
      </c>
      <c r="B16" s="15" t="s">
        <v>1113</v>
      </c>
      <c r="C16" s="197">
        <v>0</v>
      </c>
      <c r="D16" s="197">
        <v>127</v>
      </c>
    </row>
    <row r="17" spans="1:6" s="312" customFormat="1" x14ac:dyDescent="0.2">
      <c r="A17" s="246"/>
      <c r="B17" s="104" t="s">
        <v>1111</v>
      </c>
      <c r="C17" s="361">
        <v>20</v>
      </c>
      <c r="D17" s="361">
        <v>0</v>
      </c>
    </row>
    <row r="18" spans="1:6" x14ac:dyDescent="0.2">
      <c r="A18" s="252" t="s">
        <v>362</v>
      </c>
      <c r="B18" s="235"/>
      <c r="C18" s="212">
        <f>SUM(C16:C17)</f>
        <v>20</v>
      </c>
      <c r="D18" s="256">
        <f>SUM(D16:D17)</f>
        <v>127</v>
      </c>
    </row>
    <row r="19" spans="1:6" x14ac:dyDescent="0.2">
      <c r="A19" s="246" t="s">
        <v>363</v>
      </c>
      <c r="B19" s="15" t="s">
        <v>951</v>
      </c>
      <c r="C19" s="197">
        <v>60</v>
      </c>
      <c r="D19" s="197">
        <v>33</v>
      </c>
    </row>
    <row r="20" spans="1:6" s="347" customFormat="1" x14ac:dyDescent="0.2">
      <c r="A20" s="246"/>
      <c r="B20" s="15" t="s">
        <v>1112</v>
      </c>
      <c r="C20" s="197">
        <v>2</v>
      </c>
      <c r="D20" s="197">
        <v>2</v>
      </c>
    </row>
    <row r="21" spans="1:6" s="347" customFormat="1" x14ac:dyDescent="0.2">
      <c r="A21" s="252" t="s">
        <v>952</v>
      </c>
      <c r="B21" s="235"/>
      <c r="C21" s="212">
        <f>SUM(C19:C20)</f>
        <v>62</v>
      </c>
      <c r="D21" s="256">
        <f>SUM(D19:D20)</f>
        <v>35</v>
      </c>
    </row>
    <row r="22" spans="1:6" x14ac:dyDescent="0.2">
      <c r="A22" s="257" t="s">
        <v>364</v>
      </c>
      <c r="B22" s="235"/>
      <c r="C22" s="212">
        <f>+C15+C18+C21</f>
        <v>291</v>
      </c>
      <c r="D22" s="256">
        <f>+D15+D18+D21</f>
        <v>323</v>
      </c>
    </row>
    <row r="23" spans="1:6" x14ac:dyDescent="0.2">
      <c r="A23" s="258"/>
      <c r="C23" s="84"/>
      <c r="D23" s="84"/>
      <c r="F23" s="23"/>
    </row>
    <row r="24" spans="1:6" x14ac:dyDescent="0.2">
      <c r="A24" s="258" t="s">
        <v>1114</v>
      </c>
      <c r="B24" s="70"/>
      <c r="C24" s="70"/>
      <c r="D24" s="70"/>
    </row>
    <row r="26" spans="1:6" x14ac:dyDescent="0.2">
      <c r="A26" s="598" t="s">
        <v>1018</v>
      </c>
    </row>
    <row r="27" spans="1:6" x14ac:dyDescent="0.2">
      <c r="A27" s="17" t="s">
        <v>1019</v>
      </c>
    </row>
    <row r="30" spans="1:6" x14ac:dyDescent="0.2">
      <c r="A30" s="15"/>
    </row>
    <row r="31" spans="1:6" ht="15" x14ac:dyDescent="0.2">
      <c r="A31" s="563"/>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8"/>
  <sheetViews>
    <sheetView zoomScaleNormal="100" workbookViewId="0">
      <selection sqref="A1:E1"/>
    </sheetView>
  </sheetViews>
  <sheetFormatPr baseColWidth="10" defaultColWidth="11" defaultRowHeight="12" x14ac:dyDescent="0.2"/>
  <cols>
    <col min="1" max="1" width="41.125" style="17" customWidth="1"/>
    <col min="2" max="2" width="6.75" style="17" customWidth="1"/>
    <col min="3" max="3" width="6.625" style="17" customWidth="1"/>
    <col min="4" max="4" width="10.25" style="17" customWidth="1"/>
    <col min="5" max="5" width="8.5" style="17" customWidth="1"/>
    <col min="6" max="6" width="11.5" style="17" customWidth="1"/>
    <col min="7" max="16384" width="11" style="17"/>
  </cols>
  <sheetData>
    <row r="1" spans="1:6" x14ac:dyDescent="0.2">
      <c r="A1" s="245" t="s">
        <v>365</v>
      </c>
      <c r="B1" s="245"/>
      <c r="C1" s="205"/>
    </row>
    <row r="2" spans="1:6" x14ac:dyDescent="0.2">
      <c r="A2" s="15" t="s">
        <v>366</v>
      </c>
      <c r="B2" s="204"/>
      <c r="C2" s="15"/>
    </row>
    <row r="3" spans="1:6" x14ac:dyDescent="0.2">
      <c r="A3" s="259"/>
      <c r="B3" s="204"/>
      <c r="C3" s="15"/>
    </row>
    <row r="4" spans="1:6" ht="60.75" customHeight="1" thickBot="1" x14ac:dyDescent="0.25">
      <c r="A4" s="76">
        <v>2017</v>
      </c>
      <c r="B4" s="340" t="s">
        <v>367</v>
      </c>
      <c r="C4" s="340" t="s">
        <v>368</v>
      </c>
      <c r="D4" s="422" t="s">
        <v>369</v>
      </c>
      <c r="E4" s="422" t="s">
        <v>370</v>
      </c>
      <c r="F4" s="340" t="s">
        <v>371</v>
      </c>
    </row>
    <row r="5" spans="1:6" x14ac:dyDescent="0.2">
      <c r="A5" s="105" t="s">
        <v>372</v>
      </c>
      <c r="B5" s="177">
        <v>209</v>
      </c>
      <c r="C5" s="177">
        <v>209</v>
      </c>
      <c r="D5" s="177">
        <v>-15</v>
      </c>
      <c r="E5" s="673">
        <v>-18</v>
      </c>
      <c r="F5" s="260">
        <v>0</v>
      </c>
    </row>
    <row r="6" spans="1:6" x14ac:dyDescent="0.2">
      <c r="A6" s="105" t="s">
        <v>373</v>
      </c>
      <c r="B6" s="177">
        <v>20</v>
      </c>
      <c r="C6" s="177">
        <v>20</v>
      </c>
      <c r="D6" s="261">
        <v>19</v>
      </c>
      <c r="E6" s="261">
        <v>-17</v>
      </c>
      <c r="F6" s="261">
        <v>-17</v>
      </c>
    </row>
    <row r="7" spans="1:6" x14ac:dyDescent="0.2">
      <c r="A7" s="106" t="s">
        <v>374</v>
      </c>
      <c r="B7" s="177">
        <v>62</v>
      </c>
      <c r="C7" s="177">
        <v>62</v>
      </c>
      <c r="D7" s="177">
        <v>0</v>
      </c>
      <c r="E7" s="177">
        <v>60</v>
      </c>
      <c r="F7" s="177">
        <v>60</v>
      </c>
    </row>
    <row r="8" spans="1:6" x14ac:dyDescent="0.2">
      <c r="A8" s="87" t="s">
        <v>375</v>
      </c>
      <c r="B8" s="162">
        <f>SUM(B5:B7)</f>
        <v>291</v>
      </c>
      <c r="C8" s="162">
        <f>SUM(C5:C7)</f>
        <v>291</v>
      </c>
      <c r="D8" s="344">
        <f>SUM(D5:D7)</f>
        <v>4</v>
      </c>
      <c r="E8" s="344">
        <f>SUM(E5:E7)</f>
        <v>25</v>
      </c>
      <c r="F8" s="344">
        <f>SUM(F5:F7)</f>
        <v>43</v>
      </c>
    </row>
    <row r="9" spans="1:6" x14ac:dyDescent="0.2">
      <c r="A9" s="204"/>
      <c r="B9" s="204"/>
      <c r="C9" s="15"/>
    </row>
    <row r="10" spans="1:6" s="347" customFormat="1" x14ac:dyDescent="0.2">
      <c r="B10" s="204"/>
      <c r="C10" s="15"/>
    </row>
    <row r="11" spans="1:6" ht="64.5" customHeight="1" thickBot="1" x14ac:dyDescent="0.25">
      <c r="A11" s="76">
        <v>2016</v>
      </c>
      <c r="B11" s="340" t="s">
        <v>367</v>
      </c>
      <c r="C11" s="340" t="s">
        <v>368</v>
      </c>
      <c r="D11" s="422" t="s">
        <v>369</v>
      </c>
      <c r="E11" s="422" t="s">
        <v>370</v>
      </c>
      <c r="F11" s="340" t="s">
        <v>371</v>
      </c>
    </row>
    <row r="12" spans="1:6" x14ac:dyDescent="0.2">
      <c r="A12" s="105" t="s">
        <v>376</v>
      </c>
      <c r="B12" s="177">
        <v>161</v>
      </c>
      <c r="C12" s="177">
        <v>161</v>
      </c>
      <c r="D12" s="177">
        <v>0</v>
      </c>
      <c r="E12" s="177">
        <v>-39</v>
      </c>
      <c r="F12" s="260">
        <v>0</v>
      </c>
    </row>
    <row r="13" spans="1:6" x14ac:dyDescent="0.2">
      <c r="A13" s="599" t="s">
        <v>1021</v>
      </c>
      <c r="B13" s="177">
        <v>127</v>
      </c>
      <c r="C13" s="177">
        <v>127</v>
      </c>
      <c r="D13" s="261">
        <v>0</v>
      </c>
      <c r="E13" s="261">
        <v>19</v>
      </c>
      <c r="F13" s="261">
        <v>19</v>
      </c>
    </row>
    <row r="14" spans="1:6" x14ac:dyDescent="0.2">
      <c r="A14" s="106" t="s">
        <v>377</v>
      </c>
      <c r="B14" s="177">
        <v>35</v>
      </c>
      <c r="C14" s="177">
        <v>35</v>
      </c>
      <c r="D14" s="177">
        <v>62</v>
      </c>
      <c r="E14" s="177">
        <v>0</v>
      </c>
      <c r="F14" s="177">
        <v>33</v>
      </c>
    </row>
    <row r="15" spans="1:6" x14ac:dyDescent="0.2">
      <c r="A15" s="87" t="s">
        <v>378</v>
      </c>
      <c r="B15" s="162">
        <f>SUM(B12:B14)</f>
        <v>323</v>
      </c>
      <c r="C15" s="162">
        <f>SUM(C12:C14)</f>
        <v>323</v>
      </c>
      <c r="D15" s="162">
        <f>SUM(D12:D14)</f>
        <v>62</v>
      </c>
      <c r="E15" s="162">
        <f>SUM(E12:E14)</f>
        <v>-20</v>
      </c>
      <c r="F15" s="162">
        <f>SUM(F12:F14)</f>
        <v>52</v>
      </c>
    </row>
    <row r="18" spans="1:1" x14ac:dyDescent="0.2">
      <c r="A18" s="258" t="s">
        <v>1020</v>
      </c>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sqref="A1:E1"/>
    </sheetView>
  </sheetViews>
  <sheetFormatPr baseColWidth="10" defaultColWidth="11" defaultRowHeight="12" x14ac:dyDescent="0.2"/>
  <cols>
    <col min="1" max="1" width="36" style="17" customWidth="1"/>
    <col min="2" max="2" width="12.625" style="17" customWidth="1"/>
    <col min="3" max="16384" width="11" style="17"/>
  </cols>
  <sheetData>
    <row r="1" spans="1:4" x14ac:dyDescent="0.2">
      <c r="A1" s="478" t="s">
        <v>866</v>
      </c>
      <c r="B1" s="204"/>
      <c r="C1" s="15"/>
      <c r="D1" s="15"/>
    </row>
    <row r="2" spans="1:4" x14ac:dyDescent="0.2">
      <c r="A2" s="204"/>
      <c r="B2" s="204"/>
      <c r="C2" s="15"/>
      <c r="D2" s="15"/>
    </row>
    <row r="3" spans="1:4" ht="24.75" thickBot="1" x14ac:dyDescent="0.25">
      <c r="A3" s="389" t="s">
        <v>469</v>
      </c>
      <c r="B3" s="262" t="s">
        <v>1115</v>
      </c>
      <c r="C3" s="263" t="s">
        <v>1116</v>
      </c>
      <c r="D3" s="15"/>
    </row>
    <row r="4" spans="1:4" x14ac:dyDescent="0.2">
      <c r="A4" s="15" t="s">
        <v>470</v>
      </c>
      <c r="B4" s="178">
        <v>229</v>
      </c>
      <c r="C4" s="177">
        <v>288</v>
      </c>
      <c r="D4" s="104"/>
    </row>
    <row r="5" spans="1:4" x14ac:dyDescent="0.2">
      <c r="A5" s="15" t="s">
        <v>471</v>
      </c>
      <c r="B5" s="178">
        <v>0</v>
      </c>
      <c r="C5" s="177">
        <v>0</v>
      </c>
      <c r="D5" s="104"/>
    </row>
    <row r="6" spans="1:4" x14ac:dyDescent="0.2">
      <c r="A6" s="15" t="s">
        <v>472</v>
      </c>
      <c r="B6" s="178">
        <v>62</v>
      </c>
      <c r="C6" s="177">
        <v>35</v>
      </c>
      <c r="D6" s="104"/>
    </row>
    <row r="7" spans="1:4" x14ac:dyDescent="0.2">
      <c r="A7" s="99" t="s">
        <v>473</v>
      </c>
      <c r="B7" s="264">
        <f>SUM(B4:B6)</f>
        <v>291</v>
      </c>
      <c r="C7" s="265">
        <f>SUM(C4:C6)</f>
        <v>323</v>
      </c>
      <c r="D7" s="104"/>
    </row>
    <row r="8" spans="1:4" x14ac:dyDescent="0.2">
      <c r="D8" s="104"/>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E10"/>
  <sheetViews>
    <sheetView zoomScaleNormal="100" workbookViewId="0">
      <selection sqref="A1:E1"/>
    </sheetView>
  </sheetViews>
  <sheetFormatPr baseColWidth="10" defaultColWidth="11" defaultRowHeight="12" x14ac:dyDescent="0.2"/>
  <cols>
    <col min="1" max="1" width="4.625" style="17" customWidth="1"/>
    <col min="2" max="2" width="29.125" style="17" customWidth="1"/>
    <col min="3" max="5" width="11.625" style="17" customWidth="1"/>
    <col min="6" max="16384" width="11" style="17"/>
  </cols>
  <sheetData>
    <row r="1" spans="1:5" x14ac:dyDescent="0.2">
      <c r="A1" s="89" t="s">
        <v>78</v>
      </c>
    </row>
    <row r="3" spans="1:5" ht="13.5" customHeight="1" x14ac:dyDescent="0.2">
      <c r="A3" s="728" t="s">
        <v>79</v>
      </c>
      <c r="B3" s="728"/>
      <c r="C3" s="730" t="s">
        <v>80</v>
      </c>
      <c r="D3" s="732" t="s">
        <v>1117</v>
      </c>
      <c r="E3" s="734" t="s">
        <v>1118</v>
      </c>
    </row>
    <row r="4" spans="1:5" ht="13.5" customHeight="1" thickBot="1" x14ac:dyDescent="0.25">
      <c r="A4" s="729"/>
      <c r="B4" s="729"/>
      <c r="C4" s="731"/>
      <c r="D4" s="733"/>
      <c r="E4" s="735"/>
    </row>
    <row r="5" spans="1:5" x14ac:dyDescent="0.2">
      <c r="A5" s="727" t="s">
        <v>81</v>
      </c>
      <c r="B5" s="727"/>
      <c r="C5" s="84">
        <v>206949</v>
      </c>
      <c r="D5" s="675">
        <v>1655</v>
      </c>
      <c r="E5" s="84">
        <v>1854</v>
      </c>
    </row>
    <row r="6" spans="1:5" s="347" customFormat="1" x14ac:dyDescent="0.2">
      <c r="A6" s="347" t="s">
        <v>82</v>
      </c>
      <c r="B6" s="365"/>
      <c r="C6" s="200"/>
      <c r="D6" s="168">
        <v>933</v>
      </c>
      <c r="E6" s="168">
        <v>701</v>
      </c>
    </row>
    <row r="7" spans="1:5" ht="12.75" customHeight="1" x14ac:dyDescent="0.2">
      <c r="A7" s="252" t="s">
        <v>83</v>
      </c>
      <c r="B7" s="115"/>
      <c r="C7" s="266">
        <f>SUM(C5:C6)</f>
        <v>206949</v>
      </c>
      <c r="D7" s="266">
        <f>SUM(D5:D6)</f>
        <v>2588</v>
      </c>
      <c r="E7" s="267">
        <f>SUM(E5:E6)</f>
        <v>2555</v>
      </c>
    </row>
    <row r="10" spans="1:5" ht="14.25" x14ac:dyDescent="0.2">
      <c r="A10" s="383" t="s">
        <v>844</v>
      </c>
      <c r="B10" s="366"/>
      <c r="C10" s="366"/>
      <c r="D10" s="366"/>
    </row>
  </sheetData>
  <mergeCells count="5">
    <mergeCell ref="A5:B5"/>
    <mergeCell ref="A3:B4"/>
    <mergeCell ref="C3:C4"/>
    <mergeCell ref="D3:D4"/>
    <mergeCell ref="E3:E4"/>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4" max="16383" man="1"/>
  </rowBreaks>
  <colBreaks count="1" manualBreakCount="1">
    <brk id="1"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L37"/>
  <sheetViews>
    <sheetView showGridLines="0" zoomScaleNormal="100" workbookViewId="0">
      <selection sqref="A1:E1"/>
    </sheetView>
  </sheetViews>
  <sheetFormatPr baseColWidth="10" defaultColWidth="11" defaultRowHeight="12" x14ac:dyDescent="0.2"/>
  <cols>
    <col min="1" max="1" width="42.5" style="17" customWidth="1"/>
    <col min="2" max="2" width="26.5" style="17" customWidth="1"/>
    <col min="3" max="4" width="10" style="17" customWidth="1"/>
    <col min="5" max="5" width="21" style="17" customWidth="1"/>
    <col min="6" max="16384" width="11" style="17"/>
  </cols>
  <sheetData>
    <row r="1" spans="1:12" ht="13.5" customHeight="1" x14ac:dyDescent="0.2">
      <c r="A1" s="204" t="s">
        <v>827</v>
      </c>
      <c r="B1" s="330"/>
      <c r="C1" s="330"/>
      <c r="D1" s="331"/>
      <c r="E1" s="434"/>
      <c r="F1" s="332"/>
      <c r="G1" s="333"/>
      <c r="H1" s="333"/>
    </row>
    <row r="2" spans="1:12" ht="13.5" customHeight="1" x14ac:dyDescent="0.2">
      <c r="A2" s="478" t="s">
        <v>867</v>
      </c>
      <c r="B2" s="330"/>
      <c r="C2" s="330"/>
      <c r="D2" s="331"/>
      <c r="E2" s="331"/>
      <c r="F2" s="332"/>
      <c r="G2" s="333"/>
      <c r="H2" s="333"/>
    </row>
    <row r="3" spans="1:12" ht="12.75" x14ac:dyDescent="0.2">
      <c r="A3" s="331"/>
      <c r="B3" s="736"/>
      <c r="C3" s="736"/>
      <c r="D3" s="333"/>
      <c r="E3" s="321"/>
      <c r="F3" s="320"/>
      <c r="G3" s="320"/>
      <c r="H3" s="320"/>
      <c r="I3" s="320"/>
      <c r="J3" s="157"/>
      <c r="K3" s="157"/>
      <c r="L3" s="157"/>
    </row>
    <row r="4" spans="1:12" ht="13.5" thickBot="1" x14ac:dyDescent="0.25">
      <c r="A4" s="381"/>
      <c r="B4" s="432">
        <v>43100</v>
      </c>
      <c r="C4" s="433">
        <v>42735</v>
      </c>
      <c r="D4" s="333"/>
    </row>
    <row r="5" spans="1:12" ht="12.75" x14ac:dyDescent="0.2">
      <c r="A5" s="268" t="s">
        <v>84</v>
      </c>
      <c r="B5" s="339">
        <v>-45</v>
      </c>
      <c r="C5" s="334">
        <v>-28</v>
      </c>
      <c r="D5" s="333"/>
    </row>
    <row r="6" spans="1:12" ht="12.75" x14ac:dyDescent="0.2">
      <c r="A6" s="268" t="s">
        <v>85</v>
      </c>
      <c r="B6" s="339">
        <v>-16</v>
      </c>
      <c r="C6" s="334">
        <v>-21</v>
      </c>
      <c r="D6" s="333"/>
    </row>
    <row r="7" spans="1:12" ht="12.75" x14ac:dyDescent="0.2">
      <c r="A7" s="268" t="s">
        <v>86</v>
      </c>
      <c r="B7" s="339">
        <v>-83</v>
      </c>
      <c r="C7" s="334">
        <v>-86</v>
      </c>
      <c r="D7" s="333"/>
    </row>
    <row r="8" spans="1:12" ht="12.75" x14ac:dyDescent="0.2">
      <c r="A8" s="268" t="s">
        <v>87</v>
      </c>
      <c r="B8" s="339">
        <v>121</v>
      </c>
      <c r="C8" s="334">
        <v>127</v>
      </c>
      <c r="D8" s="333"/>
    </row>
    <row r="9" spans="1:12" ht="12.75" x14ac:dyDescent="0.2">
      <c r="A9" s="268" t="s">
        <v>88</v>
      </c>
      <c r="B9" s="339">
        <v>1</v>
      </c>
      <c r="C9" s="334">
        <v>-3</v>
      </c>
      <c r="D9" s="333"/>
    </row>
    <row r="10" spans="1:12" ht="12.75" x14ac:dyDescent="0.2">
      <c r="A10" s="337" t="s">
        <v>89</v>
      </c>
      <c r="B10" s="338">
        <f>SUM(B5:B9)</f>
        <v>-22</v>
      </c>
      <c r="C10" s="364">
        <f>SUM(C5:C9)</f>
        <v>-11</v>
      </c>
      <c r="D10" s="333"/>
    </row>
    <row r="11" spans="1:12" ht="12.75" x14ac:dyDescent="0.2">
      <c r="A11" s="268"/>
      <c r="B11" s="339"/>
      <c r="C11" s="334"/>
      <c r="D11" s="333"/>
    </row>
    <row r="12" spans="1:12" ht="12.75" x14ac:dyDescent="0.2">
      <c r="A12" s="268" t="s">
        <v>90</v>
      </c>
      <c r="B12" s="339"/>
      <c r="C12" s="334"/>
      <c r="D12" s="333"/>
    </row>
    <row r="13" spans="1:12" ht="12.75" x14ac:dyDescent="0.2">
      <c r="A13" s="268" t="s">
        <v>91</v>
      </c>
      <c r="B13" s="339">
        <v>-11</v>
      </c>
      <c r="C13" s="334">
        <v>-6</v>
      </c>
      <c r="D13" s="333"/>
    </row>
    <row r="14" spans="1:12" ht="12.75" x14ac:dyDescent="0.2">
      <c r="A14" s="268" t="s">
        <v>92</v>
      </c>
      <c r="B14" s="339">
        <v>0</v>
      </c>
      <c r="C14" s="334">
        <v>-4</v>
      </c>
      <c r="D14" s="333"/>
    </row>
    <row r="15" spans="1:12" ht="12.75" x14ac:dyDescent="0.2">
      <c r="A15" s="268" t="s">
        <v>93</v>
      </c>
      <c r="B15" s="339">
        <v>-3</v>
      </c>
      <c r="C15" s="334">
        <v>13</v>
      </c>
      <c r="D15" s="333"/>
    </row>
    <row r="16" spans="1:12" ht="12.75" x14ac:dyDescent="0.2">
      <c r="A16" s="268" t="s">
        <v>94</v>
      </c>
      <c r="B16" s="339">
        <v>2</v>
      </c>
      <c r="C16" s="334">
        <v>5</v>
      </c>
      <c r="D16" s="333"/>
    </row>
    <row r="17" spans="1:9" ht="12.75" x14ac:dyDescent="0.2">
      <c r="A17" s="268" t="s">
        <v>95</v>
      </c>
      <c r="B17" s="339">
        <v>-1</v>
      </c>
      <c r="C17" s="334">
        <v>-6</v>
      </c>
      <c r="D17" s="333"/>
    </row>
    <row r="18" spans="1:9" ht="12.75" x14ac:dyDescent="0.2">
      <c r="A18" s="268" t="s">
        <v>96</v>
      </c>
      <c r="B18" s="339">
        <v>-2</v>
      </c>
      <c r="C18" s="334">
        <v>0</v>
      </c>
      <c r="D18" s="333"/>
    </row>
    <row r="19" spans="1:9" ht="12.75" x14ac:dyDescent="0.2">
      <c r="A19" s="268" t="s">
        <v>97</v>
      </c>
      <c r="B19" s="339">
        <v>-7</v>
      </c>
      <c r="C19" s="334">
        <v>-13</v>
      </c>
      <c r="D19" s="333"/>
    </row>
    <row r="20" spans="1:9" ht="12.75" x14ac:dyDescent="0.2">
      <c r="A20" s="269" t="s">
        <v>98</v>
      </c>
      <c r="B20" s="336">
        <v>0</v>
      </c>
      <c r="C20" s="335">
        <v>0</v>
      </c>
      <c r="D20" s="333"/>
    </row>
    <row r="21" spans="1:9" ht="12.75" x14ac:dyDescent="0.2">
      <c r="A21" s="337" t="s">
        <v>99</v>
      </c>
      <c r="B21" s="338">
        <f t="shared" ref="B21" si="0">SUM(B13:B20)</f>
        <v>-22</v>
      </c>
      <c r="C21" s="364">
        <f t="shared" ref="C21" si="1">SUM(C13:C20)</f>
        <v>-11</v>
      </c>
      <c r="D21" s="333"/>
    </row>
    <row r="22" spans="1:9" ht="12.75" x14ac:dyDescent="0.2">
      <c r="A22" s="268"/>
      <c r="B22" s="339"/>
      <c r="C22" s="334"/>
      <c r="D22" s="333"/>
    </row>
    <row r="23" spans="1:9" ht="12.75" x14ac:dyDescent="0.2">
      <c r="A23" s="268" t="s">
        <v>100</v>
      </c>
      <c r="B23" s="339"/>
      <c r="C23" s="334"/>
      <c r="D23" s="333"/>
    </row>
    <row r="24" spans="1:9" ht="12.75" x14ac:dyDescent="0.2">
      <c r="A24" s="268" t="s">
        <v>101</v>
      </c>
      <c r="B24" s="339">
        <v>17</v>
      </c>
      <c r="C24" s="334">
        <v>-2</v>
      </c>
      <c r="D24" s="333"/>
    </row>
    <row r="25" spans="1:9" ht="12.75" x14ac:dyDescent="0.2">
      <c r="A25" s="268" t="s">
        <v>102</v>
      </c>
      <c r="B25" s="339">
        <v>-27</v>
      </c>
      <c r="C25" s="334">
        <v>-4</v>
      </c>
      <c r="D25" s="333"/>
    </row>
    <row r="26" spans="1:9" ht="12.75" x14ac:dyDescent="0.2">
      <c r="A26" s="268" t="s">
        <v>103</v>
      </c>
      <c r="B26" s="339">
        <v>-11</v>
      </c>
      <c r="C26" s="334">
        <v>-6</v>
      </c>
      <c r="D26" s="333"/>
    </row>
    <row r="27" spans="1:9" ht="12.75" x14ac:dyDescent="0.2">
      <c r="A27" s="268" t="s">
        <v>104</v>
      </c>
      <c r="B27" s="339">
        <v>-1</v>
      </c>
      <c r="C27" s="334">
        <v>3</v>
      </c>
      <c r="D27" s="333"/>
    </row>
    <row r="28" spans="1:9" ht="12.75" x14ac:dyDescent="0.2">
      <c r="A28" s="268" t="s">
        <v>105</v>
      </c>
      <c r="B28" s="339">
        <v>0</v>
      </c>
      <c r="C28" s="334">
        <v>-2</v>
      </c>
      <c r="D28" s="333"/>
    </row>
    <row r="29" spans="1:9" ht="12.75" x14ac:dyDescent="0.2">
      <c r="A29" s="337" t="s">
        <v>106</v>
      </c>
      <c r="B29" s="338">
        <f t="shared" ref="B29" si="2">SUM(B24:B28)</f>
        <v>-22</v>
      </c>
      <c r="C29" s="364">
        <f t="shared" ref="C29" si="3">SUM(C24:C28)</f>
        <v>-11</v>
      </c>
      <c r="D29" s="333"/>
    </row>
    <row r="31" spans="1:9" x14ac:dyDescent="0.2">
      <c r="A31" s="268"/>
    </row>
    <row r="32" spans="1:9" ht="12.75" x14ac:dyDescent="0.2">
      <c r="A32" s="435" t="s">
        <v>107</v>
      </c>
      <c r="B32" s="268"/>
      <c r="C32" s="268"/>
      <c r="D32" s="268"/>
      <c r="E32" s="268"/>
      <c r="F32" s="329"/>
      <c r="G32" s="329"/>
      <c r="H32" s="329"/>
      <c r="I32" s="329"/>
    </row>
    <row r="33" spans="1:9" ht="12.75" x14ac:dyDescent="0.2">
      <c r="A33" s="435" t="s">
        <v>108</v>
      </c>
      <c r="B33" s="268"/>
      <c r="C33" s="268"/>
      <c r="D33" s="268"/>
      <c r="E33" s="268"/>
      <c r="F33" s="329"/>
      <c r="G33" s="329"/>
      <c r="H33" s="329"/>
      <c r="I33" s="329"/>
    </row>
    <row r="34" spans="1:9" ht="12.75" x14ac:dyDescent="0.2">
      <c r="B34" s="268"/>
      <c r="C34" s="268"/>
      <c r="D34" s="268"/>
      <c r="E34" s="268"/>
      <c r="F34" s="329"/>
      <c r="G34" s="329"/>
      <c r="H34" s="329"/>
      <c r="I34" s="329"/>
    </row>
    <row r="35" spans="1:9" ht="12.75" x14ac:dyDescent="0.2">
      <c r="A35" s="268" t="s">
        <v>1119</v>
      </c>
      <c r="B35" s="268"/>
      <c r="C35" s="268"/>
      <c r="D35" s="268"/>
      <c r="E35" s="268"/>
      <c r="F35" s="329"/>
      <c r="G35" s="329"/>
      <c r="H35" s="329"/>
      <c r="I35" s="329"/>
    </row>
    <row r="36" spans="1:9" ht="12.75" x14ac:dyDescent="0.2">
      <c r="A36" s="436" t="s">
        <v>1120</v>
      </c>
      <c r="B36" s="268"/>
      <c r="C36" s="268"/>
      <c r="D36" s="268"/>
      <c r="E36" s="268"/>
      <c r="F36" s="329"/>
      <c r="G36" s="329"/>
      <c r="H36" s="329"/>
      <c r="I36" s="329"/>
    </row>
    <row r="37" spans="1:9" ht="12.75" x14ac:dyDescent="0.2">
      <c r="A37" s="17" t="s">
        <v>1121</v>
      </c>
      <c r="B37" s="268"/>
      <c r="C37" s="268"/>
      <c r="D37" s="268"/>
      <c r="E37" s="268"/>
      <c r="F37" s="329"/>
      <c r="G37" s="329"/>
      <c r="H37" s="329"/>
      <c r="I37" s="329"/>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oddFooter>&amp;R&amp;A</oddFooter>
  </headerFooter>
  <rowBreaks count="1" manualBreakCount="1">
    <brk id="26" max="16383" man="1"/>
  </rowBreaks>
  <colBreaks count="1" manualBreakCount="1">
    <brk id="1" max="1048575" man="1"/>
  </colBreaks>
  <ignoredErrors>
    <ignoredError sqref="B10:C10"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X49"/>
  <sheetViews>
    <sheetView zoomScaleNormal="100" workbookViewId="0"/>
  </sheetViews>
  <sheetFormatPr baseColWidth="10" defaultRowHeight="12.75" x14ac:dyDescent="0.2"/>
  <cols>
    <col min="1" max="1" width="4.375" style="479" customWidth="1"/>
    <col min="2" max="2" width="74.625" style="479" bestFit="1" customWidth="1"/>
    <col min="3" max="4" width="52.125" style="479" bestFit="1" customWidth="1"/>
    <col min="5" max="5" width="23.5" style="479" bestFit="1" customWidth="1"/>
    <col min="6" max="9" width="22.125" style="479" customWidth="1"/>
    <col min="10" max="10" width="27.75" style="479" customWidth="1"/>
    <col min="11" max="11" width="3.75" style="479" customWidth="1"/>
    <col min="12" max="12" width="40.5" style="479" customWidth="1"/>
    <col min="13" max="13" width="41.625" style="479" customWidth="1"/>
    <col min="14" max="14" width="5.375" style="479" customWidth="1"/>
    <col min="15" max="17" width="51.625" style="479" customWidth="1"/>
    <col min="18" max="20" width="51.5" style="479" customWidth="1"/>
    <col min="21" max="21" width="3.75" style="479" customWidth="1"/>
    <col min="22" max="23" width="51.5" style="479" customWidth="1"/>
    <col min="24" max="16384" width="11" style="479"/>
  </cols>
  <sheetData>
    <row r="1" spans="1:24" x14ac:dyDescent="0.2">
      <c r="A1" s="503" t="s">
        <v>826</v>
      </c>
    </row>
    <row r="2" spans="1:24" x14ac:dyDescent="0.2">
      <c r="C2" s="479" t="s">
        <v>728</v>
      </c>
    </row>
    <row r="3" spans="1:24" ht="15" x14ac:dyDescent="0.25">
      <c r="B3" s="480"/>
      <c r="C3" s="481"/>
      <c r="D3" s="482"/>
      <c r="E3" s="480"/>
      <c r="F3" s="480"/>
      <c r="G3" s="480"/>
      <c r="H3" s="480"/>
      <c r="I3" s="480"/>
      <c r="J3" s="480"/>
      <c r="L3" s="738" t="s">
        <v>961</v>
      </c>
      <c r="M3" s="738"/>
      <c r="O3" s="738" t="s">
        <v>1130</v>
      </c>
      <c r="P3" s="738"/>
      <c r="Q3" s="738"/>
      <c r="R3" s="738"/>
      <c r="S3" s="738"/>
      <c r="T3" s="668"/>
      <c r="V3" s="737" t="s">
        <v>1124</v>
      </c>
      <c r="W3" s="738"/>
    </row>
    <row r="4" spans="1:24" ht="13.5" thickBot="1" x14ac:dyDescent="0.25">
      <c r="A4" s="462">
        <v>1</v>
      </c>
      <c r="B4" s="483" t="s">
        <v>729</v>
      </c>
      <c r="C4" s="465" t="s">
        <v>730</v>
      </c>
      <c r="D4" s="465" t="s">
        <v>730</v>
      </c>
      <c r="E4" s="465" t="s">
        <v>730</v>
      </c>
      <c r="F4" s="465" t="s">
        <v>730</v>
      </c>
      <c r="G4" s="465" t="s">
        <v>730</v>
      </c>
      <c r="H4" s="465" t="s">
        <v>1077</v>
      </c>
      <c r="I4" s="465" t="s">
        <v>1077</v>
      </c>
      <c r="J4" s="465" t="s">
        <v>730</v>
      </c>
      <c r="L4" s="465" t="s">
        <v>731</v>
      </c>
      <c r="M4" s="465" t="s">
        <v>731</v>
      </c>
      <c r="O4" s="465" t="s">
        <v>732</v>
      </c>
      <c r="P4" s="465" t="s">
        <v>904</v>
      </c>
      <c r="Q4" s="465" t="s">
        <v>904</v>
      </c>
      <c r="R4" s="465" t="s">
        <v>904</v>
      </c>
      <c r="S4" s="465" t="s">
        <v>904</v>
      </c>
      <c r="T4" s="465" t="s">
        <v>904</v>
      </c>
      <c r="V4" s="465" t="s">
        <v>733</v>
      </c>
      <c r="W4" s="465" t="s">
        <v>733</v>
      </c>
    </row>
    <row r="5" spans="1:24" x14ac:dyDescent="0.2">
      <c r="A5" s="484">
        <v>2</v>
      </c>
      <c r="B5" s="485" t="s">
        <v>734</v>
      </c>
      <c r="C5" s="351">
        <v>10552672</v>
      </c>
      <c r="D5" s="351">
        <v>10552664</v>
      </c>
      <c r="E5" s="351">
        <v>10694920</v>
      </c>
      <c r="F5" s="351" t="s">
        <v>956</v>
      </c>
      <c r="G5" s="351" t="s">
        <v>1066</v>
      </c>
      <c r="H5" s="351" t="s">
        <v>1078</v>
      </c>
      <c r="I5" s="351" t="s">
        <v>1078</v>
      </c>
      <c r="J5" s="351" t="s">
        <v>1069</v>
      </c>
      <c r="L5" s="461" t="s">
        <v>884</v>
      </c>
      <c r="M5" s="461" t="s">
        <v>891</v>
      </c>
      <c r="N5" s="515"/>
      <c r="O5" s="523" t="s">
        <v>735</v>
      </c>
      <c r="P5" s="461" t="s">
        <v>905</v>
      </c>
      <c r="Q5" s="461" t="s">
        <v>909</v>
      </c>
      <c r="R5" s="461" t="s">
        <v>911</v>
      </c>
      <c r="S5" s="461" t="s">
        <v>965</v>
      </c>
      <c r="T5" s="461" t="s">
        <v>1123</v>
      </c>
      <c r="V5" s="461" t="s">
        <v>736</v>
      </c>
      <c r="W5" s="461" t="s">
        <v>737</v>
      </c>
      <c r="X5" s="383"/>
    </row>
    <row r="6" spans="1:24" x14ac:dyDescent="0.2">
      <c r="A6" s="484">
        <v>3</v>
      </c>
      <c r="B6" s="485" t="s">
        <v>738</v>
      </c>
      <c r="C6" s="351" t="s">
        <v>739</v>
      </c>
      <c r="D6" s="351" t="s">
        <v>739</v>
      </c>
      <c r="E6" s="351" t="s">
        <v>739</v>
      </c>
      <c r="F6" s="351" t="s">
        <v>739</v>
      </c>
      <c r="G6" s="351" t="s">
        <v>739</v>
      </c>
      <c r="H6" s="351" t="s">
        <v>739</v>
      </c>
      <c r="I6" s="351" t="s">
        <v>739</v>
      </c>
      <c r="J6" s="351" t="s">
        <v>739</v>
      </c>
      <c r="L6" s="383"/>
      <c r="M6" s="515"/>
      <c r="N6" s="515"/>
      <c r="O6" s="461" t="s">
        <v>1058</v>
      </c>
      <c r="P6" s="461" t="s">
        <v>1058</v>
      </c>
      <c r="Q6" s="461" t="s">
        <v>1058</v>
      </c>
      <c r="R6" s="461" t="s">
        <v>1058</v>
      </c>
      <c r="S6" s="461" t="s">
        <v>1058</v>
      </c>
      <c r="T6" s="461" t="s">
        <v>1058</v>
      </c>
      <c r="V6" s="461" t="s">
        <v>1058</v>
      </c>
      <c r="W6" s="461" t="s">
        <v>1058</v>
      </c>
      <c r="X6" s="383"/>
    </row>
    <row r="7" spans="1:24" ht="13.5" customHeight="1" thickBot="1" x14ac:dyDescent="0.25">
      <c r="A7" s="462"/>
      <c r="B7" s="486" t="s">
        <v>740</v>
      </c>
      <c r="C7" s="487"/>
      <c r="D7" s="487"/>
      <c r="E7" s="487"/>
      <c r="F7" s="487"/>
      <c r="G7" s="487"/>
      <c r="H7" s="487"/>
      <c r="I7" s="487"/>
      <c r="J7" s="487"/>
      <c r="L7" s="487"/>
      <c r="M7" s="487"/>
      <c r="N7" s="515"/>
      <c r="O7" s="488"/>
      <c r="P7" s="488"/>
      <c r="Q7" s="488"/>
      <c r="R7" s="489"/>
      <c r="S7" s="488"/>
      <c r="T7" s="488"/>
      <c r="V7" s="488"/>
      <c r="W7" s="490"/>
      <c r="X7" s="383"/>
    </row>
    <row r="8" spans="1:24" x14ac:dyDescent="0.2">
      <c r="A8" s="484">
        <v>4</v>
      </c>
      <c r="B8" s="485" t="s">
        <v>741</v>
      </c>
      <c r="C8" s="351" t="s">
        <v>742</v>
      </c>
      <c r="D8" s="351" t="s">
        <v>742</v>
      </c>
      <c r="E8" s="351" t="s">
        <v>743</v>
      </c>
      <c r="F8" s="351" t="s">
        <v>743</v>
      </c>
      <c r="G8" s="351" t="s">
        <v>743</v>
      </c>
      <c r="H8" s="351" t="s">
        <v>743</v>
      </c>
      <c r="I8" s="351" t="s">
        <v>743</v>
      </c>
      <c r="J8" s="351" t="s">
        <v>742</v>
      </c>
      <c r="L8" s="351" t="s">
        <v>743</v>
      </c>
      <c r="M8" s="521" t="s">
        <v>892</v>
      </c>
      <c r="N8" s="515"/>
      <c r="O8" s="461" t="s">
        <v>743</v>
      </c>
      <c r="P8" s="461" t="s">
        <v>906</v>
      </c>
      <c r="Q8" s="461" t="s">
        <v>888</v>
      </c>
      <c r="R8" s="518" t="s">
        <v>888</v>
      </c>
      <c r="S8" s="518" t="s">
        <v>888</v>
      </c>
      <c r="T8" s="518" t="s">
        <v>888</v>
      </c>
      <c r="V8" s="461" t="s">
        <v>743</v>
      </c>
      <c r="W8" s="461" t="s">
        <v>744</v>
      </c>
      <c r="X8" s="383"/>
    </row>
    <row r="9" spans="1:24" x14ac:dyDescent="0.2">
      <c r="A9" s="484">
        <v>5</v>
      </c>
      <c r="B9" s="485" t="s">
        <v>745</v>
      </c>
      <c r="C9" s="351" t="s">
        <v>746</v>
      </c>
      <c r="D9" s="351" t="s">
        <v>746</v>
      </c>
      <c r="E9" s="351" t="s">
        <v>743</v>
      </c>
      <c r="F9" s="351" t="s">
        <v>743</v>
      </c>
      <c r="G9" s="351" t="s">
        <v>743</v>
      </c>
      <c r="H9" s="351" t="s">
        <v>743</v>
      </c>
      <c r="I9" s="351" t="s">
        <v>743</v>
      </c>
      <c r="J9" s="521" t="s">
        <v>893</v>
      </c>
      <c r="L9" s="351" t="s">
        <v>743</v>
      </c>
      <c r="M9" s="518" t="s">
        <v>893</v>
      </c>
      <c r="N9" s="515"/>
      <c r="O9" s="461" t="s">
        <v>743</v>
      </c>
      <c r="P9" s="461" t="s">
        <v>906</v>
      </c>
      <c r="Q9" s="461" t="s">
        <v>888</v>
      </c>
      <c r="R9" s="518" t="s">
        <v>888</v>
      </c>
      <c r="S9" s="518" t="s">
        <v>888</v>
      </c>
      <c r="T9" s="518" t="s">
        <v>888</v>
      </c>
      <c r="V9" s="461" t="s">
        <v>743</v>
      </c>
      <c r="W9" s="461" t="s">
        <v>744</v>
      </c>
      <c r="X9" s="383"/>
    </row>
    <row r="10" spans="1:24" x14ac:dyDescent="0.2">
      <c r="A10" s="484">
        <v>6</v>
      </c>
      <c r="B10" s="485" t="s">
        <v>747</v>
      </c>
      <c r="C10" s="351" t="s">
        <v>748</v>
      </c>
      <c r="D10" s="351" t="s">
        <v>748</v>
      </c>
      <c r="E10" s="351" t="s">
        <v>748</v>
      </c>
      <c r="F10" s="351" t="s">
        <v>748</v>
      </c>
      <c r="G10" s="351" t="s">
        <v>748</v>
      </c>
      <c r="H10" s="351" t="s">
        <v>748</v>
      </c>
      <c r="I10" s="351" t="s">
        <v>748</v>
      </c>
      <c r="J10" s="351" t="s">
        <v>748</v>
      </c>
      <c r="L10" s="461" t="s">
        <v>749</v>
      </c>
      <c r="M10" s="461" t="s">
        <v>749</v>
      </c>
      <c r="O10" s="461" t="s">
        <v>749</v>
      </c>
      <c r="P10" s="461" t="s">
        <v>749</v>
      </c>
      <c r="Q10" s="461" t="s">
        <v>749</v>
      </c>
      <c r="R10" s="461" t="s">
        <v>749</v>
      </c>
      <c r="S10" s="461" t="s">
        <v>749</v>
      </c>
      <c r="T10" s="461" t="s">
        <v>749</v>
      </c>
      <c r="V10" s="461" t="s">
        <v>749</v>
      </c>
      <c r="W10" s="461" t="s">
        <v>749</v>
      </c>
      <c r="X10" s="383"/>
    </row>
    <row r="11" spans="1:24" x14ac:dyDescent="0.2">
      <c r="A11" s="484">
        <v>7</v>
      </c>
      <c r="B11" s="104" t="s">
        <v>750</v>
      </c>
      <c r="C11" s="298"/>
      <c r="D11" s="298"/>
      <c r="E11" s="298"/>
      <c r="F11" s="298"/>
      <c r="G11" s="298"/>
      <c r="H11" s="298"/>
      <c r="I11" s="298"/>
      <c r="J11" s="298"/>
      <c r="L11" s="461" t="s">
        <v>497</v>
      </c>
      <c r="M11" s="461" t="s">
        <v>497</v>
      </c>
      <c r="O11" s="461" t="s">
        <v>751</v>
      </c>
      <c r="P11" s="461" t="s">
        <v>497</v>
      </c>
      <c r="Q11" s="461" t="s">
        <v>751</v>
      </c>
      <c r="R11" s="461" t="s">
        <v>751</v>
      </c>
      <c r="S11" s="461" t="s">
        <v>751</v>
      </c>
      <c r="T11" s="461" t="s">
        <v>751</v>
      </c>
      <c r="V11" s="461" t="s">
        <v>751</v>
      </c>
      <c r="W11" s="461" t="s">
        <v>752</v>
      </c>
      <c r="X11" s="383"/>
    </row>
    <row r="12" spans="1:24" x14ac:dyDescent="0.2">
      <c r="A12" s="484">
        <v>8</v>
      </c>
      <c r="B12" s="104" t="s">
        <v>753</v>
      </c>
      <c r="C12" s="521" t="s">
        <v>1065</v>
      </c>
      <c r="D12" s="351" t="s">
        <v>754</v>
      </c>
      <c r="E12" s="351" t="s">
        <v>755</v>
      </c>
      <c r="F12" s="351" t="s">
        <v>1151</v>
      </c>
      <c r="G12" s="521" t="s">
        <v>1067</v>
      </c>
      <c r="H12" s="521" t="s">
        <v>1152</v>
      </c>
      <c r="I12" s="521" t="s">
        <v>1177</v>
      </c>
      <c r="J12" s="521" t="s">
        <v>1070</v>
      </c>
      <c r="L12" s="461">
        <v>500000000</v>
      </c>
      <c r="M12" s="461">
        <v>400000000</v>
      </c>
      <c r="O12" s="461">
        <v>350000000</v>
      </c>
      <c r="P12" s="461">
        <v>1600000000</v>
      </c>
      <c r="Q12" s="461">
        <v>300000000</v>
      </c>
      <c r="R12" s="461">
        <v>180000000</v>
      </c>
      <c r="S12" s="461">
        <v>250000000</v>
      </c>
      <c r="T12" s="461">
        <v>100000000</v>
      </c>
      <c r="V12" s="383">
        <v>173000000</v>
      </c>
      <c r="W12" s="461">
        <v>346000000</v>
      </c>
      <c r="X12" s="383"/>
    </row>
    <row r="13" spans="1:24" x14ac:dyDescent="0.2">
      <c r="A13" s="484">
        <v>9</v>
      </c>
      <c r="B13" s="104" t="s">
        <v>756</v>
      </c>
      <c r="C13" s="177" t="s">
        <v>757</v>
      </c>
      <c r="D13" s="351" t="s">
        <v>754</v>
      </c>
      <c r="E13" s="351" t="s">
        <v>758</v>
      </c>
      <c r="F13" s="521" t="s">
        <v>957</v>
      </c>
      <c r="G13" s="521" t="s">
        <v>1067</v>
      </c>
      <c r="H13" s="521" t="s">
        <v>1152</v>
      </c>
      <c r="I13" s="521" t="s">
        <v>1177</v>
      </c>
      <c r="J13" s="521" t="s">
        <v>1070</v>
      </c>
      <c r="L13" s="461">
        <v>500000000</v>
      </c>
      <c r="M13" s="461">
        <v>400000000</v>
      </c>
      <c r="O13" s="461">
        <v>350000000</v>
      </c>
      <c r="P13" s="461">
        <v>1600000000</v>
      </c>
      <c r="Q13" s="461">
        <v>300000000</v>
      </c>
      <c r="R13" s="461">
        <v>180000000</v>
      </c>
      <c r="S13" s="461">
        <v>250000000</v>
      </c>
      <c r="T13" s="461">
        <v>100000000</v>
      </c>
      <c r="V13" s="461">
        <v>173000000</v>
      </c>
      <c r="W13" s="461">
        <v>346000000</v>
      </c>
      <c r="X13" s="383"/>
    </row>
    <row r="14" spans="1:24" x14ac:dyDescent="0.2">
      <c r="A14" s="484" t="s">
        <v>759</v>
      </c>
      <c r="B14" s="104" t="s">
        <v>760</v>
      </c>
      <c r="C14" s="351" t="s">
        <v>761</v>
      </c>
      <c r="D14" s="351" t="s">
        <v>761</v>
      </c>
      <c r="E14" s="351" t="s">
        <v>761</v>
      </c>
      <c r="F14" s="351" t="s">
        <v>761</v>
      </c>
      <c r="G14" s="351" t="s">
        <v>761</v>
      </c>
      <c r="H14" s="351" t="s">
        <v>761</v>
      </c>
      <c r="I14" s="351" t="s">
        <v>761</v>
      </c>
      <c r="J14" s="351" t="s">
        <v>761</v>
      </c>
      <c r="L14" s="461">
        <v>100</v>
      </c>
      <c r="M14" s="461">
        <v>100</v>
      </c>
      <c r="O14" s="461">
        <v>100</v>
      </c>
      <c r="P14" s="461">
        <v>100</v>
      </c>
      <c r="Q14" s="461">
        <v>100</v>
      </c>
      <c r="R14" s="461">
        <v>100</v>
      </c>
      <c r="S14" s="461">
        <v>100</v>
      </c>
      <c r="T14" s="461">
        <v>100</v>
      </c>
      <c r="V14" s="461">
        <v>100</v>
      </c>
      <c r="W14" s="461">
        <v>100</v>
      </c>
      <c r="X14" s="383"/>
    </row>
    <row r="15" spans="1:24" x14ac:dyDescent="0.2">
      <c r="A15" s="484" t="s">
        <v>762</v>
      </c>
      <c r="B15" s="104" t="s">
        <v>763</v>
      </c>
      <c r="C15" s="351" t="s">
        <v>764</v>
      </c>
      <c r="D15" s="351" t="s">
        <v>764</v>
      </c>
      <c r="E15" s="351" t="s">
        <v>764</v>
      </c>
      <c r="F15" s="351" t="s">
        <v>764</v>
      </c>
      <c r="G15" s="351" t="s">
        <v>764</v>
      </c>
      <c r="H15" s="351" t="s">
        <v>764</v>
      </c>
      <c r="I15" s="351" t="s">
        <v>764</v>
      </c>
      <c r="J15" s="351" t="s">
        <v>764</v>
      </c>
      <c r="L15" s="461">
        <v>100</v>
      </c>
      <c r="M15" s="461">
        <v>100</v>
      </c>
      <c r="O15" s="461">
        <v>100</v>
      </c>
      <c r="P15" s="461">
        <v>100</v>
      </c>
      <c r="Q15" s="461">
        <v>100</v>
      </c>
      <c r="R15" s="461">
        <v>100</v>
      </c>
      <c r="S15" s="461">
        <v>100</v>
      </c>
      <c r="T15" s="461">
        <v>100</v>
      </c>
      <c r="V15" s="461">
        <v>100</v>
      </c>
      <c r="W15" s="461">
        <v>100</v>
      </c>
      <c r="X15" s="383"/>
    </row>
    <row r="16" spans="1:24" x14ac:dyDescent="0.2">
      <c r="A16" s="484">
        <v>10</v>
      </c>
      <c r="B16" s="104" t="s">
        <v>765</v>
      </c>
      <c r="C16" s="351" t="s">
        <v>766</v>
      </c>
      <c r="D16" s="351" t="s">
        <v>766</v>
      </c>
      <c r="E16" s="351" t="s">
        <v>766</v>
      </c>
      <c r="F16" s="351" t="s">
        <v>766</v>
      </c>
      <c r="G16" s="351" t="s">
        <v>766</v>
      </c>
      <c r="H16" s="351" t="s">
        <v>766</v>
      </c>
      <c r="I16" s="351" t="s">
        <v>766</v>
      </c>
      <c r="J16" s="351" t="s">
        <v>766</v>
      </c>
      <c r="L16" s="461" t="s">
        <v>767</v>
      </c>
      <c r="M16" s="461" t="s">
        <v>767</v>
      </c>
      <c r="O16" s="461" t="s">
        <v>767</v>
      </c>
      <c r="P16" s="461" t="s">
        <v>767</v>
      </c>
      <c r="Q16" s="461" t="s">
        <v>767</v>
      </c>
      <c r="R16" s="461" t="s">
        <v>767</v>
      </c>
      <c r="S16" s="461" t="s">
        <v>767</v>
      </c>
      <c r="T16" s="461" t="s">
        <v>767</v>
      </c>
      <c r="V16" s="461" t="s">
        <v>767</v>
      </c>
      <c r="W16" s="461" t="s">
        <v>767</v>
      </c>
      <c r="X16" s="383"/>
    </row>
    <row r="17" spans="1:24" x14ac:dyDescent="0.2">
      <c r="A17" s="484">
        <v>11</v>
      </c>
      <c r="B17" s="104" t="s">
        <v>768</v>
      </c>
      <c r="C17" s="491">
        <v>40156</v>
      </c>
      <c r="D17" s="491">
        <v>40156</v>
      </c>
      <c r="E17" s="491">
        <v>41605</v>
      </c>
      <c r="F17" s="491">
        <v>42359</v>
      </c>
      <c r="G17" s="491">
        <v>42864</v>
      </c>
      <c r="H17" s="491">
        <v>42970</v>
      </c>
      <c r="I17" s="491">
        <v>43364</v>
      </c>
      <c r="J17" s="491">
        <v>42915</v>
      </c>
      <c r="L17" s="492">
        <v>42074</v>
      </c>
      <c r="M17" s="492">
        <v>41695</v>
      </c>
      <c r="O17" s="492">
        <v>41815</v>
      </c>
      <c r="P17" s="492">
        <v>41705</v>
      </c>
      <c r="Q17" s="492">
        <v>42270</v>
      </c>
      <c r="R17" s="492">
        <v>42276</v>
      </c>
      <c r="S17" s="492">
        <v>42531</v>
      </c>
      <c r="T17" s="492">
        <v>43070</v>
      </c>
      <c r="U17" s="493"/>
      <c r="V17" s="492">
        <v>41589</v>
      </c>
      <c r="W17" s="492">
        <v>41589</v>
      </c>
      <c r="X17" s="383"/>
    </row>
    <row r="18" spans="1:24" x14ac:dyDescent="0.2">
      <c r="A18" s="484">
        <v>12</v>
      </c>
      <c r="B18" s="104" t="s">
        <v>769</v>
      </c>
      <c r="C18" s="351" t="s">
        <v>770</v>
      </c>
      <c r="D18" s="351" t="s">
        <v>770</v>
      </c>
      <c r="E18" s="351" t="s">
        <v>771</v>
      </c>
      <c r="F18" s="351" t="s">
        <v>771</v>
      </c>
      <c r="G18" s="351" t="s">
        <v>771</v>
      </c>
      <c r="H18" s="351" t="s">
        <v>771</v>
      </c>
      <c r="I18" s="351" t="s">
        <v>771</v>
      </c>
      <c r="J18" s="351" t="s">
        <v>771</v>
      </c>
      <c r="L18" s="518" t="s">
        <v>885</v>
      </c>
      <c r="M18" s="492" t="s">
        <v>398</v>
      </c>
      <c r="O18" s="461" t="s">
        <v>770</v>
      </c>
      <c r="P18" s="461" t="s">
        <v>398</v>
      </c>
      <c r="Q18" s="461" t="s">
        <v>770</v>
      </c>
      <c r="R18" s="518" t="s">
        <v>885</v>
      </c>
      <c r="S18" s="518" t="s">
        <v>885</v>
      </c>
      <c r="T18" s="518" t="s">
        <v>885</v>
      </c>
      <c r="V18" s="461" t="s">
        <v>770</v>
      </c>
      <c r="W18" s="461" t="s">
        <v>771</v>
      </c>
      <c r="X18" s="383"/>
    </row>
    <row r="19" spans="1:24" x14ac:dyDescent="0.2">
      <c r="A19" s="484">
        <v>13</v>
      </c>
      <c r="B19" s="104" t="s">
        <v>772</v>
      </c>
      <c r="C19" s="351" t="s">
        <v>773</v>
      </c>
      <c r="D19" s="351" t="s">
        <v>773</v>
      </c>
      <c r="E19" s="491">
        <v>45257</v>
      </c>
      <c r="F19" s="491">
        <v>47838</v>
      </c>
      <c r="G19" s="491">
        <v>46882</v>
      </c>
      <c r="H19" s="491">
        <v>47353</v>
      </c>
      <c r="I19" s="491" t="s">
        <v>1178</v>
      </c>
      <c r="J19" s="351" t="s">
        <v>773</v>
      </c>
      <c r="L19" s="492">
        <v>42074</v>
      </c>
      <c r="M19" s="351" t="s">
        <v>773</v>
      </c>
      <c r="O19" s="492"/>
      <c r="P19" s="492">
        <v>45358</v>
      </c>
      <c r="Q19" s="492"/>
      <c r="R19" s="492"/>
      <c r="S19" s="492"/>
      <c r="T19" s="492"/>
      <c r="V19" s="492"/>
      <c r="W19" s="492">
        <v>45243</v>
      </c>
      <c r="X19" s="383"/>
    </row>
    <row r="20" spans="1:24" x14ac:dyDescent="0.2">
      <c r="A20" s="484">
        <v>14</v>
      </c>
      <c r="B20" s="104" t="s">
        <v>774</v>
      </c>
      <c r="C20" s="351" t="s">
        <v>775</v>
      </c>
      <c r="D20" s="351" t="s">
        <v>775</v>
      </c>
      <c r="E20" s="351" t="s">
        <v>775</v>
      </c>
      <c r="F20" s="521" t="s">
        <v>889</v>
      </c>
      <c r="G20" s="521" t="s">
        <v>889</v>
      </c>
      <c r="H20" s="521" t="s">
        <v>896</v>
      </c>
      <c r="I20" s="521" t="s">
        <v>896</v>
      </c>
      <c r="J20" s="521" t="s">
        <v>889</v>
      </c>
      <c r="L20" s="461" t="s">
        <v>775</v>
      </c>
      <c r="M20" s="461" t="s">
        <v>775</v>
      </c>
      <c r="O20" s="492" t="s">
        <v>775</v>
      </c>
      <c r="P20" s="492" t="s">
        <v>896</v>
      </c>
      <c r="Q20" s="492" t="s">
        <v>896</v>
      </c>
      <c r="R20" s="492" t="s">
        <v>775</v>
      </c>
      <c r="S20" s="492" t="s">
        <v>896</v>
      </c>
      <c r="T20" s="492" t="s">
        <v>896</v>
      </c>
      <c r="V20" s="492" t="s">
        <v>775</v>
      </c>
      <c r="W20" s="492" t="s">
        <v>775</v>
      </c>
      <c r="X20" s="383"/>
    </row>
    <row r="21" spans="1:24" x14ac:dyDescent="0.2">
      <c r="A21" s="484">
        <v>15</v>
      </c>
      <c r="B21" s="104" t="s">
        <v>776</v>
      </c>
      <c r="C21" s="494">
        <v>43808</v>
      </c>
      <c r="D21" s="494">
        <v>43808</v>
      </c>
      <c r="E21" s="491">
        <v>43431</v>
      </c>
      <c r="F21" s="494" t="s">
        <v>890</v>
      </c>
      <c r="G21" s="494" t="s">
        <v>890</v>
      </c>
      <c r="H21" s="491">
        <v>45527</v>
      </c>
      <c r="I21" s="491">
        <v>45190</v>
      </c>
      <c r="J21" s="494" t="s">
        <v>890</v>
      </c>
      <c r="L21" s="518" t="s">
        <v>886</v>
      </c>
      <c r="M21" s="518" t="s">
        <v>894</v>
      </c>
      <c r="O21" s="492">
        <v>43594</v>
      </c>
      <c r="P21" s="492">
        <v>43531</v>
      </c>
      <c r="Q21" s="492">
        <v>44097</v>
      </c>
      <c r="R21" s="492">
        <v>44103</v>
      </c>
      <c r="S21" s="492">
        <v>44322</v>
      </c>
      <c r="T21" s="492">
        <v>44896</v>
      </c>
      <c r="V21" s="492">
        <v>43416</v>
      </c>
      <c r="W21" s="492">
        <v>43416</v>
      </c>
      <c r="X21" s="383"/>
    </row>
    <row r="22" spans="1:24" x14ac:dyDescent="0.2">
      <c r="A22" s="484">
        <v>16</v>
      </c>
      <c r="B22" s="104" t="s">
        <v>777</v>
      </c>
      <c r="C22" s="298" t="s">
        <v>778</v>
      </c>
      <c r="D22" s="298" t="s">
        <v>778</v>
      </c>
      <c r="E22" s="351" t="s">
        <v>779</v>
      </c>
      <c r="F22" s="521" t="s">
        <v>890</v>
      </c>
      <c r="G22" s="521" t="s">
        <v>890</v>
      </c>
      <c r="H22" s="351" t="s">
        <v>779</v>
      </c>
      <c r="I22" s="351" t="s">
        <v>779</v>
      </c>
      <c r="J22" s="521" t="s">
        <v>890</v>
      </c>
      <c r="L22" s="461" t="s">
        <v>780</v>
      </c>
      <c r="M22" s="461" t="s">
        <v>780</v>
      </c>
      <c r="O22" s="461" t="s">
        <v>780</v>
      </c>
      <c r="P22" s="461" t="s">
        <v>780</v>
      </c>
      <c r="Q22" s="461" t="s">
        <v>780</v>
      </c>
      <c r="R22" s="461" t="s">
        <v>780</v>
      </c>
      <c r="S22" s="461" t="s">
        <v>780</v>
      </c>
      <c r="T22" s="461" t="s">
        <v>780</v>
      </c>
      <c r="V22" s="461" t="s">
        <v>780</v>
      </c>
      <c r="W22" s="461" t="s">
        <v>780</v>
      </c>
      <c r="X22" s="383"/>
    </row>
    <row r="23" spans="1:24" ht="13.5" thickBot="1" x14ac:dyDescent="0.25">
      <c r="A23" s="462"/>
      <c r="B23" s="483" t="s">
        <v>781</v>
      </c>
      <c r="C23" s="487"/>
      <c r="D23" s="487"/>
      <c r="E23" s="487"/>
      <c r="F23" s="487"/>
      <c r="G23" s="487"/>
      <c r="H23" s="487"/>
      <c r="I23" s="487"/>
      <c r="J23" s="487"/>
      <c r="L23" s="487"/>
      <c r="M23" s="487"/>
      <c r="O23" s="495"/>
      <c r="P23" s="495"/>
      <c r="Q23" s="495"/>
      <c r="R23" s="495"/>
      <c r="S23" s="495"/>
      <c r="T23" s="495"/>
      <c r="V23" s="495"/>
      <c r="W23" s="495"/>
      <c r="X23" s="383"/>
    </row>
    <row r="24" spans="1:24" x14ac:dyDescent="0.2">
      <c r="A24" s="484">
        <v>17</v>
      </c>
      <c r="B24" s="104" t="s">
        <v>782</v>
      </c>
      <c r="C24" s="351" t="s">
        <v>783</v>
      </c>
      <c r="D24" s="351" t="s">
        <v>784</v>
      </c>
      <c r="E24" s="351" t="s">
        <v>784</v>
      </c>
      <c r="F24" s="351" t="s">
        <v>783</v>
      </c>
      <c r="G24" s="351" t="s">
        <v>784</v>
      </c>
      <c r="H24" s="351" t="s">
        <v>784</v>
      </c>
      <c r="I24" s="351" t="s">
        <v>784</v>
      </c>
      <c r="J24" s="351" t="s">
        <v>784</v>
      </c>
      <c r="L24" s="351" t="s">
        <v>784</v>
      </c>
      <c r="M24" s="351" t="s">
        <v>784</v>
      </c>
      <c r="O24" s="351" t="s">
        <v>784</v>
      </c>
      <c r="P24" s="351" t="s">
        <v>784</v>
      </c>
      <c r="Q24" s="351" t="s">
        <v>910</v>
      </c>
      <c r="R24" s="351" t="s">
        <v>910</v>
      </c>
      <c r="S24" s="351" t="s">
        <v>910</v>
      </c>
      <c r="T24" s="351" t="s">
        <v>910</v>
      </c>
      <c r="V24" s="461" t="s">
        <v>785</v>
      </c>
      <c r="W24" s="461" t="s">
        <v>785</v>
      </c>
      <c r="X24" s="383"/>
    </row>
    <row r="25" spans="1:24" ht="24" x14ac:dyDescent="0.2">
      <c r="A25" s="496">
        <v>18</v>
      </c>
      <c r="B25" s="104" t="s">
        <v>786</v>
      </c>
      <c r="C25" s="497" t="s">
        <v>787</v>
      </c>
      <c r="D25" s="298" t="s">
        <v>788</v>
      </c>
      <c r="E25" s="298" t="s">
        <v>789</v>
      </c>
      <c r="F25" s="497" t="s">
        <v>958</v>
      </c>
      <c r="G25" s="658" t="s">
        <v>1068</v>
      </c>
      <c r="H25" s="658" t="s">
        <v>1079</v>
      </c>
      <c r="I25" s="658" t="s">
        <v>1079</v>
      </c>
      <c r="J25" s="658" t="s">
        <v>1071</v>
      </c>
      <c r="L25" s="519" t="s">
        <v>1155</v>
      </c>
      <c r="M25" s="519" t="s">
        <v>1156</v>
      </c>
      <c r="O25" s="518" t="s">
        <v>966</v>
      </c>
      <c r="P25" s="518" t="s">
        <v>967</v>
      </c>
      <c r="Q25" s="518" t="s">
        <v>968</v>
      </c>
      <c r="R25" s="518" t="s">
        <v>968</v>
      </c>
      <c r="S25" s="518" t="s">
        <v>1057</v>
      </c>
      <c r="T25" s="518" t="s">
        <v>966</v>
      </c>
      <c r="V25" s="518" t="s">
        <v>969</v>
      </c>
      <c r="W25" s="518" t="s">
        <v>972</v>
      </c>
      <c r="X25" s="383"/>
    </row>
    <row r="26" spans="1:24" x14ac:dyDescent="0.2">
      <c r="A26" s="484">
        <v>19</v>
      </c>
      <c r="B26" s="104" t="s">
        <v>790</v>
      </c>
      <c r="C26" s="351" t="s">
        <v>791</v>
      </c>
      <c r="D26" s="351" t="s">
        <v>791</v>
      </c>
      <c r="E26" s="351" t="s">
        <v>791</v>
      </c>
      <c r="F26" s="351" t="s">
        <v>791</v>
      </c>
      <c r="G26" s="351" t="s">
        <v>791</v>
      </c>
      <c r="H26" s="351" t="s">
        <v>791</v>
      </c>
      <c r="I26" s="351" t="s">
        <v>791</v>
      </c>
      <c r="J26" s="351" t="s">
        <v>791</v>
      </c>
      <c r="L26" s="461" t="s">
        <v>791</v>
      </c>
      <c r="M26" s="461" t="s">
        <v>791</v>
      </c>
      <c r="O26" s="461" t="s">
        <v>791</v>
      </c>
      <c r="P26" s="461" t="s">
        <v>889</v>
      </c>
      <c r="Q26" s="461" t="s">
        <v>889</v>
      </c>
      <c r="R26" s="461" t="s">
        <v>889</v>
      </c>
      <c r="S26" s="461" t="s">
        <v>889</v>
      </c>
      <c r="T26" s="461" t="s">
        <v>889</v>
      </c>
      <c r="V26" s="461" t="s">
        <v>791</v>
      </c>
      <c r="W26" s="461" t="s">
        <v>791</v>
      </c>
      <c r="X26" s="383"/>
    </row>
    <row r="27" spans="1:24" x14ac:dyDescent="0.2">
      <c r="A27" s="484" t="s">
        <v>560</v>
      </c>
      <c r="B27" s="104" t="s">
        <v>792</v>
      </c>
      <c r="C27" s="351" t="s">
        <v>793</v>
      </c>
      <c r="D27" s="351" t="s">
        <v>793</v>
      </c>
      <c r="E27" s="351" t="s">
        <v>794</v>
      </c>
      <c r="F27" s="521" t="s">
        <v>959</v>
      </c>
      <c r="G27" s="521" t="s">
        <v>959</v>
      </c>
      <c r="H27" s="521" t="s">
        <v>959</v>
      </c>
      <c r="I27" s="521" t="s">
        <v>959</v>
      </c>
      <c r="J27" s="521" t="s">
        <v>959</v>
      </c>
      <c r="L27" s="461" t="s">
        <v>794</v>
      </c>
      <c r="M27" s="518" t="s">
        <v>895</v>
      </c>
      <c r="O27" s="461" t="s">
        <v>794</v>
      </c>
      <c r="P27" s="518" t="s">
        <v>895</v>
      </c>
      <c r="Q27" s="461" t="s">
        <v>794</v>
      </c>
      <c r="R27" s="461" t="s">
        <v>794</v>
      </c>
      <c r="S27" s="461" t="s">
        <v>959</v>
      </c>
      <c r="T27" s="461" t="s">
        <v>959</v>
      </c>
      <c r="V27" s="461" t="s">
        <v>794</v>
      </c>
      <c r="W27" s="461" t="s">
        <v>795</v>
      </c>
      <c r="X27" s="383"/>
    </row>
    <row r="28" spans="1:24" x14ac:dyDescent="0.2">
      <c r="A28" s="484" t="s">
        <v>563</v>
      </c>
      <c r="B28" s="104" t="s">
        <v>796</v>
      </c>
      <c r="C28" s="351" t="s">
        <v>793</v>
      </c>
      <c r="D28" s="351" t="s">
        <v>793</v>
      </c>
      <c r="E28" s="351" t="s">
        <v>794</v>
      </c>
      <c r="F28" s="521" t="s">
        <v>959</v>
      </c>
      <c r="G28" s="521" t="s">
        <v>959</v>
      </c>
      <c r="H28" s="521" t="s">
        <v>959</v>
      </c>
      <c r="I28" s="521" t="s">
        <v>959</v>
      </c>
      <c r="J28" s="521" t="s">
        <v>959</v>
      </c>
      <c r="L28" s="461" t="s">
        <v>794</v>
      </c>
      <c r="M28" s="518" t="s">
        <v>895</v>
      </c>
      <c r="O28" s="461" t="s">
        <v>794</v>
      </c>
      <c r="P28" s="518" t="s">
        <v>895</v>
      </c>
      <c r="Q28" s="461" t="s">
        <v>794</v>
      </c>
      <c r="R28" s="461" t="s">
        <v>794</v>
      </c>
      <c r="S28" s="461" t="s">
        <v>959</v>
      </c>
      <c r="T28" s="461" t="s">
        <v>959</v>
      </c>
      <c r="V28" s="461" t="s">
        <v>794</v>
      </c>
      <c r="W28" s="461" t="s">
        <v>795</v>
      </c>
      <c r="X28" s="383"/>
    </row>
    <row r="29" spans="1:24" x14ac:dyDescent="0.2">
      <c r="A29" s="496">
        <v>21</v>
      </c>
      <c r="B29" s="104" t="s">
        <v>797</v>
      </c>
      <c r="C29" s="351" t="s">
        <v>775</v>
      </c>
      <c r="D29" s="351" t="s">
        <v>775</v>
      </c>
      <c r="E29" s="351" t="s">
        <v>791</v>
      </c>
      <c r="F29" s="521" t="s">
        <v>889</v>
      </c>
      <c r="G29" s="521" t="s">
        <v>889</v>
      </c>
      <c r="H29" s="521" t="s">
        <v>889</v>
      </c>
      <c r="I29" s="521" t="s">
        <v>889</v>
      </c>
      <c r="J29" s="521" t="s">
        <v>889</v>
      </c>
      <c r="L29" s="461" t="s">
        <v>791</v>
      </c>
      <c r="M29" s="461" t="s">
        <v>791</v>
      </c>
      <c r="O29" s="461" t="s">
        <v>791</v>
      </c>
      <c r="P29" s="461" t="s">
        <v>896</v>
      </c>
      <c r="Q29" s="461" t="s">
        <v>791</v>
      </c>
      <c r="R29" s="461" t="s">
        <v>791</v>
      </c>
      <c r="S29" s="461" t="s">
        <v>889</v>
      </c>
      <c r="T29" s="461" t="s">
        <v>889</v>
      </c>
      <c r="V29" s="461" t="s">
        <v>791</v>
      </c>
      <c r="W29" s="498" t="s">
        <v>775</v>
      </c>
      <c r="X29" s="383"/>
    </row>
    <row r="30" spans="1:24" x14ac:dyDescent="0.2">
      <c r="A30" s="484">
        <v>22</v>
      </c>
      <c r="B30" s="104" t="s">
        <v>798</v>
      </c>
      <c r="C30" s="351" t="s">
        <v>799</v>
      </c>
      <c r="D30" s="351" t="s">
        <v>799</v>
      </c>
      <c r="E30" s="351" t="s">
        <v>800</v>
      </c>
      <c r="F30" s="521" t="s">
        <v>960</v>
      </c>
      <c r="G30" s="521" t="s">
        <v>960</v>
      </c>
      <c r="H30" s="521" t="s">
        <v>960</v>
      </c>
      <c r="I30" s="521" t="s">
        <v>960</v>
      </c>
      <c r="J30" s="521" t="s">
        <v>960</v>
      </c>
      <c r="L30" s="461" t="s">
        <v>791</v>
      </c>
      <c r="M30" s="461" t="s">
        <v>791</v>
      </c>
      <c r="O30" s="461" t="s">
        <v>800</v>
      </c>
      <c r="P30" s="461" t="s">
        <v>907</v>
      </c>
      <c r="Q30" s="461" t="s">
        <v>800</v>
      </c>
      <c r="R30" s="461" t="s">
        <v>800</v>
      </c>
      <c r="S30" s="461" t="s">
        <v>960</v>
      </c>
      <c r="T30" s="461" t="s">
        <v>960</v>
      </c>
      <c r="V30" s="461" t="s">
        <v>800</v>
      </c>
      <c r="W30" s="461" t="s">
        <v>801</v>
      </c>
      <c r="X30" s="383"/>
    </row>
    <row r="31" spans="1:24" ht="13.5" thickBot="1" x14ac:dyDescent="0.25">
      <c r="A31" s="462"/>
      <c r="B31" s="483" t="s">
        <v>802</v>
      </c>
      <c r="C31" s="487"/>
      <c r="D31" s="487"/>
      <c r="E31" s="487"/>
      <c r="F31" s="487"/>
      <c r="G31" s="487"/>
      <c r="H31" s="487"/>
      <c r="I31" s="487"/>
      <c r="J31" s="487"/>
      <c r="L31" s="487"/>
      <c r="M31" s="487"/>
      <c r="O31" s="495"/>
      <c r="P31" s="495"/>
      <c r="Q31" s="495"/>
      <c r="R31" s="495"/>
      <c r="S31" s="495"/>
      <c r="T31" s="495"/>
      <c r="V31" s="488"/>
      <c r="W31" s="488"/>
      <c r="X31" s="383"/>
    </row>
    <row r="32" spans="1:24" x14ac:dyDescent="0.2">
      <c r="A32" s="466"/>
      <c r="B32" s="104" t="s">
        <v>1126</v>
      </c>
      <c r="C32" s="351" t="s">
        <v>908</v>
      </c>
      <c r="D32" s="351" t="s">
        <v>908</v>
      </c>
      <c r="E32" s="351" t="s">
        <v>908</v>
      </c>
      <c r="F32" s="351" t="s">
        <v>908</v>
      </c>
      <c r="G32" s="351" t="s">
        <v>908</v>
      </c>
      <c r="H32" s="351" t="s">
        <v>908</v>
      </c>
      <c r="I32" s="351" t="s">
        <v>908</v>
      </c>
      <c r="J32" s="351" t="s">
        <v>908</v>
      </c>
      <c r="L32" s="351" t="s">
        <v>908</v>
      </c>
      <c r="M32" s="351" t="s">
        <v>908</v>
      </c>
      <c r="O32" s="351" t="s">
        <v>1125</v>
      </c>
      <c r="P32" s="351" t="s">
        <v>908</v>
      </c>
      <c r="Q32" s="351" t="s">
        <v>1125</v>
      </c>
      <c r="R32" s="351" t="s">
        <v>1125</v>
      </c>
      <c r="S32" s="351" t="s">
        <v>1125</v>
      </c>
      <c r="T32" s="351" t="s">
        <v>1125</v>
      </c>
      <c r="V32" s="104" t="s">
        <v>1125</v>
      </c>
      <c r="W32" s="104" t="s">
        <v>908</v>
      </c>
      <c r="X32" s="666"/>
    </row>
    <row r="33" spans="1:24" ht="72" customHeight="1" x14ac:dyDescent="0.2">
      <c r="A33" s="496">
        <v>23</v>
      </c>
      <c r="B33" s="104" t="s">
        <v>805</v>
      </c>
      <c r="C33" s="351" t="s">
        <v>515</v>
      </c>
      <c r="D33" s="351" t="s">
        <v>515</v>
      </c>
      <c r="E33" s="351" t="s">
        <v>515</v>
      </c>
      <c r="F33" s="351" t="s">
        <v>515</v>
      </c>
      <c r="G33" s="351" t="s">
        <v>515</v>
      </c>
      <c r="H33" s="351" t="s">
        <v>515</v>
      </c>
      <c r="I33" s="351" t="s">
        <v>515</v>
      </c>
      <c r="J33" s="351" t="s">
        <v>515</v>
      </c>
      <c r="L33" s="461" t="s">
        <v>515</v>
      </c>
      <c r="M33" s="461" t="s">
        <v>515</v>
      </c>
      <c r="O33" s="499" t="s">
        <v>804</v>
      </c>
      <c r="P33" s="461" t="s">
        <v>890</v>
      </c>
      <c r="Q33" s="500" t="s">
        <v>804</v>
      </c>
      <c r="R33" s="500" t="s">
        <v>804</v>
      </c>
      <c r="S33" s="500" t="s">
        <v>804</v>
      </c>
      <c r="T33" s="500" t="s">
        <v>804</v>
      </c>
      <c r="V33" s="500" t="s">
        <v>804</v>
      </c>
      <c r="W33" s="351" t="s">
        <v>803</v>
      </c>
      <c r="X33" s="383"/>
    </row>
    <row r="34" spans="1:24" x14ac:dyDescent="0.2">
      <c r="A34" s="484">
        <v>24</v>
      </c>
      <c r="B34" s="104" t="s">
        <v>806</v>
      </c>
      <c r="C34" s="351" t="s">
        <v>515</v>
      </c>
      <c r="D34" s="351" t="s">
        <v>515</v>
      </c>
      <c r="E34" s="351" t="s">
        <v>515</v>
      </c>
      <c r="F34" s="351" t="s">
        <v>515</v>
      </c>
      <c r="G34" s="351" t="s">
        <v>515</v>
      </c>
      <c r="H34" s="351" t="s">
        <v>515</v>
      </c>
      <c r="I34" s="351" t="s">
        <v>515</v>
      </c>
      <c r="J34" s="351" t="s">
        <v>515</v>
      </c>
      <c r="L34" s="461" t="s">
        <v>515</v>
      </c>
      <c r="M34" s="461" t="s">
        <v>515</v>
      </c>
      <c r="O34" s="461" t="s">
        <v>1122</v>
      </c>
      <c r="P34" s="461" t="s">
        <v>890</v>
      </c>
      <c r="Q34" s="461" t="s">
        <v>1122</v>
      </c>
      <c r="R34" s="461" t="s">
        <v>1122</v>
      </c>
      <c r="S34" s="461" t="s">
        <v>1122</v>
      </c>
      <c r="T34" s="461" t="s">
        <v>1122</v>
      </c>
      <c r="V34" s="461" t="s">
        <v>970</v>
      </c>
      <c r="W34" s="461" t="s">
        <v>515</v>
      </c>
      <c r="X34" s="383"/>
    </row>
    <row r="35" spans="1:24" x14ac:dyDescent="0.2">
      <c r="A35" s="484">
        <v>25</v>
      </c>
      <c r="B35" s="104" t="s">
        <v>807</v>
      </c>
      <c r="C35" s="351" t="s">
        <v>515</v>
      </c>
      <c r="D35" s="351" t="s">
        <v>515</v>
      </c>
      <c r="E35" s="351" t="s">
        <v>515</v>
      </c>
      <c r="F35" s="351" t="s">
        <v>515</v>
      </c>
      <c r="G35" s="351" t="s">
        <v>515</v>
      </c>
      <c r="H35" s="351" t="s">
        <v>515</v>
      </c>
      <c r="I35" s="351" t="s">
        <v>515</v>
      </c>
      <c r="J35" s="351" t="s">
        <v>515</v>
      </c>
      <c r="L35" s="461" t="s">
        <v>515</v>
      </c>
      <c r="M35" s="461" t="s">
        <v>515</v>
      </c>
      <c r="O35" s="461" t="s">
        <v>1122</v>
      </c>
      <c r="P35" s="461" t="s">
        <v>890</v>
      </c>
      <c r="Q35" s="461" t="s">
        <v>1122</v>
      </c>
      <c r="R35" s="461" t="s">
        <v>1122</v>
      </c>
      <c r="S35" s="461" t="s">
        <v>1122</v>
      </c>
      <c r="T35" s="461" t="s">
        <v>1122</v>
      </c>
      <c r="V35" s="461" t="s">
        <v>970</v>
      </c>
      <c r="W35" s="461" t="s">
        <v>515</v>
      </c>
      <c r="X35" s="383"/>
    </row>
    <row r="36" spans="1:24" x14ac:dyDescent="0.2">
      <c r="A36" s="484">
        <v>26</v>
      </c>
      <c r="B36" s="104" t="s">
        <v>808</v>
      </c>
      <c r="C36" s="351" t="s">
        <v>515</v>
      </c>
      <c r="D36" s="351" t="s">
        <v>515</v>
      </c>
      <c r="E36" s="351" t="s">
        <v>515</v>
      </c>
      <c r="F36" s="351" t="s">
        <v>515</v>
      </c>
      <c r="G36" s="351" t="s">
        <v>515</v>
      </c>
      <c r="H36" s="351" t="s">
        <v>515</v>
      </c>
      <c r="I36" s="351" t="s">
        <v>515</v>
      </c>
      <c r="J36" s="351" t="s">
        <v>515</v>
      </c>
      <c r="L36" s="461" t="s">
        <v>515</v>
      </c>
      <c r="M36" s="461" t="s">
        <v>515</v>
      </c>
      <c r="O36" s="461" t="s">
        <v>1122</v>
      </c>
      <c r="P36" s="461" t="s">
        <v>890</v>
      </c>
      <c r="Q36" s="461" t="s">
        <v>1122</v>
      </c>
      <c r="R36" s="461" t="s">
        <v>1122</v>
      </c>
      <c r="S36" s="461" t="s">
        <v>1122</v>
      </c>
      <c r="T36" s="461" t="s">
        <v>1122</v>
      </c>
      <c r="V36" s="461" t="s">
        <v>970</v>
      </c>
      <c r="W36" s="461" t="s">
        <v>515</v>
      </c>
      <c r="X36" s="383"/>
    </row>
    <row r="37" spans="1:24" x14ac:dyDescent="0.2">
      <c r="A37" s="484">
        <v>27</v>
      </c>
      <c r="B37" s="104" t="s">
        <v>809</v>
      </c>
      <c r="C37" s="351" t="s">
        <v>515</v>
      </c>
      <c r="D37" s="351" t="s">
        <v>515</v>
      </c>
      <c r="E37" s="351" t="s">
        <v>515</v>
      </c>
      <c r="F37" s="351" t="s">
        <v>515</v>
      </c>
      <c r="G37" s="351" t="s">
        <v>515</v>
      </c>
      <c r="H37" s="351" t="s">
        <v>515</v>
      </c>
      <c r="I37" s="351" t="s">
        <v>515</v>
      </c>
      <c r="J37" s="351" t="s">
        <v>515</v>
      </c>
      <c r="L37" s="461" t="s">
        <v>515</v>
      </c>
      <c r="M37" s="461" t="s">
        <v>515</v>
      </c>
      <c r="O37" s="461" t="s">
        <v>1122</v>
      </c>
      <c r="P37" s="461" t="s">
        <v>890</v>
      </c>
      <c r="Q37" s="461" t="s">
        <v>1122</v>
      </c>
      <c r="R37" s="461" t="s">
        <v>1122</v>
      </c>
      <c r="S37" s="461" t="s">
        <v>1122</v>
      </c>
      <c r="T37" s="461" t="s">
        <v>1122</v>
      </c>
      <c r="V37" s="461" t="s">
        <v>970</v>
      </c>
      <c r="W37" s="461" t="s">
        <v>515</v>
      </c>
      <c r="X37" s="383"/>
    </row>
    <row r="38" spans="1:24" x14ac:dyDescent="0.2">
      <c r="A38" s="484">
        <v>28</v>
      </c>
      <c r="B38" s="104" t="s">
        <v>810</v>
      </c>
      <c r="C38" s="351" t="s">
        <v>775</v>
      </c>
      <c r="D38" s="351" t="s">
        <v>775</v>
      </c>
      <c r="E38" s="351" t="s">
        <v>515</v>
      </c>
      <c r="F38" s="351" t="s">
        <v>515</v>
      </c>
      <c r="G38" s="351" t="s">
        <v>515</v>
      </c>
      <c r="H38" s="351" t="s">
        <v>515</v>
      </c>
      <c r="I38" s="351" t="s">
        <v>515</v>
      </c>
      <c r="J38" s="521" t="s">
        <v>896</v>
      </c>
      <c r="L38" s="461" t="s">
        <v>791</v>
      </c>
      <c r="M38" s="518" t="s">
        <v>896</v>
      </c>
      <c r="O38" s="461" t="s">
        <v>1122</v>
      </c>
      <c r="P38" s="461" t="s">
        <v>890</v>
      </c>
      <c r="Q38" s="461" t="s">
        <v>1122</v>
      </c>
      <c r="R38" s="461" t="s">
        <v>1122</v>
      </c>
      <c r="S38" s="461" t="s">
        <v>1122</v>
      </c>
      <c r="T38" s="461" t="s">
        <v>1122</v>
      </c>
      <c r="V38" s="461" t="s">
        <v>970</v>
      </c>
      <c r="W38" s="461" t="s">
        <v>515</v>
      </c>
      <c r="X38" s="383"/>
    </row>
    <row r="39" spans="1:24" x14ac:dyDescent="0.2">
      <c r="A39" s="496">
        <v>30</v>
      </c>
      <c r="B39" s="104" t="s">
        <v>811</v>
      </c>
      <c r="C39" s="351" t="s">
        <v>775</v>
      </c>
      <c r="D39" s="351" t="s">
        <v>775</v>
      </c>
      <c r="E39" s="351" t="s">
        <v>515</v>
      </c>
      <c r="F39" s="351" t="s">
        <v>515</v>
      </c>
      <c r="G39" s="351" t="s">
        <v>515</v>
      </c>
      <c r="H39" s="351" t="s">
        <v>515</v>
      </c>
      <c r="I39" s="351" t="s">
        <v>515</v>
      </c>
      <c r="J39" s="521" t="s">
        <v>896</v>
      </c>
      <c r="L39" s="461" t="s">
        <v>791</v>
      </c>
      <c r="M39" s="518" t="s">
        <v>896</v>
      </c>
      <c r="O39" s="499" t="s">
        <v>896</v>
      </c>
      <c r="P39" s="461" t="s">
        <v>890</v>
      </c>
      <c r="Q39" s="499" t="s">
        <v>896</v>
      </c>
      <c r="R39" s="499" t="s">
        <v>896</v>
      </c>
      <c r="S39" s="499" t="s">
        <v>896</v>
      </c>
      <c r="T39" s="499" t="s">
        <v>896</v>
      </c>
      <c r="V39" s="676" t="s">
        <v>896</v>
      </c>
      <c r="W39" s="461" t="s">
        <v>515</v>
      </c>
      <c r="X39" s="383"/>
    </row>
    <row r="40" spans="1:24" ht="96" x14ac:dyDescent="0.2">
      <c r="A40" s="496">
        <v>31</v>
      </c>
      <c r="B40" s="104" t="s">
        <v>812</v>
      </c>
      <c r="C40" s="298" t="s">
        <v>813</v>
      </c>
      <c r="D40" s="298" t="s">
        <v>813</v>
      </c>
      <c r="E40" s="351" t="s">
        <v>515</v>
      </c>
      <c r="F40" s="351" t="s">
        <v>515</v>
      </c>
      <c r="G40" s="351" t="s">
        <v>515</v>
      </c>
      <c r="H40" s="351" t="s">
        <v>515</v>
      </c>
      <c r="I40" s="351" t="s">
        <v>515</v>
      </c>
      <c r="J40" s="351" t="s">
        <v>515</v>
      </c>
      <c r="L40" s="461" t="s">
        <v>515</v>
      </c>
      <c r="M40" s="501" t="s">
        <v>897</v>
      </c>
      <c r="O40" s="676" t="s">
        <v>1127</v>
      </c>
      <c r="P40" s="461" t="s">
        <v>890</v>
      </c>
      <c r="Q40" s="676" t="s">
        <v>1127</v>
      </c>
      <c r="R40" s="676" t="s">
        <v>1127</v>
      </c>
      <c r="S40" s="676" t="s">
        <v>1127</v>
      </c>
      <c r="T40" s="676" t="s">
        <v>1127</v>
      </c>
      <c r="V40" s="676" t="s">
        <v>1127</v>
      </c>
      <c r="W40" s="461" t="s">
        <v>515</v>
      </c>
      <c r="X40" s="383"/>
    </row>
    <row r="41" spans="1:24" ht="84" x14ac:dyDescent="0.2">
      <c r="A41" s="496">
        <v>32</v>
      </c>
      <c r="B41" s="104" t="s">
        <v>814</v>
      </c>
      <c r="C41" s="351" t="s">
        <v>815</v>
      </c>
      <c r="D41" s="351" t="s">
        <v>815</v>
      </c>
      <c r="E41" s="351" t="s">
        <v>515</v>
      </c>
      <c r="F41" s="351" t="s">
        <v>515</v>
      </c>
      <c r="G41" s="351" t="s">
        <v>515</v>
      </c>
      <c r="H41" s="351" t="s">
        <v>515</v>
      </c>
      <c r="I41" s="351" t="s">
        <v>515</v>
      </c>
      <c r="J41" s="351" t="s">
        <v>815</v>
      </c>
      <c r="L41" s="461" t="s">
        <v>515</v>
      </c>
      <c r="M41" s="521" t="s">
        <v>898</v>
      </c>
      <c r="O41" s="522" t="s">
        <v>1128</v>
      </c>
      <c r="P41" s="461" t="s">
        <v>890</v>
      </c>
      <c r="Q41" s="522" t="s">
        <v>1129</v>
      </c>
      <c r="R41" s="522" t="s">
        <v>1129</v>
      </c>
      <c r="S41" s="522" t="s">
        <v>1129</v>
      </c>
      <c r="T41" s="522" t="s">
        <v>1129</v>
      </c>
      <c r="V41" s="522" t="s">
        <v>1129</v>
      </c>
      <c r="W41" s="461" t="s">
        <v>515</v>
      </c>
      <c r="X41" s="383"/>
    </row>
    <row r="42" spans="1:24" x14ac:dyDescent="0.2">
      <c r="A42" s="484">
        <v>33</v>
      </c>
      <c r="B42" s="104" t="s">
        <v>816</v>
      </c>
      <c r="C42" s="351" t="s">
        <v>817</v>
      </c>
      <c r="D42" s="351" t="s">
        <v>817</v>
      </c>
      <c r="E42" s="351" t="s">
        <v>515</v>
      </c>
      <c r="F42" s="351" t="s">
        <v>515</v>
      </c>
      <c r="G42" s="351" t="s">
        <v>515</v>
      </c>
      <c r="H42" s="351" t="s">
        <v>515</v>
      </c>
      <c r="I42" s="351" t="s">
        <v>515</v>
      </c>
      <c r="J42" s="351" t="s">
        <v>817</v>
      </c>
      <c r="L42" s="461" t="s">
        <v>515</v>
      </c>
      <c r="M42" s="461" t="s">
        <v>899</v>
      </c>
      <c r="O42" s="461" t="s">
        <v>817</v>
      </c>
      <c r="P42" s="461" t="s">
        <v>890</v>
      </c>
      <c r="Q42" s="461" t="s">
        <v>817</v>
      </c>
      <c r="R42" s="461" t="s">
        <v>817</v>
      </c>
      <c r="S42" s="461" t="s">
        <v>817</v>
      </c>
      <c r="T42" s="461" t="s">
        <v>817</v>
      </c>
      <c r="V42" s="383" t="s">
        <v>899</v>
      </c>
      <c r="W42" s="461" t="s">
        <v>515</v>
      </c>
      <c r="X42" s="383"/>
    </row>
    <row r="43" spans="1:24" ht="37.5" customHeight="1" x14ac:dyDescent="0.2">
      <c r="A43" s="496">
        <v>34</v>
      </c>
      <c r="B43" s="104" t="s">
        <v>818</v>
      </c>
      <c r="C43" s="298" t="s">
        <v>819</v>
      </c>
      <c r="D43" s="298" t="s">
        <v>819</v>
      </c>
      <c r="E43" s="351" t="s">
        <v>515</v>
      </c>
      <c r="F43" s="351" t="s">
        <v>515</v>
      </c>
      <c r="G43" s="351" t="s">
        <v>515</v>
      </c>
      <c r="H43" s="351" t="s">
        <v>515</v>
      </c>
      <c r="I43" s="351" t="s">
        <v>515</v>
      </c>
      <c r="J43" s="658" t="s">
        <v>1072</v>
      </c>
      <c r="L43" s="461" t="s">
        <v>515</v>
      </c>
      <c r="M43" s="500" t="s">
        <v>900</v>
      </c>
      <c r="O43" s="522" t="s">
        <v>900</v>
      </c>
      <c r="P43" s="461"/>
      <c r="Q43" s="522" t="s">
        <v>900</v>
      </c>
      <c r="R43" s="522" t="s">
        <v>900</v>
      </c>
      <c r="S43" s="522" t="s">
        <v>900</v>
      </c>
      <c r="T43" s="522" t="s">
        <v>900</v>
      </c>
      <c r="V43" s="500" t="s">
        <v>820</v>
      </c>
      <c r="W43" s="383"/>
      <c r="X43" s="383"/>
    </row>
    <row r="44" spans="1:24" ht="48" x14ac:dyDescent="0.2">
      <c r="A44" s="496">
        <v>35</v>
      </c>
      <c r="B44" s="104" t="s">
        <v>821</v>
      </c>
      <c r="C44" s="351" t="s">
        <v>743</v>
      </c>
      <c r="D44" s="351" t="s">
        <v>743</v>
      </c>
      <c r="E44" s="351" t="s">
        <v>822</v>
      </c>
      <c r="F44" s="351" t="s">
        <v>822</v>
      </c>
      <c r="G44" s="351" t="s">
        <v>822</v>
      </c>
      <c r="H44" s="351" t="s">
        <v>822</v>
      </c>
      <c r="I44" s="351" t="s">
        <v>822</v>
      </c>
      <c r="J44" s="351" t="s">
        <v>743</v>
      </c>
      <c r="L44" s="520" t="s">
        <v>887</v>
      </c>
      <c r="M44" s="522" t="s">
        <v>901</v>
      </c>
      <c r="O44" s="461" t="s">
        <v>752</v>
      </c>
      <c r="P44" s="461" t="s">
        <v>822</v>
      </c>
      <c r="Q44" s="461" t="s">
        <v>752</v>
      </c>
      <c r="R44" s="461" t="s">
        <v>752</v>
      </c>
      <c r="S44" s="461" t="s">
        <v>752</v>
      </c>
      <c r="T44" s="461" t="s">
        <v>752</v>
      </c>
      <c r="V44" s="461" t="s">
        <v>752</v>
      </c>
      <c r="W44" s="461" t="s">
        <v>822</v>
      </c>
      <c r="X44" s="383"/>
    </row>
    <row r="45" spans="1:24" x14ac:dyDescent="0.2">
      <c r="A45" s="484">
        <v>36</v>
      </c>
      <c r="B45" s="104" t="s">
        <v>823</v>
      </c>
      <c r="C45" s="351" t="s">
        <v>775</v>
      </c>
      <c r="D45" s="351" t="s">
        <v>775</v>
      </c>
      <c r="E45" s="351" t="s">
        <v>515</v>
      </c>
      <c r="F45" s="351" t="s">
        <v>515</v>
      </c>
      <c r="G45" s="351" t="s">
        <v>515</v>
      </c>
      <c r="H45" s="351" t="s">
        <v>515</v>
      </c>
      <c r="I45" s="351" t="s">
        <v>515</v>
      </c>
      <c r="J45" s="351" t="s">
        <v>515</v>
      </c>
      <c r="L45" s="461" t="s">
        <v>791</v>
      </c>
      <c r="M45" s="461" t="s">
        <v>791</v>
      </c>
      <c r="O45" s="351" t="s">
        <v>515</v>
      </c>
      <c r="P45" s="351" t="s">
        <v>890</v>
      </c>
      <c r="Q45" s="351" t="s">
        <v>515</v>
      </c>
      <c r="R45" s="351" t="s">
        <v>515</v>
      </c>
      <c r="S45" s="351" t="s">
        <v>515</v>
      </c>
      <c r="T45" s="351" t="s">
        <v>515</v>
      </c>
      <c r="V45" s="351" t="s">
        <v>515</v>
      </c>
      <c r="W45" s="351" t="s">
        <v>515</v>
      </c>
      <c r="X45" s="383"/>
    </row>
    <row r="46" spans="1:24" ht="12.75" customHeight="1" x14ac:dyDescent="0.2">
      <c r="A46" s="484">
        <v>37</v>
      </c>
      <c r="B46" s="104" t="s">
        <v>824</v>
      </c>
      <c r="C46" s="298" t="s">
        <v>825</v>
      </c>
      <c r="D46" s="298" t="s">
        <v>825</v>
      </c>
      <c r="E46" s="351" t="s">
        <v>515</v>
      </c>
      <c r="F46" s="351" t="s">
        <v>515</v>
      </c>
      <c r="G46" s="351" t="s">
        <v>515</v>
      </c>
      <c r="H46" s="351" t="s">
        <v>515</v>
      </c>
      <c r="I46" s="351" t="s">
        <v>515</v>
      </c>
      <c r="J46" s="351" t="s">
        <v>515</v>
      </c>
      <c r="L46" s="461" t="s">
        <v>515</v>
      </c>
      <c r="M46" s="461" t="s">
        <v>515</v>
      </c>
      <c r="O46" s="461" t="s">
        <v>515</v>
      </c>
      <c r="P46" s="461" t="s">
        <v>890</v>
      </c>
      <c r="Q46" s="461" t="s">
        <v>515</v>
      </c>
      <c r="R46" s="461" t="s">
        <v>515</v>
      </c>
      <c r="S46" s="461" t="s">
        <v>515</v>
      </c>
      <c r="T46" s="461" t="s">
        <v>515</v>
      </c>
      <c r="V46" s="461" t="s">
        <v>515</v>
      </c>
      <c r="W46" s="461" t="s">
        <v>515</v>
      </c>
      <c r="X46" s="383"/>
    </row>
    <row r="47" spans="1:24" x14ac:dyDescent="0.2">
      <c r="B47" s="502"/>
      <c r="C47" s="502"/>
      <c r="D47" s="502"/>
      <c r="E47" s="502"/>
      <c r="F47" s="502"/>
      <c r="G47" s="502"/>
      <c r="H47" s="502"/>
      <c r="I47" s="502"/>
      <c r="J47" s="502"/>
      <c r="O47" s="383"/>
      <c r="P47" s="527"/>
      <c r="Q47" s="527"/>
      <c r="R47" s="383"/>
      <c r="S47" s="567"/>
      <c r="T47" s="666"/>
    </row>
    <row r="49" spans="12:15" x14ac:dyDescent="0.2">
      <c r="L49" s="566" t="s">
        <v>962</v>
      </c>
      <c r="O49" s="566" t="s">
        <v>963</v>
      </c>
    </row>
  </sheetData>
  <mergeCells count="3">
    <mergeCell ref="V3:W3"/>
    <mergeCell ref="O3:S3"/>
    <mergeCell ref="L3:M3"/>
  </mergeCells>
  <pageMargins left="0.7" right="0.7" top="0.75" bottom="0.75" header="0.3" footer="0.3"/>
  <pageSetup paperSize="8" scale="2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30"/>
  <sheetViews>
    <sheetView zoomScaleNormal="100" workbookViewId="0"/>
  </sheetViews>
  <sheetFormatPr baseColWidth="10" defaultColWidth="11" defaultRowHeight="12" x14ac:dyDescent="0.2"/>
  <cols>
    <col min="1" max="1" width="23.125" style="270" customWidth="1"/>
    <col min="2" max="2" width="9.5" style="270" customWidth="1"/>
    <col min="3" max="3" width="10.25" style="270" customWidth="1"/>
    <col min="4" max="4" width="11.25" style="270" customWidth="1"/>
    <col min="5" max="5" width="11.875" style="270" customWidth="1"/>
    <col min="6" max="6" width="10.625" style="270" customWidth="1"/>
    <col min="7" max="7" width="11.625" style="270" customWidth="1"/>
    <col min="8" max="16384" width="11" style="270"/>
  </cols>
  <sheetData>
    <row r="1" spans="1:7" s="347" customFormat="1" x14ac:dyDescent="0.2">
      <c r="A1" s="103" t="s">
        <v>838</v>
      </c>
      <c r="B1" s="103"/>
      <c r="C1" s="103"/>
      <c r="D1" s="103"/>
      <c r="E1" s="103"/>
      <c r="F1" s="104"/>
    </row>
    <row r="2" spans="1:7" s="347" customFormat="1" x14ac:dyDescent="0.2">
      <c r="A2" s="599" t="s">
        <v>1025</v>
      </c>
      <c r="B2" s="105"/>
      <c r="C2" s="105"/>
      <c r="D2" s="105"/>
      <c r="E2" s="105"/>
      <c r="F2" s="104"/>
    </row>
    <row r="3" spans="1:7" s="347" customFormat="1" x14ac:dyDescent="0.2">
      <c r="A3" s="599" t="s">
        <v>1026</v>
      </c>
      <c r="B3" s="105"/>
      <c r="C3" s="105"/>
      <c r="D3" s="105"/>
      <c r="E3" s="105"/>
      <c r="F3" s="104"/>
    </row>
    <row r="4" spans="1:7" s="347" customFormat="1" ht="12" customHeight="1" x14ac:dyDescent="0.2">
      <c r="A4" s="693" t="s">
        <v>1084</v>
      </c>
      <c r="B4" s="693"/>
      <c r="C4" s="693"/>
      <c r="D4" s="693"/>
      <c r="E4" s="693"/>
      <c r="F4" s="693"/>
      <c r="G4" s="693"/>
    </row>
    <row r="5" spans="1:7" s="347" customFormat="1" x14ac:dyDescent="0.2">
      <c r="A5" s="504" t="s">
        <v>971</v>
      </c>
      <c r="B5" s="106"/>
      <c r="C5" s="106"/>
      <c r="D5" s="107"/>
      <c r="E5" s="104"/>
      <c r="F5" s="104"/>
    </row>
    <row r="6" spans="1:7" s="347" customFormat="1" x14ac:dyDescent="0.2">
      <c r="A6" s="104"/>
      <c r="B6" s="106"/>
      <c r="C6" s="106"/>
      <c r="D6" s="107"/>
      <c r="E6" s="104"/>
      <c r="F6" s="104"/>
    </row>
    <row r="7" spans="1:7" s="347" customFormat="1" x14ac:dyDescent="0.2">
      <c r="A7" s="104"/>
      <c r="B7" s="106"/>
      <c r="C7" s="106"/>
      <c r="D7" s="107"/>
      <c r="E7" s="104"/>
      <c r="F7" s="104"/>
    </row>
    <row r="8" spans="1:7" s="347" customFormat="1" x14ac:dyDescent="0.2">
      <c r="A8" s="103" t="s">
        <v>839</v>
      </c>
      <c r="B8" s="106"/>
      <c r="C8" s="106"/>
      <c r="D8" s="107"/>
      <c r="E8" s="104"/>
      <c r="F8" s="104"/>
      <c r="G8" s="383"/>
    </row>
    <row r="9" spans="1:7" s="347" customFormat="1" x14ac:dyDescent="0.2">
      <c r="A9" s="105" t="s">
        <v>840</v>
      </c>
      <c r="B9" s="105"/>
      <c r="C9" s="105"/>
      <c r="D9" s="105"/>
      <c r="E9" s="105"/>
      <c r="F9" s="104"/>
      <c r="G9" s="383"/>
    </row>
    <row r="10" spans="1:7" s="347" customFormat="1" x14ac:dyDescent="0.2">
      <c r="A10" s="105" t="s">
        <v>841</v>
      </c>
      <c r="B10" s="105"/>
      <c r="C10" s="105"/>
      <c r="D10" s="105"/>
      <c r="E10" s="105"/>
      <c r="F10" s="104"/>
      <c r="G10" s="383"/>
    </row>
    <row r="11" spans="1:7" s="347" customFormat="1" x14ac:dyDescent="0.2">
      <c r="A11" s="104"/>
      <c r="B11" s="106"/>
      <c r="C11" s="106"/>
      <c r="D11" s="107"/>
      <c r="E11" s="104"/>
      <c r="F11" s="104"/>
      <c r="G11" s="383"/>
    </row>
    <row r="12" spans="1:7" s="347" customFormat="1" x14ac:dyDescent="0.2"/>
    <row r="13" spans="1:7" s="347" customFormat="1" x14ac:dyDescent="0.2">
      <c r="A13" s="533" t="s">
        <v>1024</v>
      </c>
      <c r="B13" s="383"/>
      <c r="C13" s="383"/>
    </row>
    <row r="14" spans="1:7" s="347" customFormat="1" x14ac:dyDescent="0.2"/>
    <row r="15" spans="1:7" s="347" customFormat="1" ht="48.75" thickBot="1" x14ac:dyDescent="0.25">
      <c r="A15" s="413" t="s">
        <v>869</v>
      </c>
      <c r="B15" s="108" t="s">
        <v>1164</v>
      </c>
      <c r="C15" s="108" t="s">
        <v>1165</v>
      </c>
      <c r="D15" s="108" t="s">
        <v>1166</v>
      </c>
      <c r="E15" s="109" t="s">
        <v>1146</v>
      </c>
      <c r="F15" s="109" t="s">
        <v>1147</v>
      </c>
      <c r="G15" s="109" t="s">
        <v>1085</v>
      </c>
    </row>
    <row r="16" spans="1:7" s="347" customFormat="1" ht="14.25" x14ac:dyDescent="0.2">
      <c r="A16" s="347" t="s">
        <v>1054</v>
      </c>
      <c r="B16" s="354">
        <v>7.96</v>
      </c>
      <c r="C16" s="18">
        <v>6081</v>
      </c>
      <c r="D16" s="353">
        <v>16.899999999999999</v>
      </c>
      <c r="E16" s="354">
        <v>9.52</v>
      </c>
      <c r="F16" s="18">
        <v>7093</v>
      </c>
      <c r="G16" s="353">
        <v>16.68</v>
      </c>
    </row>
    <row r="17" spans="1:7" s="347" customFormat="1" x14ac:dyDescent="0.2">
      <c r="A17" s="347" t="s">
        <v>0</v>
      </c>
      <c r="B17" s="354">
        <v>19.239999999999998</v>
      </c>
      <c r="C17" s="18">
        <v>1910</v>
      </c>
      <c r="D17" s="353">
        <v>23.58</v>
      </c>
      <c r="E17" s="354">
        <v>19.239999999999998</v>
      </c>
      <c r="F17" s="18">
        <v>1971</v>
      </c>
      <c r="G17" s="353">
        <v>22.87</v>
      </c>
    </row>
    <row r="18" spans="1:7" s="347" customFormat="1" ht="14.25" x14ac:dyDescent="0.2">
      <c r="A18" s="347" t="s">
        <v>1055</v>
      </c>
      <c r="B18" s="354">
        <v>24.15</v>
      </c>
      <c r="C18" s="18">
        <v>4603</v>
      </c>
      <c r="D18" s="353">
        <v>23.71</v>
      </c>
      <c r="E18" s="354">
        <v>24.15</v>
      </c>
      <c r="F18" s="18">
        <v>3247</v>
      </c>
      <c r="G18" s="353">
        <v>29.57</v>
      </c>
    </row>
    <row r="19" spans="1:7" s="347" customFormat="1" x14ac:dyDescent="0.2">
      <c r="A19" s="20" t="s">
        <v>1056</v>
      </c>
      <c r="B19" s="357">
        <v>17.87</v>
      </c>
      <c r="C19" s="288">
        <v>919</v>
      </c>
      <c r="D19" s="516">
        <v>21.65</v>
      </c>
      <c r="E19" s="357">
        <v>17.850000000000001</v>
      </c>
      <c r="F19" s="22">
        <v>894</v>
      </c>
      <c r="G19" s="110">
        <v>24.3</v>
      </c>
    </row>
    <row r="20" spans="1:7" s="347" customFormat="1" x14ac:dyDescent="0.2">
      <c r="B20" s="84"/>
      <c r="C20" s="84"/>
    </row>
    <row r="21" spans="1:7" s="347" customFormat="1" ht="14.25" x14ac:dyDescent="0.2">
      <c r="A21" s="689" t="s">
        <v>1148</v>
      </c>
      <c r="B21" s="84"/>
      <c r="C21" s="84"/>
    </row>
    <row r="22" spans="1:7" s="347" customFormat="1" ht="14.25" x14ac:dyDescent="0.2">
      <c r="A22" s="111" t="s">
        <v>842</v>
      </c>
      <c r="B22" s="84"/>
      <c r="C22" s="84"/>
    </row>
    <row r="23" spans="1:7" s="347" customFormat="1" x14ac:dyDescent="0.2"/>
    <row r="24" spans="1:7" s="347" customFormat="1" x14ac:dyDescent="0.2">
      <c r="A24" s="383" t="s">
        <v>1</v>
      </c>
      <c r="B24" s="383"/>
      <c r="C24" s="383"/>
      <c r="D24" s="383"/>
      <c r="E24" s="383"/>
    </row>
    <row r="25" spans="1:7" s="347" customFormat="1" x14ac:dyDescent="0.2">
      <c r="A25" s="347" t="s">
        <v>2</v>
      </c>
    </row>
    <row r="26" spans="1:7" s="347" customFormat="1" x14ac:dyDescent="0.2"/>
    <row r="27" spans="1:7" s="347" customFormat="1" x14ac:dyDescent="0.2"/>
    <row r="28" spans="1:7" s="347" customFormat="1" x14ac:dyDescent="0.2"/>
    <row r="29" spans="1:7" s="347" customFormat="1" x14ac:dyDescent="0.2"/>
    <row r="30" spans="1:7" s="347" customFormat="1" x14ac:dyDescent="0.2"/>
  </sheetData>
  <mergeCells count="1">
    <mergeCell ref="A4:G4"/>
  </mergeCells>
  <pageMargins left="0.74803149606299213" right="0.74803149606299213" top="0.98425196850393704" bottom="0.98425196850393704" header="0.51181102362204722" footer="0.51181102362204722"/>
  <pageSetup paperSize="9" scale="81" fitToHeight="2" orientation="portrait" r:id="rId1"/>
  <headerFooter>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51"/>
  <sheetViews>
    <sheetView zoomScaleNormal="100" workbookViewId="0"/>
  </sheetViews>
  <sheetFormatPr baseColWidth="10" defaultRowHeight="12.75" x14ac:dyDescent="0.2"/>
  <cols>
    <col min="1" max="1" width="4.5" style="383" customWidth="1"/>
    <col min="2" max="2" width="103" style="383" customWidth="1"/>
    <col min="3" max="3" width="32.5" style="383" customWidth="1"/>
    <col min="4" max="4" width="45.25" style="383" customWidth="1"/>
    <col min="5" max="5" width="32.5" style="383" customWidth="1"/>
    <col min="6" max="6" width="11" style="383"/>
    <col min="7" max="16384" width="11" style="279"/>
  </cols>
  <sheetData>
    <row r="1" spans="1:5" x14ac:dyDescent="0.2">
      <c r="A1" s="478" t="s">
        <v>953</v>
      </c>
    </row>
    <row r="2" spans="1:5" x14ac:dyDescent="0.2">
      <c r="A2" s="104"/>
    </row>
    <row r="4" spans="1:5" ht="13.5" thickBot="1" x14ac:dyDescent="0.25">
      <c r="A4" s="462"/>
      <c r="B4" s="463" t="s">
        <v>509</v>
      </c>
      <c r="C4" s="464" t="s">
        <v>510</v>
      </c>
      <c r="D4" s="465" t="s">
        <v>511</v>
      </c>
      <c r="E4" s="464" t="s">
        <v>512</v>
      </c>
    </row>
    <row r="5" spans="1:5" x14ac:dyDescent="0.2">
      <c r="A5" s="466">
        <v>1</v>
      </c>
      <c r="B5" s="106" t="s">
        <v>513</v>
      </c>
      <c r="C5" s="361">
        <v>7980607.6880000001</v>
      </c>
      <c r="D5" s="298" t="s">
        <v>514</v>
      </c>
      <c r="E5" s="351" t="s">
        <v>515</v>
      </c>
    </row>
    <row r="6" spans="1:5" x14ac:dyDescent="0.2">
      <c r="A6" s="466"/>
      <c r="B6" s="104" t="s">
        <v>516</v>
      </c>
      <c r="C6" s="361">
        <v>7980607.6880000001</v>
      </c>
      <c r="D6" s="467"/>
      <c r="E6" s="351" t="s">
        <v>515</v>
      </c>
    </row>
    <row r="7" spans="1:5" x14ac:dyDescent="0.2">
      <c r="A7" s="466"/>
      <c r="B7" s="104" t="s">
        <v>517</v>
      </c>
      <c r="C7" s="361"/>
      <c r="D7" s="467"/>
      <c r="E7" s="351" t="s">
        <v>515</v>
      </c>
    </row>
    <row r="8" spans="1:5" x14ac:dyDescent="0.2">
      <c r="A8" s="466"/>
      <c r="B8" s="104" t="s">
        <v>518</v>
      </c>
      <c r="C8" s="361"/>
      <c r="D8" s="467"/>
      <c r="E8" s="351" t="s">
        <v>515</v>
      </c>
    </row>
    <row r="9" spans="1:5" x14ac:dyDescent="0.2">
      <c r="A9" s="466">
        <v>2</v>
      </c>
      <c r="B9" s="290" t="s">
        <v>519</v>
      </c>
      <c r="C9" s="361">
        <f>11250602.903+43201.54</f>
        <v>11293804.443</v>
      </c>
      <c r="D9" s="351" t="s">
        <v>520</v>
      </c>
      <c r="E9" s="351" t="s">
        <v>515</v>
      </c>
    </row>
    <row r="10" spans="1:5" x14ac:dyDescent="0.2">
      <c r="A10" s="466">
        <v>3</v>
      </c>
      <c r="B10" s="290" t="s">
        <v>521</v>
      </c>
      <c r="C10" s="361">
        <v>-584865.55200000003</v>
      </c>
      <c r="D10" s="468" t="s">
        <v>522</v>
      </c>
      <c r="E10" s="351" t="s">
        <v>515</v>
      </c>
    </row>
    <row r="11" spans="1:5" x14ac:dyDescent="0.2">
      <c r="A11" s="466" t="s">
        <v>523</v>
      </c>
      <c r="B11" s="104" t="s">
        <v>524</v>
      </c>
      <c r="C11" s="361"/>
      <c r="D11" s="467" t="s">
        <v>525</v>
      </c>
      <c r="E11" s="351" t="s">
        <v>515</v>
      </c>
    </row>
    <row r="12" spans="1:5" ht="12.75" customHeight="1" x14ac:dyDescent="0.2">
      <c r="A12" s="466">
        <v>4</v>
      </c>
      <c r="B12" s="290" t="s">
        <v>526</v>
      </c>
      <c r="C12" s="361"/>
      <c r="D12" s="467"/>
      <c r="E12" s="351" t="s">
        <v>515</v>
      </c>
    </row>
    <row r="13" spans="1:5" ht="12.75" customHeight="1" x14ac:dyDescent="0.2">
      <c r="A13" s="466"/>
      <c r="B13" s="290" t="s">
        <v>527</v>
      </c>
      <c r="C13" s="361"/>
      <c r="D13" s="467"/>
      <c r="E13" s="351" t="s">
        <v>515</v>
      </c>
    </row>
    <row r="14" spans="1:5" x14ac:dyDescent="0.2">
      <c r="A14" s="466">
        <v>5</v>
      </c>
      <c r="B14" s="104" t="s">
        <v>528</v>
      </c>
      <c r="C14" s="361">
        <v>0</v>
      </c>
      <c r="D14" s="467">
        <v>84</v>
      </c>
      <c r="E14" s="351" t="s">
        <v>515</v>
      </c>
    </row>
    <row r="15" spans="1:5" ht="12.75" customHeight="1" x14ac:dyDescent="0.2">
      <c r="A15" s="466" t="s">
        <v>529</v>
      </c>
      <c r="B15" s="290" t="s">
        <v>530</v>
      </c>
      <c r="C15" s="361">
        <v>884251.38800000004</v>
      </c>
      <c r="D15" s="467" t="s">
        <v>531</v>
      </c>
      <c r="E15" s="351" t="s">
        <v>515</v>
      </c>
    </row>
    <row r="16" spans="1:5" x14ac:dyDescent="0.2">
      <c r="A16" s="466">
        <v>6</v>
      </c>
      <c r="B16" s="469" t="s">
        <v>532</v>
      </c>
      <c r="C16" s="361">
        <f>SUM(C6:C15)</f>
        <v>19573797.967</v>
      </c>
      <c r="D16" s="468" t="s">
        <v>533</v>
      </c>
      <c r="E16" s="351" t="s">
        <v>515</v>
      </c>
    </row>
    <row r="17" spans="1:5" x14ac:dyDescent="0.2">
      <c r="A17" s="739"/>
      <c r="B17" s="739"/>
      <c r="C17" s="739"/>
      <c r="D17" s="739"/>
      <c r="E17" s="739"/>
    </row>
    <row r="18" spans="1:5" ht="13.5" thickBot="1" x14ac:dyDescent="0.25">
      <c r="A18" s="462"/>
      <c r="B18" s="442" t="s">
        <v>534</v>
      </c>
      <c r="C18" s="442"/>
      <c r="D18" s="442"/>
      <c r="E18" s="442"/>
    </row>
    <row r="19" spans="1:5" ht="12.75" customHeight="1" x14ac:dyDescent="0.2">
      <c r="A19" s="466">
        <v>7</v>
      </c>
      <c r="B19" s="290" t="s">
        <v>535</v>
      </c>
      <c r="C19" s="361">
        <v>-43873.87</v>
      </c>
      <c r="D19" s="467" t="s">
        <v>536</v>
      </c>
      <c r="E19" s="351" t="s">
        <v>515</v>
      </c>
    </row>
    <row r="20" spans="1:5" ht="12.75" customHeight="1" x14ac:dyDescent="0.2">
      <c r="A20" s="466">
        <v>8</v>
      </c>
      <c r="B20" s="290" t="s">
        <v>537</v>
      </c>
      <c r="C20" s="361">
        <f>-95009.947-16579.12</f>
        <v>-111589.067</v>
      </c>
      <c r="D20" s="298" t="s">
        <v>538</v>
      </c>
      <c r="E20" s="351" t="s">
        <v>515</v>
      </c>
    </row>
    <row r="21" spans="1:5" x14ac:dyDescent="0.2">
      <c r="A21" s="466">
        <v>9</v>
      </c>
      <c r="B21" s="290" t="s">
        <v>539</v>
      </c>
      <c r="C21" s="361"/>
      <c r="D21" s="351"/>
      <c r="E21" s="351" t="s">
        <v>515</v>
      </c>
    </row>
    <row r="22" spans="1:5" ht="12.75" customHeight="1" x14ac:dyDescent="0.2">
      <c r="A22" s="466">
        <v>10</v>
      </c>
      <c r="B22" s="290" t="s">
        <v>540</v>
      </c>
      <c r="C22" s="361">
        <v>0</v>
      </c>
      <c r="D22" s="468" t="s">
        <v>541</v>
      </c>
      <c r="E22" s="351" t="s">
        <v>515</v>
      </c>
    </row>
    <row r="23" spans="1:5" ht="12.75" customHeight="1" x14ac:dyDescent="0.2">
      <c r="A23" s="466">
        <v>11</v>
      </c>
      <c r="B23" s="290" t="s">
        <v>542</v>
      </c>
      <c r="C23" s="361">
        <v>0</v>
      </c>
      <c r="D23" s="467" t="s">
        <v>543</v>
      </c>
      <c r="E23" s="351" t="s">
        <v>515</v>
      </c>
    </row>
    <row r="24" spans="1:5" ht="12.75" customHeight="1" x14ac:dyDescent="0.2">
      <c r="A24" s="466">
        <v>12</v>
      </c>
      <c r="B24" s="470" t="s">
        <v>544</v>
      </c>
      <c r="C24" s="361">
        <v>-261025.19699999999</v>
      </c>
      <c r="D24" s="468" t="s">
        <v>545</v>
      </c>
      <c r="E24" s="351" t="s">
        <v>515</v>
      </c>
    </row>
    <row r="25" spans="1:5" ht="12.75" customHeight="1" x14ac:dyDescent="0.2">
      <c r="A25" s="466">
        <v>13</v>
      </c>
      <c r="B25" s="290" t="s">
        <v>546</v>
      </c>
      <c r="C25" s="361">
        <v>0</v>
      </c>
      <c r="D25" s="467" t="s">
        <v>547</v>
      </c>
      <c r="E25" s="351" t="s">
        <v>515</v>
      </c>
    </row>
    <row r="26" spans="1:5" ht="12.75" customHeight="1" x14ac:dyDescent="0.2">
      <c r="A26" s="466">
        <v>14</v>
      </c>
      <c r="B26" s="290" t="s">
        <v>548</v>
      </c>
      <c r="C26" s="361">
        <v>0</v>
      </c>
      <c r="D26" s="298" t="s">
        <v>549</v>
      </c>
      <c r="E26" s="351" t="s">
        <v>515</v>
      </c>
    </row>
    <row r="27" spans="1:5" x14ac:dyDescent="0.2">
      <c r="A27" s="466">
        <v>15</v>
      </c>
      <c r="B27" s="290" t="s">
        <v>550</v>
      </c>
      <c r="C27" s="361">
        <v>0</v>
      </c>
      <c r="D27" s="298" t="s">
        <v>551</v>
      </c>
      <c r="E27" s="351" t="s">
        <v>515</v>
      </c>
    </row>
    <row r="28" spans="1:5" ht="12.75" customHeight="1" x14ac:dyDescent="0.2">
      <c r="A28" s="466">
        <v>16</v>
      </c>
      <c r="B28" s="290" t="s">
        <v>552</v>
      </c>
      <c r="C28" s="361">
        <v>0</v>
      </c>
      <c r="D28" s="298" t="s">
        <v>553</v>
      </c>
      <c r="E28" s="351" t="s">
        <v>515</v>
      </c>
    </row>
    <row r="29" spans="1:5" ht="12.75" customHeight="1" x14ac:dyDescent="0.2">
      <c r="A29" s="466">
        <v>17</v>
      </c>
      <c r="B29" s="470" t="s">
        <v>554</v>
      </c>
      <c r="C29" s="361">
        <v>0</v>
      </c>
      <c r="D29" s="468" t="s">
        <v>555</v>
      </c>
      <c r="E29" s="351" t="s">
        <v>515</v>
      </c>
    </row>
    <row r="30" spans="1:5" ht="25.5" customHeight="1" x14ac:dyDescent="0.2">
      <c r="A30" s="466">
        <v>18</v>
      </c>
      <c r="B30" s="470" t="s">
        <v>556</v>
      </c>
      <c r="C30" s="361">
        <v>0</v>
      </c>
      <c r="D30" s="468" t="s">
        <v>557</v>
      </c>
      <c r="E30" s="351" t="s">
        <v>515</v>
      </c>
    </row>
    <row r="31" spans="1:5" ht="25.5" customHeight="1" x14ac:dyDescent="0.2">
      <c r="A31" s="466">
        <v>19</v>
      </c>
      <c r="B31" s="290" t="s">
        <v>558</v>
      </c>
      <c r="C31" s="361">
        <v>0</v>
      </c>
      <c r="D31" s="468" t="s">
        <v>559</v>
      </c>
      <c r="E31" s="351" t="s">
        <v>515</v>
      </c>
    </row>
    <row r="32" spans="1:5" x14ac:dyDescent="0.2">
      <c r="A32" s="466">
        <v>20</v>
      </c>
      <c r="B32" s="290" t="s">
        <v>539</v>
      </c>
      <c r="C32" s="361"/>
      <c r="D32" s="351"/>
      <c r="E32" s="351" t="s">
        <v>515</v>
      </c>
    </row>
    <row r="33" spans="1:5" x14ac:dyDescent="0.2">
      <c r="A33" s="466" t="s">
        <v>560</v>
      </c>
      <c r="B33" s="290" t="s">
        <v>561</v>
      </c>
      <c r="C33" s="361">
        <v>0</v>
      </c>
      <c r="D33" s="467" t="s">
        <v>562</v>
      </c>
      <c r="E33" s="351" t="s">
        <v>515</v>
      </c>
    </row>
    <row r="34" spans="1:5" ht="12.75" customHeight="1" x14ac:dyDescent="0.2">
      <c r="A34" s="471" t="s">
        <v>563</v>
      </c>
      <c r="B34" s="290" t="s">
        <v>564</v>
      </c>
      <c r="C34" s="361"/>
      <c r="D34" s="298" t="s">
        <v>565</v>
      </c>
      <c r="E34" s="351" t="s">
        <v>515</v>
      </c>
    </row>
    <row r="35" spans="1:5" ht="13.5" customHeight="1" x14ac:dyDescent="0.2">
      <c r="A35" s="471" t="s">
        <v>566</v>
      </c>
      <c r="B35" s="470" t="s">
        <v>567</v>
      </c>
      <c r="C35" s="361">
        <v>0</v>
      </c>
      <c r="D35" s="298" t="s">
        <v>568</v>
      </c>
      <c r="E35" s="351" t="s">
        <v>515</v>
      </c>
    </row>
    <row r="36" spans="1:5" ht="12.75" customHeight="1" x14ac:dyDescent="0.2">
      <c r="A36" s="471" t="s">
        <v>569</v>
      </c>
      <c r="B36" s="290" t="s">
        <v>570</v>
      </c>
      <c r="C36" s="361">
        <v>0</v>
      </c>
      <c r="D36" s="468" t="s">
        <v>571</v>
      </c>
      <c r="E36" s="351" t="s">
        <v>515</v>
      </c>
    </row>
    <row r="37" spans="1:5" ht="12.75" customHeight="1" x14ac:dyDescent="0.2">
      <c r="A37" s="466">
        <v>21</v>
      </c>
      <c r="B37" s="290" t="s">
        <v>572</v>
      </c>
      <c r="C37" s="361">
        <v>0</v>
      </c>
      <c r="D37" s="468" t="s">
        <v>573</v>
      </c>
      <c r="E37" s="351" t="s">
        <v>515</v>
      </c>
    </row>
    <row r="38" spans="1:5" ht="12.75" customHeight="1" x14ac:dyDescent="0.2">
      <c r="A38" s="466">
        <v>22</v>
      </c>
      <c r="B38" s="290" t="s">
        <v>574</v>
      </c>
      <c r="C38" s="361">
        <v>0</v>
      </c>
      <c r="D38" s="467" t="s">
        <v>575</v>
      </c>
      <c r="E38" s="351" t="s">
        <v>515</v>
      </c>
    </row>
    <row r="39" spans="1:5" ht="12.75" customHeight="1" x14ac:dyDescent="0.2">
      <c r="A39" s="466">
        <v>23</v>
      </c>
      <c r="B39" s="290" t="s">
        <v>576</v>
      </c>
      <c r="C39" s="361">
        <v>0</v>
      </c>
      <c r="D39" s="468" t="s">
        <v>577</v>
      </c>
      <c r="E39" s="351" t="s">
        <v>515</v>
      </c>
    </row>
    <row r="40" spans="1:5" x14ac:dyDescent="0.2">
      <c r="A40" s="466">
        <v>24</v>
      </c>
      <c r="B40" s="290" t="s">
        <v>539</v>
      </c>
      <c r="C40" s="361"/>
      <c r="D40" s="351"/>
      <c r="E40" s="351" t="s">
        <v>515</v>
      </c>
    </row>
    <row r="41" spans="1:5" ht="12" customHeight="1" x14ac:dyDescent="0.2">
      <c r="A41" s="466">
        <v>25</v>
      </c>
      <c r="B41" s="290" t="s">
        <v>578</v>
      </c>
      <c r="C41" s="361">
        <v>0</v>
      </c>
      <c r="D41" s="298" t="s">
        <v>573</v>
      </c>
      <c r="E41" s="351" t="s">
        <v>515</v>
      </c>
    </row>
    <row r="42" spans="1:5" ht="12.75" customHeight="1" x14ac:dyDescent="0.2">
      <c r="A42" s="471" t="s">
        <v>579</v>
      </c>
      <c r="B42" s="290" t="s">
        <v>580</v>
      </c>
      <c r="C42" s="361">
        <v>0</v>
      </c>
      <c r="D42" s="467" t="s">
        <v>581</v>
      </c>
      <c r="E42" s="351" t="s">
        <v>515</v>
      </c>
    </row>
    <row r="43" spans="1:5" ht="12.75" customHeight="1" x14ac:dyDescent="0.2">
      <c r="A43" s="471" t="s">
        <v>582</v>
      </c>
      <c r="B43" s="290" t="s">
        <v>583</v>
      </c>
      <c r="C43" s="361">
        <v>0</v>
      </c>
      <c r="D43" s="467" t="s">
        <v>584</v>
      </c>
      <c r="E43" s="351" t="s">
        <v>515</v>
      </c>
    </row>
    <row r="44" spans="1:5" ht="12.75" customHeight="1" x14ac:dyDescent="0.2">
      <c r="A44" s="466">
        <v>26</v>
      </c>
      <c r="B44" s="290" t="s">
        <v>585</v>
      </c>
      <c r="C44" s="361">
        <v>0</v>
      </c>
      <c r="D44" s="298" t="s">
        <v>586</v>
      </c>
      <c r="E44" s="351" t="s">
        <v>515</v>
      </c>
    </row>
    <row r="45" spans="1:5" ht="12.75" customHeight="1" x14ac:dyDescent="0.2">
      <c r="A45" s="471" t="s">
        <v>587</v>
      </c>
      <c r="B45" s="290" t="s">
        <v>588</v>
      </c>
      <c r="C45" s="361">
        <v>0</v>
      </c>
      <c r="D45" s="351"/>
      <c r="E45" s="351" t="s">
        <v>515</v>
      </c>
    </row>
    <row r="46" spans="1:5" x14ac:dyDescent="0.2">
      <c r="A46" s="104"/>
      <c r="B46" s="290" t="s">
        <v>589</v>
      </c>
      <c r="C46" s="361"/>
      <c r="D46" s="351"/>
      <c r="E46" s="351" t="s">
        <v>515</v>
      </c>
    </row>
    <row r="47" spans="1:5" x14ac:dyDescent="0.2">
      <c r="A47" s="104"/>
      <c r="B47" s="290" t="s">
        <v>590</v>
      </c>
      <c r="C47" s="361"/>
      <c r="D47" s="351"/>
      <c r="E47" s="351" t="s">
        <v>515</v>
      </c>
    </row>
    <row r="48" spans="1:5" x14ac:dyDescent="0.2">
      <c r="A48" s="104"/>
      <c r="B48" s="290" t="s">
        <v>591</v>
      </c>
      <c r="C48" s="361"/>
      <c r="D48" s="351">
        <v>468</v>
      </c>
      <c r="E48" s="351" t="s">
        <v>515</v>
      </c>
    </row>
    <row r="49" spans="1:5" x14ac:dyDescent="0.2">
      <c r="A49" s="104"/>
      <c r="B49" s="290" t="s">
        <v>592</v>
      </c>
      <c r="C49" s="361"/>
      <c r="D49" s="467">
        <v>468</v>
      </c>
      <c r="E49" s="351" t="s">
        <v>515</v>
      </c>
    </row>
    <row r="50" spans="1:5" ht="12.75" customHeight="1" x14ac:dyDescent="0.2">
      <c r="A50" s="471" t="s">
        <v>593</v>
      </c>
      <c r="B50" s="290" t="s">
        <v>594</v>
      </c>
      <c r="C50" s="361"/>
      <c r="D50" s="351"/>
      <c r="E50" s="351" t="s">
        <v>515</v>
      </c>
    </row>
    <row r="51" spans="1:5" x14ac:dyDescent="0.2">
      <c r="A51" s="104"/>
      <c r="B51" s="290" t="s">
        <v>595</v>
      </c>
      <c r="C51" s="361"/>
      <c r="D51" s="351"/>
      <c r="E51" s="351" t="s">
        <v>515</v>
      </c>
    </row>
    <row r="52" spans="1:5" ht="12.75" customHeight="1" x14ac:dyDescent="0.2">
      <c r="A52" s="466">
        <v>27</v>
      </c>
      <c r="B52" s="290" t="s">
        <v>596</v>
      </c>
      <c r="C52" s="361">
        <v>-129433.632</v>
      </c>
      <c r="D52" s="468" t="s">
        <v>597</v>
      </c>
      <c r="E52" s="351" t="s">
        <v>515</v>
      </c>
    </row>
    <row r="53" spans="1:5" x14ac:dyDescent="0.2">
      <c r="A53" s="466">
        <v>28</v>
      </c>
      <c r="B53" s="472" t="s">
        <v>598</v>
      </c>
      <c r="C53" s="308">
        <f>SUM(C19:C52)</f>
        <v>-545921.76599999995</v>
      </c>
      <c r="D53" s="298" t="s">
        <v>599</v>
      </c>
      <c r="E53" s="351" t="s">
        <v>515</v>
      </c>
    </row>
    <row r="54" spans="1:5" ht="12.75" customHeight="1" x14ac:dyDescent="0.2">
      <c r="A54" s="466">
        <v>29</v>
      </c>
      <c r="B54" s="472" t="s">
        <v>600</v>
      </c>
      <c r="C54" s="308">
        <f>C16+C53</f>
        <v>19027876.201000001</v>
      </c>
      <c r="D54" s="351" t="s">
        <v>601</v>
      </c>
      <c r="E54" s="351" t="s">
        <v>515</v>
      </c>
    </row>
    <row r="55" spans="1:5" ht="12.75" customHeight="1" x14ac:dyDescent="0.2">
      <c r="A55" s="466"/>
      <c r="B55" s="472"/>
      <c r="C55" s="308"/>
      <c r="D55" s="297"/>
      <c r="E55" s="104"/>
    </row>
    <row r="56" spans="1:5" ht="13.5" thickBot="1" x14ac:dyDescent="0.25">
      <c r="A56" s="462"/>
      <c r="B56" s="442" t="s">
        <v>602</v>
      </c>
      <c r="C56" s="524"/>
      <c r="D56" s="442"/>
      <c r="E56" s="442"/>
    </row>
    <row r="57" spans="1:5" x14ac:dyDescent="0.2">
      <c r="A57" s="466">
        <v>30</v>
      </c>
      <c r="B57" s="106" t="s">
        <v>513</v>
      </c>
      <c r="C57" s="308">
        <v>792670.88699999999</v>
      </c>
      <c r="D57" s="351" t="s">
        <v>603</v>
      </c>
      <c r="E57" s="351" t="s">
        <v>515</v>
      </c>
    </row>
    <row r="58" spans="1:5" ht="12.75" customHeight="1" x14ac:dyDescent="0.2">
      <c r="A58" s="466">
        <v>31</v>
      </c>
      <c r="B58" s="290" t="s">
        <v>604</v>
      </c>
      <c r="C58" s="308">
        <f>C57</f>
        <v>792670.88699999999</v>
      </c>
      <c r="D58" s="351"/>
      <c r="E58" s="351" t="s">
        <v>515</v>
      </c>
    </row>
    <row r="59" spans="1:5" ht="12.75" customHeight="1" x14ac:dyDescent="0.2">
      <c r="A59" s="466">
        <v>32</v>
      </c>
      <c r="B59" s="290" t="s">
        <v>605</v>
      </c>
      <c r="C59" s="308">
        <v>0</v>
      </c>
      <c r="D59" s="351"/>
      <c r="E59" s="351" t="s">
        <v>515</v>
      </c>
    </row>
    <row r="60" spans="1:5" x14ac:dyDescent="0.2">
      <c r="A60" s="466">
        <v>33</v>
      </c>
      <c r="B60" s="290" t="s">
        <v>606</v>
      </c>
      <c r="C60" s="308">
        <v>797982</v>
      </c>
      <c r="D60" s="351" t="s">
        <v>607</v>
      </c>
      <c r="E60" s="351" t="s">
        <v>515</v>
      </c>
    </row>
    <row r="61" spans="1:5" ht="12.75" customHeight="1" x14ac:dyDescent="0.2">
      <c r="A61" s="466">
        <v>34</v>
      </c>
      <c r="B61" s="290" t="s">
        <v>608</v>
      </c>
      <c r="C61" s="308"/>
      <c r="D61" s="351" t="s">
        <v>609</v>
      </c>
      <c r="E61" s="351" t="s">
        <v>515</v>
      </c>
    </row>
    <row r="62" spans="1:5" x14ac:dyDescent="0.2">
      <c r="A62" s="466">
        <v>35</v>
      </c>
      <c r="B62" s="106" t="s">
        <v>610</v>
      </c>
      <c r="C62" s="308"/>
      <c r="D62" s="351"/>
      <c r="E62" s="351" t="s">
        <v>515</v>
      </c>
    </row>
    <row r="63" spans="1:5" x14ac:dyDescent="0.2">
      <c r="A63" s="466">
        <v>36</v>
      </c>
      <c r="B63" s="472" t="s">
        <v>611</v>
      </c>
      <c r="C63" s="308">
        <f>SUM(C58:C60)</f>
        <v>1590652.8870000001</v>
      </c>
      <c r="D63" s="298" t="s">
        <v>612</v>
      </c>
      <c r="E63" s="351" t="s">
        <v>515</v>
      </c>
    </row>
    <row r="64" spans="1:5" x14ac:dyDescent="0.2">
      <c r="A64" s="466"/>
      <c r="B64" s="473"/>
      <c r="C64" s="361"/>
      <c r="D64" s="438"/>
      <c r="E64" s="104"/>
    </row>
    <row r="65" spans="1:5" ht="12.75" customHeight="1" thickBot="1" x14ac:dyDescent="0.25">
      <c r="A65" s="462"/>
      <c r="B65" s="442" t="s">
        <v>613</v>
      </c>
      <c r="C65" s="524"/>
      <c r="D65" s="442"/>
      <c r="E65" s="442"/>
    </row>
    <row r="66" spans="1:5" ht="12.75" customHeight="1" x14ac:dyDescent="0.2">
      <c r="A66" s="466">
        <v>37</v>
      </c>
      <c r="B66" s="290" t="s">
        <v>614</v>
      </c>
      <c r="C66" s="361">
        <v>-5194.8</v>
      </c>
      <c r="D66" s="298" t="s">
        <v>615</v>
      </c>
      <c r="E66" s="351" t="s">
        <v>515</v>
      </c>
    </row>
    <row r="67" spans="1:5" ht="12.75" customHeight="1" x14ac:dyDescent="0.2">
      <c r="A67" s="466">
        <v>38</v>
      </c>
      <c r="B67" s="290" t="s">
        <v>616</v>
      </c>
      <c r="C67" s="361">
        <v>0</v>
      </c>
      <c r="D67" s="467" t="s">
        <v>617</v>
      </c>
      <c r="E67" s="351" t="s">
        <v>515</v>
      </c>
    </row>
    <row r="68" spans="1:5" ht="24.75" customHeight="1" x14ac:dyDescent="0.2">
      <c r="A68" s="466">
        <v>39</v>
      </c>
      <c r="B68" s="470" t="s">
        <v>618</v>
      </c>
      <c r="C68" s="361">
        <v>0</v>
      </c>
      <c r="D68" s="468" t="s">
        <v>619</v>
      </c>
      <c r="E68" s="351" t="s">
        <v>515</v>
      </c>
    </row>
    <row r="69" spans="1:5" ht="25.5" customHeight="1" x14ac:dyDescent="0.2">
      <c r="A69" s="466">
        <v>40</v>
      </c>
      <c r="B69" s="470" t="s">
        <v>620</v>
      </c>
      <c r="C69" s="361">
        <v>0</v>
      </c>
      <c r="D69" s="468" t="s">
        <v>621</v>
      </c>
      <c r="E69" s="351" t="s">
        <v>515</v>
      </c>
    </row>
    <row r="70" spans="1:5" ht="12.75" customHeight="1" x14ac:dyDescent="0.2">
      <c r="A70" s="466">
        <v>41</v>
      </c>
      <c r="B70" s="290" t="s">
        <v>622</v>
      </c>
      <c r="C70" s="361">
        <v>0</v>
      </c>
      <c r="D70" s="298" t="s">
        <v>623</v>
      </c>
      <c r="E70" s="351" t="s">
        <v>515</v>
      </c>
    </row>
    <row r="71" spans="1:5" ht="12.75" customHeight="1" x14ac:dyDescent="0.2">
      <c r="A71" s="471" t="s">
        <v>624</v>
      </c>
      <c r="B71" s="290" t="s">
        <v>625</v>
      </c>
      <c r="C71" s="361">
        <v>0</v>
      </c>
      <c r="D71" s="468" t="s">
        <v>626</v>
      </c>
      <c r="E71" s="351" t="s">
        <v>515</v>
      </c>
    </row>
    <row r="72" spans="1:5" x14ac:dyDescent="0.2">
      <c r="A72" s="104"/>
      <c r="B72" s="104" t="s">
        <v>627</v>
      </c>
      <c r="C72" s="361"/>
      <c r="D72" s="351"/>
      <c r="E72" s="104"/>
    </row>
    <row r="73" spans="1:5" ht="12.75" customHeight="1" x14ac:dyDescent="0.2">
      <c r="A73" s="471" t="s">
        <v>628</v>
      </c>
      <c r="B73" s="290" t="s">
        <v>629</v>
      </c>
      <c r="C73" s="361"/>
      <c r="D73" s="351"/>
      <c r="E73" s="104"/>
    </row>
    <row r="74" spans="1:5" x14ac:dyDescent="0.2">
      <c r="A74" s="104"/>
      <c r="B74" s="290" t="s">
        <v>627</v>
      </c>
      <c r="C74" s="361"/>
      <c r="D74" s="351"/>
      <c r="E74" s="104"/>
    </row>
    <row r="75" spans="1:5" ht="12.75" customHeight="1" x14ac:dyDescent="0.2">
      <c r="A75" s="471" t="s">
        <v>630</v>
      </c>
      <c r="B75" s="290" t="s">
        <v>631</v>
      </c>
      <c r="C75" s="361"/>
      <c r="D75" s="351"/>
      <c r="E75" s="104"/>
    </row>
    <row r="76" spans="1:5" ht="12.75" customHeight="1" x14ac:dyDescent="0.2">
      <c r="A76" s="104"/>
      <c r="B76" s="290" t="s">
        <v>632</v>
      </c>
      <c r="C76" s="361"/>
      <c r="D76" s="351"/>
      <c r="E76" s="104"/>
    </row>
    <row r="77" spans="1:5" x14ac:dyDescent="0.2">
      <c r="A77" s="104"/>
      <c r="B77" s="290" t="s">
        <v>633</v>
      </c>
      <c r="C77" s="361"/>
      <c r="D77" s="351"/>
      <c r="E77" s="104"/>
    </row>
    <row r="78" spans="1:5" x14ac:dyDescent="0.2">
      <c r="A78" s="104"/>
      <c r="B78" s="290" t="s">
        <v>595</v>
      </c>
      <c r="C78" s="361"/>
      <c r="D78" s="351"/>
      <c r="E78" s="104"/>
    </row>
    <row r="79" spans="1:5" x14ac:dyDescent="0.2">
      <c r="A79" s="466">
        <v>42</v>
      </c>
      <c r="B79" s="290" t="s">
        <v>634</v>
      </c>
      <c r="C79" s="361">
        <v>0</v>
      </c>
      <c r="D79" s="351" t="s">
        <v>635</v>
      </c>
      <c r="E79" s="351" t="s">
        <v>515</v>
      </c>
    </row>
    <row r="80" spans="1:5" x14ac:dyDescent="0.2">
      <c r="A80" s="466">
        <v>43</v>
      </c>
      <c r="B80" s="469" t="s">
        <v>636</v>
      </c>
      <c r="C80" s="361">
        <v>-5194.8</v>
      </c>
      <c r="D80" s="298" t="s">
        <v>637</v>
      </c>
      <c r="E80" s="351" t="s">
        <v>515</v>
      </c>
    </row>
    <row r="81" spans="1:5" ht="12.75" customHeight="1" x14ac:dyDescent="0.2">
      <c r="A81" s="466">
        <v>44</v>
      </c>
      <c r="B81" s="469" t="s">
        <v>638</v>
      </c>
      <c r="C81" s="361">
        <f>C63+C80</f>
        <v>1585458.0870000001</v>
      </c>
      <c r="D81" s="298" t="s">
        <v>639</v>
      </c>
      <c r="E81" s="351" t="s">
        <v>515</v>
      </c>
    </row>
    <row r="82" spans="1:5" ht="12" customHeight="1" x14ac:dyDescent="0.2">
      <c r="A82" s="466">
        <v>45</v>
      </c>
      <c r="B82" s="469" t="s">
        <v>640</v>
      </c>
      <c r="C82" s="361">
        <f>C54+C81</f>
        <v>20613334.288000003</v>
      </c>
      <c r="D82" s="298" t="s">
        <v>641</v>
      </c>
      <c r="E82" s="351" t="s">
        <v>515</v>
      </c>
    </row>
    <row r="83" spans="1:5" x14ac:dyDescent="0.2">
      <c r="A83" s="466"/>
      <c r="B83" s="469"/>
      <c r="C83" s="361"/>
      <c r="D83" s="438"/>
      <c r="E83" s="104"/>
    </row>
    <row r="84" spans="1:5" ht="12.75" customHeight="1" thickBot="1" x14ac:dyDescent="0.25">
      <c r="A84" s="462"/>
      <c r="B84" s="442" t="s">
        <v>642</v>
      </c>
      <c r="C84" s="524"/>
      <c r="D84" s="442"/>
      <c r="E84" s="442"/>
    </row>
    <row r="85" spans="1:5" x14ac:dyDescent="0.2">
      <c r="A85" s="466">
        <v>46</v>
      </c>
      <c r="B85" s="290" t="s">
        <v>513</v>
      </c>
      <c r="C85" s="361">
        <v>2465886.59</v>
      </c>
      <c r="D85" s="351" t="s">
        <v>643</v>
      </c>
      <c r="E85" s="351" t="s">
        <v>515</v>
      </c>
    </row>
    <row r="86" spans="1:5" x14ac:dyDescent="0.2">
      <c r="A86" s="466">
        <v>47</v>
      </c>
      <c r="B86" s="290" t="s">
        <v>644</v>
      </c>
      <c r="C86" s="361">
        <v>0</v>
      </c>
      <c r="D86" s="351" t="s">
        <v>645</v>
      </c>
      <c r="E86" s="351" t="s">
        <v>515</v>
      </c>
    </row>
    <row r="87" spans="1:5" ht="12.75" customHeight="1" x14ac:dyDescent="0.2">
      <c r="A87" s="104"/>
      <c r="B87" s="290" t="s">
        <v>646</v>
      </c>
      <c r="C87" s="361"/>
      <c r="D87" s="351"/>
      <c r="E87" s="351" t="s">
        <v>515</v>
      </c>
    </row>
    <row r="88" spans="1:5" ht="12.75" customHeight="1" x14ac:dyDescent="0.2">
      <c r="A88" s="466">
        <v>48</v>
      </c>
      <c r="B88" s="290" t="s">
        <v>647</v>
      </c>
      <c r="C88" s="361">
        <v>0</v>
      </c>
      <c r="D88" s="467" t="s">
        <v>648</v>
      </c>
      <c r="E88" s="351" t="s">
        <v>515</v>
      </c>
    </row>
    <row r="89" spans="1:5" x14ac:dyDescent="0.2">
      <c r="A89" s="466">
        <v>49</v>
      </c>
      <c r="B89" s="470" t="s">
        <v>610</v>
      </c>
      <c r="C89" s="361"/>
      <c r="D89" s="351"/>
      <c r="E89" s="351" t="s">
        <v>515</v>
      </c>
    </row>
    <row r="90" spans="1:5" x14ac:dyDescent="0.2">
      <c r="A90" s="466">
        <v>50</v>
      </c>
      <c r="B90" s="290" t="s">
        <v>649</v>
      </c>
      <c r="C90" s="361">
        <v>0</v>
      </c>
      <c r="D90" s="351" t="s">
        <v>650</v>
      </c>
      <c r="E90" s="351" t="s">
        <v>515</v>
      </c>
    </row>
    <row r="91" spans="1:5" x14ac:dyDescent="0.2">
      <c r="A91" s="466">
        <v>51</v>
      </c>
      <c r="B91" s="469" t="s">
        <v>651</v>
      </c>
      <c r="C91" s="361">
        <f>SUM(C85:C90)</f>
        <v>2465886.59</v>
      </c>
      <c r="D91" s="298" t="s">
        <v>652</v>
      </c>
      <c r="E91" s="351" t="s">
        <v>515</v>
      </c>
    </row>
    <row r="92" spans="1:5" x14ac:dyDescent="0.2">
      <c r="A92" s="466"/>
      <c r="B92" s="469"/>
      <c r="C92" s="361"/>
      <c r="D92" s="438"/>
      <c r="E92" s="104"/>
    </row>
    <row r="93" spans="1:5" ht="13.5" thickBot="1" x14ac:dyDescent="0.25">
      <c r="A93" s="462"/>
      <c r="B93" s="442" t="s">
        <v>653</v>
      </c>
      <c r="C93" s="524"/>
      <c r="D93" s="442"/>
      <c r="E93" s="442"/>
    </row>
    <row r="94" spans="1:5" ht="12.75" customHeight="1" x14ac:dyDescent="0.2">
      <c r="A94" s="466">
        <v>52</v>
      </c>
      <c r="B94" s="290" t="s">
        <v>654</v>
      </c>
      <c r="C94" s="361">
        <v>-10389.6</v>
      </c>
      <c r="D94" s="468" t="s">
        <v>655</v>
      </c>
      <c r="E94" s="351" t="s">
        <v>515</v>
      </c>
    </row>
    <row r="95" spans="1:5" ht="12.75" customHeight="1" x14ac:dyDescent="0.2">
      <c r="A95" s="466">
        <v>53</v>
      </c>
      <c r="B95" s="290" t="s">
        <v>656</v>
      </c>
      <c r="C95" s="361">
        <v>0</v>
      </c>
      <c r="D95" s="467" t="s">
        <v>657</v>
      </c>
      <c r="E95" s="351" t="s">
        <v>515</v>
      </c>
    </row>
    <row r="96" spans="1:5" ht="25.5" customHeight="1" x14ac:dyDescent="0.2">
      <c r="A96" s="466">
        <v>54</v>
      </c>
      <c r="B96" s="470" t="s">
        <v>658</v>
      </c>
      <c r="C96" s="361">
        <v>0</v>
      </c>
      <c r="D96" s="298" t="s">
        <v>659</v>
      </c>
      <c r="E96" s="351" t="s">
        <v>515</v>
      </c>
    </row>
    <row r="97" spans="1:5" ht="12.75" customHeight="1" x14ac:dyDescent="0.2">
      <c r="A97" s="471" t="s">
        <v>660</v>
      </c>
      <c r="B97" s="290" t="s">
        <v>661</v>
      </c>
      <c r="C97" s="361">
        <v>0</v>
      </c>
      <c r="D97" s="467"/>
      <c r="E97" s="104"/>
    </row>
    <row r="98" spans="1:5" ht="12.75" customHeight="1" x14ac:dyDescent="0.2">
      <c r="A98" s="471" t="s">
        <v>662</v>
      </c>
      <c r="B98" s="290" t="s">
        <v>663</v>
      </c>
      <c r="C98" s="361">
        <v>0</v>
      </c>
      <c r="D98" s="467"/>
      <c r="E98" s="104"/>
    </row>
    <row r="99" spans="1:5" ht="25.5" customHeight="1" x14ac:dyDescent="0.2">
      <c r="A99" s="466">
        <v>55</v>
      </c>
      <c r="B99" s="290" t="s">
        <v>664</v>
      </c>
      <c r="C99" s="361">
        <v>-42500</v>
      </c>
      <c r="D99" s="298" t="s">
        <v>665</v>
      </c>
      <c r="E99" s="351" t="s">
        <v>515</v>
      </c>
    </row>
    <row r="100" spans="1:5" ht="12.75" customHeight="1" x14ac:dyDescent="0.2">
      <c r="A100" s="466">
        <v>56</v>
      </c>
      <c r="B100" s="290" t="s">
        <v>666</v>
      </c>
      <c r="C100" s="361">
        <v>0</v>
      </c>
      <c r="D100" s="468" t="s">
        <v>667</v>
      </c>
      <c r="E100" s="351" t="s">
        <v>515</v>
      </c>
    </row>
    <row r="101" spans="1:5" ht="12.75" customHeight="1" x14ac:dyDescent="0.2">
      <c r="A101" s="466" t="s">
        <v>668</v>
      </c>
      <c r="B101" s="290" t="s">
        <v>669</v>
      </c>
      <c r="C101" s="361">
        <v>0</v>
      </c>
      <c r="D101" s="468" t="s">
        <v>626</v>
      </c>
      <c r="E101" s="351" t="s">
        <v>515</v>
      </c>
    </row>
    <row r="102" spans="1:5" x14ac:dyDescent="0.2">
      <c r="A102" s="471"/>
      <c r="B102" s="290" t="s">
        <v>627</v>
      </c>
      <c r="C102" s="361"/>
      <c r="D102" s="467"/>
      <c r="E102" s="104"/>
    </row>
    <row r="103" spans="1:5" ht="12.75" customHeight="1" x14ac:dyDescent="0.2">
      <c r="A103" s="466" t="s">
        <v>670</v>
      </c>
      <c r="B103" s="290" t="s">
        <v>671</v>
      </c>
      <c r="C103" s="361">
        <v>0</v>
      </c>
      <c r="D103" s="467"/>
      <c r="E103" s="104"/>
    </row>
    <row r="104" spans="1:5" x14ac:dyDescent="0.2">
      <c r="A104" s="471"/>
      <c r="B104" s="290" t="s">
        <v>627</v>
      </c>
      <c r="C104" s="361"/>
      <c r="D104" s="467"/>
      <c r="E104" s="104"/>
    </row>
    <row r="105" spans="1:5" ht="12.75" customHeight="1" x14ac:dyDescent="0.2">
      <c r="A105" s="466" t="s">
        <v>672</v>
      </c>
      <c r="B105" s="290" t="s">
        <v>673</v>
      </c>
      <c r="C105" s="361">
        <v>0</v>
      </c>
      <c r="D105" s="467">
        <v>468</v>
      </c>
      <c r="E105" s="351" t="s">
        <v>515</v>
      </c>
    </row>
    <row r="106" spans="1:5" x14ac:dyDescent="0.2">
      <c r="A106" s="466"/>
      <c r="B106" s="290" t="s">
        <v>632</v>
      </c>
      <c r="C106" s="361"/>
      <c r="D106" s="467"/>
      <c r="E106" s="104"/>
    </row>
    <row r="107" spans="1:5" x14ac:dyDescent="0.2">
      <c r="A107" s="466"/>
      <c r="B107" s="290" t="s">
        <v>674</v>
      </c>
      <c r="C107" s="361"/>
      <c r="D107" s="467">
        <v>468</v>
      </c>
      <c r="E107" s="351" t="s">
        <v>515</v>
      </c>
    </row>
    <row r="108" spans="1:5" x14ac:dyDescent="0.2">
      <c r="A108" s="466"/>
      <c r="B108" s="290" t="s">
        <v>595</v>
      </c>
      <c r="C108" s="361"/>
      <c r="D108" s="467"/>
      <c r="E108" s="104"/>
    </row>
    <row r="109" spans="1:5" ht="12.75" customHeight="1" x14ac:dyDescent="0.2">
      <c r="A109" s="466">
        <v>57</v>
      </c>
      <c r="B109" s="469" t="s">
        <v>675</v>
      </c>
      <c r="C109" s="361">
        <f>SUM(C94:C105)</f>
        <v>-52889.599999999999</v>
      </c>
      <c r="D109" s="468" t="s">
        <v>676</v>
      </c>
      <c r="E109" s="351" t="s">
        <v>515</v>
      </c>
    </row>
    <row r="110" spans="1:5" ht="12.75" customHeight="1" x14ac:dyDescent="0.2">
      <c r="A110" s="466">
        <v>58</v>
      </c>
      <c r="B110" s="469" t="s">
        <v>677</v>
      </c>
      <c r="C110" s="361">
        <f>C91+C109</f>
        <v>2412996.9899999998</v>
      </c>
      <c r="D110" s="468" t="s">
        <v>678</v>
      </c>
      <c r="E110" s="351" t="s">
        <v>515</v>
      </c>
    </row>
    <row r="111" spans="1:5" x14ac:dyDescent="0.2">
      <c r="A111" s="466">
        <v>59</v>
      </c>
      <c r="B111" s="469" t="s">
        <v>679</v>
      </c>
      <c r="C111" s="361">
        <f>C82+C110</f>
        <v>23026331.278000001</v>
      </c>
      <c r="D111" s="468" t="s">
        <v>680</v>
      </c>
      <c r="E111" s="351" t="s">
        <v>515</v>
      </c>
    </row>
    <row r="112" spans="1:5" ht="12" customHeight="1" x14ac:dyDescent="0.2">
      <c r="A112" s="466" t="s">
        <v>681</v>
      </c>
      <c r="B112" s="290" t="s">
        <v>682</v>
      </c>
      <c r="C112" s="361">
        <v>0</v>
      </c>
      <c r="D112" s="467" t="s">
        <v>683</v>
      </c>
      <c r="E112" s="351" t="s">
        <v>515</v>
      </c>
    </row>
    <row r="113" spans="1:5" x14ac:dyDescent="0.2">
      <c r="A113" s="471"/>
      <c r="B113" s="290" t="s">
        <v>684</v>
      </c>
      <c r="C113" s="361">
        <v>0</v>
      </c>
      <c r="D113" s="467" t="s">
        <v>685</v>
      </c>
      <c r="E113" s="351" t="s">
        <v>515</v>
      </c>
    </row>
    <row r="114" spans="1:5" ht="12.75" customHeight="1" x14ac:dyDescent="0.2">
      <c r="A114" s="471"/>
      <c r="B114" s="290" t="s">
        <v>686</v>
      </c>
      <c r="C114" s="361"/>
      <c r="D114" s="467"/>
      <c r="E114" s="104"/>
    </row>
    <row r="115" spans="1:5" x14ac:dyDescent="0.2">
      <c r="A115" s="471"/>
      <c r="B115" s="290" t="s">
        <v>687</v>
      </c>
      <c r="C115" s="361"/>
      <c r="D115" s="466"/>
      <c r="E115" s="104"/>
    </row>
    <row r="116" spans="1:5" x14ac:dyDescent="0.2">
      <c r="A116" s="466">
        <v>60</v>
      </c>
      <c r="B116" s="474" t="s">
        <v>688</v>
      </c>
      <c r="C116" s="361">
        <v>129215525.77599999</v>
      </c>
      <c r="D116" s="466"/>
      <c r="E116" s="104"/>
    </row>
    <row r="117" spans="1:5" x14ac:dyDescent="0.2">
      <c r="A117" s="466"/>
      <c r="B117" s="474"/>
      <c r="C117" s="361"/>
      <c r="D117" s="466"/>
      <c r="E117" s="104"/>
    </row>
    <row r="118" spans="1:5" ht="12.75" customHeight="1" thickBot="1" x14ac:dyDescent="0.25">
      <c r="A118" s="462"/>
      <c r="B118" s="442" t="s">
        <v>689</v>
      </c>
      <c r="C118" s="524"/>
      <c r="D118" s="442"/>
      <c r="E118" s="442"/>
    </row>
    <row r="119" spans="1:5" x14ac:dyDescent="0.2">
      <c r="A119" s="466">
        <v>61</v>
      </c>
      <c r="B119" s="474" t="s">
        <v>690</v>
      </c>
      <c r="C119" s="475">
        <v>0.14729999999999999</v>
      </c>
      <c r="D119" s="467" t="s">
        <v>691</v>
      </c>
      <c r="E119" s="351" t="s">
        <v>515</v>
      </c>
    </row>
    <row r="120" spans="1:5" x14ac:dyDescent="0.2">
      <c r="A120" s="466">
        <v>62</v>
      </c>
      <c r="B120" s="474" t="s">
        <v>692</v>
      </c>
      <c r="C120" s="475">
        <v>0.1595</v>
      </c>
      <c r="D120" s="467" t="s">
        <v>693</v>
      </c>
      <c r="E120" s="351" t="s">
        <v>515</v>
      </c>
    </row>
    <row r="121" spans="1:5" x14ac:dyDescent="0.2">
      <c r="A121" s="466">
        <v>63</v>
      </c>
      <c r="B121" s="474" t="s">
        <v>694</v>
      </c>
      <c r="C121" s="475">
        <v>0.1782</v>
      </c>
      <c r="D121" s="467" t="s">
        <v>695</v>
      </c>
      <c r="E121" s="351" t="s">
        <v>515</v>
      </c>
    </row>
    <row r="122" spans="1:5" x14ac:dyDescent="0.2">
      <c r="A122" s="466">
        <v>64</v>
      </c>
      <c r="B122" s="469" t="s">
        <v>696</v>
      </c>
      <c r="C122" s="475">
        <v>0.12</v>
      </c>
      <c r="D122" s="468" t="s">
        <v>697</v>
      </c>
      <c r="E122" s="351" t="s">
        <v>515</v>
      </c>
    </row>
    <row r="123" spans="1:5" x14ac:dyDescent="0.2">
      <c r="A123" s="466">
        <v>65</v>
      </c>
      <c r="B123" s="474" t="s">
        <v>698</v>
      </c>
      <c r="C123" s="475">
        <v>2.5000000000000001E-2</v>
      </c>
      <c r="D123" s="467"/>
      <c r="E123" s="104"/>
    </row>
    <row r="124" spans="1:5" x14ac:dyDescent="0.2">
      <c r="A124" s="466">
        <v>66</v>
      </c>
      <c r="B124" s="474" t="s">
        <v>699</v>
      </c>
      <c r="C124" s="475">
        <v>0.02</v>
      </c>
      <c r="D124" s="467"/>
      <c r="E124" s="104"/>
    </row>
    <row r="125" spans="1:5" x14ac:dyDescent="0.2">
      <c r="A125" s="466">
        <v>67</v>
      </c>
      <c r="B125" s="474" t="s">
        <v>700</v>
      </c>
      <c r="C125" s="475">
        <v>0.03</v>
      </c>
      <c r="D125" s="467"/>
      <c r="E125" s="104"/>
    </row>
    <row r="126" spans="1:5" x14ac:dyDescent="0.2">
      <c r="A126" s="466" t="s">
        <v>701</v>
      </c>
      <c r="B126" s="474" t="s">
        <v>702</v>
      </c>
      <c r="C126" s="475">
        <v>0</v>
      </c>
      <c r="D126" s="467" t="s">
        <v>703</v>
      </c>
      <c r="E126" s="351" t="s">
        <v>515</v>
      </c>
    </row>
    <row r="127" spans="1:5" x14ac:dyDescent="0.2">
      <c r="A127" s="466">
        <v>68</v>
      </c>
      <c r="B127" s="474" t="s">
        <v>704</v>
      </c>
      <c r="C127" s="475">
        <f>C119-C122</f>
        <v>2.7299999999999991E-2</v>
      </c>
      <c r="D127" s="467" t="s">
        <v>705</v>
      </c>
      <c r="E127" s="351" t="s">
        <v>515</v>
      </c>
    </row>
    <row r="128" spans="1:5" x14ac:dyDescent="0.2">
      <c r="A128" s="466">
        <v>69</v>
      </c>
      <c r="B128" s="474" t="s">
        <v>706</v>
      </c>
      <c r="C128" s="104"/>
      <c r="D128" s="467"/>
      <c r="E128" s="104"/>
    </row>
    <row r="129" spans="1:5" x14ac:dyDescent="0.2">
      <c r="A129" s="466">
        <v>70</v>
      </c>
      <c r="B129" s="474" t="s">
        <v>706</v>
      </c>
      <c r="C129" s="104"/>
      <c r="D129" s="467"/>
      <c r="E129" s="104"/>
    </row>
    <row r="130" spans="1:5" x14ac:dyDescent="0.2">
      <c r="A130" s="466">
        <v>71</v>
      </c>
      <c r="B130" s="474" t="s">
        <v>706</v>
      </c>
      <c r="C130" s="104"/>
      <c r="D130" s="467"/>
      <c r="E130" s="104"/>
    </row>
    <row r="131" spans="1:5" x14ac:dyDescent="0.2">
      <c r="A131" s="466"/>
      <c r="B131" s="474"/>
      <c r="C131" s="104"/>
      <c r="D131" s="467"/>
      <c r="E131" s="104"/>
    </row>
    <row r="132" spans="1:5" ht="13.5" thickBot="1" x14ac:dyDescent="0.25">
      <c r="A132" s="462"/>
      <c r="B132" s="442" t="s">
        <v>689</v>
      </c>
      <c r="C132" s="524"/>
      <c r="D132" s="442"/>
      <c r="E132" s="442"/>
    </row>
    <row r="133" spans="1:5" ht="25.5" customHeight="1" x14ac:dyDescent="0.2">
      <c r="A133" s="466">
        <v>72</v>
      </c>
      <c r="B133" s="290" t="s">
        <v>707</v>
      </c>
      <c r="C133" s="476">
        <v>161529.28</v>
      </c>
      <c r="D133" s="468" t="s">
        <v>708</v>
      </c>
      <c r="E133" s="467" t="s">
        <v>515</v>
      </c>
    </row>
    <row r="134" spans="1:5" ht="25.5" customHeight="1" x14ac:dyDescent="0.2">
      <c r="A134" s="466">
        <v>73</v>
      </c>
      <c r="B134" s="290" t="s">
        <v>709</v>
      </c>
      <c r="C134" s="476">
        <v>1743293.5220000001</v>
      </c>
      <c r="D134" s="468" t="s">
        <v>710</v>
      </c>
      <c r="E134" s="467" t="s">
        <v>515</v>
      </c>
    </row>
    <row r="135" spans="1:5" x14ac:dyDescent="0.2">
      <c r="A135" s="466">
        <v>74</v>
      </c>
      <c r="B135" s="106" t="s">
        <v>539</v>
      </c>
      <c r="C135" s="106"/>
      <c r="D135" s="351"/>
      <c r="E135" s="104"/>
    </row>
    <row r="136" spans="1:5" ht="12.75" customHeight="1" x14ac:dyDescent="0.2">
      <c r="A136" s="466">
        <v>75</v>
      </c>
      <c r="B136" s="290" t="s">
        <v>711</v>
      </c>
      <c r="C136" s="106"/>
      <c r="D136" s="298" t="s">
        <v>712</v>
      </c>
      <c r="E136" s="467" t="s">
        <v>515</v>
      </c>
    </row>
    <row r="137" spans="1:5" x14ac:dyDescent="0.2">
      <c r="A137" s="466"/>
      <c r="B137" s="290"/>
      <c r="C137" s="104"/>
      <c r="D137" s="468"/>
      <c r="E137" s="104"/>
    </row>
    <row r="138" spans="1:5" ht="12.75" customHeight="1" thickBot="1" x14ac:dyDescent="0.25">
      <c r="A138" s="462"/>
      <c r="B138" s="442" t="s">
        <v>713</v>
      </c>
      <c r="C138" s="524"/>
      <c r="D138" s="442"/>
      <c r="E138" s="442"/>
    </row>
    <row r="139" spans="1:5" x14ac:dyDescent="0.2">
      <c r="A139" s="466">
        <v>76</v>
      </c>
      <c r="B139" s="104" t="s">
        <v>714</v>
      </c>
      <c r="C139" s="351">
        <v>0</v>
      </c>
      <c r="D139" s="351">
        <v>62</v>
      </c>
      <c r="E139" s="467" t="s">
        <v>515</v>
      </c>
    </row>
    <row r="140" spans="1:5" ht="12.75" customHeight="1" x14ac:dyDescent="0.2">
      <c r="A140" s="466">
        <v>77</v>
      </c>
      <c r="B140" s="290" t="s">
        <v>715</v>
      </c>
      <c r="C140" s="351"/>
      <c r="D140" s="351">
        <v>62</v>
      </c>
      <c r="E140" s="467" t="s">
        <v>515</v>
      </c>
    </row>
    <row r="141" spans="1:5" x14ac:dyDescent="0.2">
      <c r="A141" s="466">
        <v>78</v>
      </c>
      <c r="B141" s="104" t="s">
        <v>649</v>
      </c>
      <c r="C141" s="351">
        <v>0</v>
      </c>
      <c r="D141" s="351">
        <v>62</v>
      </c>
      <c r="E141" s="467" t="s">
        <v>515</v>
      </c>
    </row>
    <row r="142" spans="1:5" ht="12.75" customHeight="1" x14ac:dyDescent="0.2">
      <c r="A142" s="466">
        <v>79</v>
      </c>
      <c r="B142" s="290" t="s">
        <v>716</v>
      </c>
      <c r="C142" s="351"/>
      <c r="D142" s="351">
        <v>62</v>
      </c>
      <c r="E142" s="467" t="s">
        <v>515</v>
      </c>
    </row>
    <row r="143" spans="1:5" x14ac:dyDescent="0.2">
      <c r="A143" s="466"/>
      <c r="B143" s="290"/>
      <c r="C143" s="351"/>
      <c r="D143" s="467"/>
      <c r="E143" s="104"/>
    </row>
    <row r="144" spans="1:5" ht="12.75" customHeight="1" thickBot="1" x14ac:dyDescent="0.25">
      <c r="A144" s="462"/>
      <c r="B144" s="442" t="s">
        <v>717</v>
      </c>
      <c r="C144" s="524"/>
      <c r="D144" s="442"/>
      <c r="E144" s="442"/>
    </row>
    <row r="145" spans="1:5" ht="12.75" customHeight="1" x14ac:dyDescent="0.2">
      <c r="A145" s="466">
        <v>80</v>
      </c>
      <c r="B145" s="290" t="s">
        <v>718</v>
      </c>
      <c r="C145" s="351"/>
      <c r="D145" s="298" t="s">
        <v>719</v>
      </c>
      <c r="E145" s="467" t="s">
        <v>515</v>
      </c>
    </row>
    <row r="146" spans="1:5" ht="12.75" customHeight="1" x14ac:dyDescent="0.2">
      <c r="A146" s="466">
        <v>81</v>
      </c>
      <c r="B146" s="290" t="s">
        <v>720</v>
      </c>
      <c r="C146" s="351">
        <v>0</v>
      </c>
      <c r="D146" s="298" t="s">
        <v>719</v>
      </c>
      <c r="E146" s="467" t="s">
        <v>515</v>
      </c>
    </row>
    <row r="147" spans="1:5" ht="12.75" customHeight="1" x14ac:dyDescent="0.2">
      <c r="A147" s="466">
        <v>82</v>
      </c>
      <c r="B147" s="290" t="s">
        <v>721</v>
      </c>
      <c r="C147" s="477">
        <v>926400</v>
      </c>
      <c r="D147" s="298" t="s">
        <v>722</v>
      </c>
      <c r="E147" s="467" t="s">
        <v>515</v>
      </c>
    </row>
    <row r="148" spans="1:5" ht="12.75" customHeight="1" x14ac:dyDescent="0.2">
      <c r="A148" s="466">
        <v>83</v>
      </c>
      <c r="B148" s="290" t="s">
        <v>723</v>
      </c>
      <c r="C148" s="477"/>
      <c r="D148" s="298" t="s">
        <v>722</v>
      </c>
      <c r="E148" s="467" t="s">
        <v>515</v>
      </c>
    </row>
    <row r="149" spans="1:5" ht="12.75" customHeight="1" x14ac:dyDescent="0.2">
      <c r="A149" s="466">
        <v>84</v>
      </c>
      <c r="B149" s="290" t="s">
        <v>724</v>
      </c>
      <c r="C149" s="477"/>
      <c r="D149" s="298" t="s">
        <v>725</v>
      </c>
      <c r="E149" s="467" t="s">
        <v>515</v>
      </c>
    </row>
    <row r="150" spans="1:5" ht="12.75" customHeight="1" x14ac:dyDescent="0.2">
      <c r="A150" s="466">
        <v>85</v>
      </c>
      <c r="B150" s="290" t="s">
        <v>726</v>
      </c>
      <c r="C150" s="477"/>
      <c r="D150" s="298" t="s">
        <v>725</v>
      </c>
      <c r="E150" s="467" t="s">
        <v>515</v>
      </c>
    </row>
    <row r="151" spans="1:5" x14ac:dyDescent="0.2">
      <c r="A151" s="104"/>
      <c r="B151" s="104"/>
      <c r="C151" s="104"/>
      <c r="D151" s="104"/>
      <c r="E151" s="104"/>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47"/>
  <sheetViews>
    <sheetView zoomScaleNormal="100" workbookViewId="0"/>
  </sheetViews>
  <sheetFormatPr baseColWidth="10" defaultRowHeight="12" x14ac:dyDescent="0.2"/>
  <cols>
    <col min="1" max="1" width="50.5" style="383" customWidth="1"/>
    <col min="2" max="2" width="17.375" style="383" customWidth="1"/>
    <col min="3" max="5" width="17.25" style="383" customWidth="1"/>
    <col min="6" max="6" width="17.25" style="655" customWidth="1"/>
    <col min="7" max="7" width="11" style="383"/>
    <col min="8" max="8" width="19" style="383" customWidth="1"/>
    <col min="9" max="9" width="11.875" style="383" customWidth="1"/>
    <col min="10" max="16384" width="11" style="383"/>
  </cols>
  <sheetData>
    <row r="1" spans="1:9" x14ac:dyDescent="0.2">
      <c r="A1" s="478" t="s">
        <v>850</v>
      </c>
    </row>
    <row r="4" spans="1:9" ht="48.75" customHeight="1" x14ac:dyDescent="0.2">
      <c r="A4" s="444"/>
      <c r="B4" s="525" t="s">
        <v>1179</v>
      </c>
      <c r="C4" s="438" t="s">
        <v>475</v>
      </c>
      <c r="D4" s="438" t="s">
        <v>476</v>
      </c>
      <c r="E4" s="525" t="s">
        <v>1059</v>
      </c>
      <c r="F4" s="525" t="s">
        <v>1060</v>
      </c>
      <c r="G4" s="438" t="s">
        <v>477</v>
      </c>
      <c r="H4" s="525" t="s">
        <v>1180</v>
      </c>
      <c r="I4" s="438" t="s">
        <v>478</v>
      </c>
    </row>
    <row r="5" spans="1:9" ht="12.75" customHeight="1" thickBot="1" x14ac:dyDescent="0.25">
      <c r="A5" s="442" t="s">
        <v>479</v>
      </c>
      <c r="B5" s="441"/>
      <c r="C5" s="441"/>
      <c r="D5" s="441"/>
      <c r="E5" s="441"/>
      <c r="F5" s="441"/>
      <c r="G5" s="441"/>
      <c r="H5" s="443"/>
      <c r="I5" s="441"/>
    </row>
    <row r="6" spans="1:9" ht="12.75" customHeight="1" x14ac:dyDescent="0.2">
      <c r="A6" s="445" t="s">
        <v>480</v>
      </c>
      <c r="B6" s="446">
        <v>213</v>
      </c>
      <c r="C6" s="446">
        <v>0</v>
      </c>
      <c r="D6" s="446">
        <v>0</v>
      </c>
      <c r="E6" s="446">
        <v>0</v>
      </c>
      <c r="F6" s="446">
        <v>0</v>
      </c>
      <c r="G6" s="446"/>
      <c r="H6" s="447">
        <f>SUM(B6:G6)</f>
        <v>213</v>
      </c>
      <c r="I6" s="448"/>
    </row>
    <row r="7" spans="1:9" ht="12.75" customHeight="1" x14ac:dyDescent="0.2">
      <c r="A7" s="445" t="s">
        <v>481</v>
      </c>
      <c r="B7" s="446">
        <v>3600</v>
      </c>
      <c r="C7" s="446">
        <v>908</v>
      </c>
      <c r="D7" s="446">
        <v>123</v>
      </c>
      <c r="E7" s="446">
        <v>143</v>
      </c>
      <c r="F7" s="446">
        <v>70</v>
      </c>
      <c r="G7" s="446">
        <f>-157</f>
        <v>-157</v>
      </c>
      <c r="H7" s="447">
        <f>SUM(B7:G7)</f>
        <v>4687</v>
      </c>
      <c r="I7" s="448"/>
    </row>
    <row r="8" spans="1:9" ht="12.75" customHeight="1" x14ac:dyDescent="0.2">
      <c r="A8" s="445" t="s">
        <v>482</v>
      </c>
      <c r="B8" s="446">
        <v>181676</v>
      </c>
      <c r="C8" s="446">
        <v>14631</v>
      </c>
      <c r="D8" s="446">
        <v>1947</v>
      </c>
      <c r="E8" s="446">
        <v>5380</v>
      </c>
      <c r="F8" s="446">
        <v>900</v>
      </c>
      <c r="G8" s="446"/>
      <c r="H8" s="447">
        <f t="shared" ref="H8:H15" si="0">SUM(B8:G8)</f>
        <v>204534</v>
      </c>
      <c r="I8" s="448"/>
    </row>
    <row r="9" spans="1:9" ht="12.75" customHeight="1" x14ac:dyDescent="0.2">
      <c r="A9" s="445" t="s">
        <v>483</v>
      </c>
      <c r="B9" s="446">
        <v>29423</v>
      </c>
      <c r="C9" s="446">
        <v>2789</v>
      </c>
      <c r="D9" s="446">
        <v>313</v>
      </c>
      <c r="E9" s="446">
        <v>1438</v>
      </c>
      <c r="F9" s="446">
        <v>0</v>
      </c>
      <c r="G9" s="446"/>
      <c r="H9" s="447">
        <f>SUM(B9:G9)</f>
        <v>33963</v>
      </c>
      <c r="I9" s="448"/>
    </row>
    <row r="10" spans="1:9" ht="12.75" customHeight="1" x14ac:dyDescent="0.2">
      <c r="A10" s="445" t="s">
        <v>484</v>
      </c>
      <c r="B10" s="446">
        <v>3746</v>
      </c>
      <c r="C10" s="446">
        <v>1272</v>
      </c>
      <c r="D10" s="446">
        <v>63</v>
      </c>
      <c r="E10" s="446">
        <v>30</v>
      </c>
      <c r="F10" s="446">
        <v>0</v>
      </c>
      <c r="G10" s="446"/>
      <c r="H10" s="447">
        <f t="shared" si="0"/>
        <v>5111</v>
      </c>
      <c r="I10" s="448"/>
    </row>
    <row r="11" spans="1:9" ht="12.75" customHeight="1" x14ac:dyDescent="0.2">
      <c r="A11" s="445" t="s">
        <v>485</v>
      </c>
      <c r="B11" s="446">
        <v>851</v>
      </c>
      <c r="C11" s="446">
        <v>0</v>
      </c>
      <c r="D11" s="446">
        <v>0</v>
      </c>
      <c r="E11" s="446">
        <v>0</v>
      </c>
      <c r="F11" s="446">
        <v>0</v>
      </c>
      <c r="G11" s="446">
        <v>-5</v>
      </c>
      <c r="H11" s="447">
        <f t="shared" si="0"/>
        <v>846</v>
      </c>
      <c r="I11" s="448"/>
    </row>
    <row r="12" spans="1:9" ht="12.75" customHeight="1" x14ac:dyDescent="0.2">
      <c r="A12" s="445" t="s">
        <v>486</v>
      </c>
      <c r="B12" s="446">
        <v>4002</v>
      </c>
      <c r="C12" s="446">
        <v>0</v>
      </c>
      <c r="D12" s="446">
        <v>0</v>
      </c>
      <c r="E12" s="446">
        <v>2</v>
      </c>
      <c r="F12" s="446">
        <v>0</v>
      </c>
      <c r="G12" s="446">
        <f>-2279+1</f>
        <v>-2278</v>
      </c>
      <c r="H12" s="447">
        <f t="shared" si="0"/>
        <v>1726</v>
      </c>
      <c r="I12" s="447" t="s">
        <v>902</v>
      </c>
    </row>
    <row r="13" spans="1:9" ht="12.75" customHeight="1" x14ac:dyDescent="0.2">
      <c r="A13" s="445" t="s">
        <v>487</v>
      </c>
      <c r="B13" s="446">
        <v>0</v>
      </c>
      <c r="C13" s="446">
        <v>0</v>
      </c>
      <c r="D13" s="446">
        <v>0</v>
      </c>
      <c r="E13" s="446">
        <v>10</v>
      </c>
      <c r="F13" s="446">
        <v>0</v>
      </c>
      <c r="G13" s="446"/>
      <c r="H13" s="447">
        <f t="shared" si="0"/>
        <v>10</v>
      </c>
      <c r="I13" s="448"/>
    </row>
    <row r="14" spans="1:9" ht="12.75" customHeight="1" x14ac:dyDescent="0.2">
      <c r="A14" s="445" t="s">
        <v>488</v>
      </c>
      <c r="B14" s="446">
        <v>95</v>
      </c>
      <c r="C14" s="446">
        <v>0</v>
      </c>
      <c r="D14" s="446">
        <v>0</v>
      </c>
      <c r="E14" s="446">
        <v>5</v>
      </c>
      <c r="F14" s="446">
        <v>12</v>
      </c>
      <c r="G14" s="446"/>
      <c r="H14" s="447">
        <f>SUM(B14:G14)</f>
        <v>112</v>
      </c>
      <c r="I14" s="448"/>
    </row>
    <row r="15" spans="1:9" ht="12.75" customHeight="1" x14ac:dyDescent="0.2">
      <c r="A15" s="449" t="s">
        <v>489</v>
      </c>
      <c r="B15" s="446">
        <f>2512-95</f>
        <v>2417</v>
      </c>
      <c r="C15" s="446">
        <v>1</v>
      </c>
      <c r="D15" s="446">
        <v>0</v>
      </c>
      <c r="E15" s="446">
        <v>17</v>
      </c>
      <c r="F15" s="446">
        <v>57</v>
      </c>
      <c r="G15" s="446">
        <v>-1</v>
      </c>
      <c r="H15" s="447">
        <f t="shared" si="0"/>
        <v>2491</v>
      </c>
      <c r="I15" s="448"/>
    </row>
    <row r="16" spans="1:9" ht="12.75" customHeight="1" x14ac:dyDescent="0.2">
      <c r="A16" s="99" t="s">
        <v>490</v>
      </c>
      <c r="B16" s="450">
        <f>SUM(B6:B15)</f>
        <v>226023</v>
      </c>
      <c r="C16" s="450">
        <f t="shared" ref="C16:G16" si="1">SUM(C6:C15)</f>
        <v>19601</v>
      </c>
      <c r="D16" s="450">
        <f t="shared" si="1"/>
        <v>2446</v>
      </c>
      <c r="E16" s="450">
        <f t="shared" si="1"/>
        <v>7025</v>
      </c>
      <c r="F16" s="450">
        <f t="shared" si="1"/>
        <v>1039</v>
      </c>
      <c r="G16" s="450">
        <f t="shared" si="1"/>
        <v>-2441</v>
      </c>
      <c r="H16" s="450">
        <f>SUM(H6:H15)</f>
        <v>253693</v>
      </c>
      <c r="I16" s="451"/>
    </row>
    <row r="17" spans="1:9" ht="12.75" customHeight="1" x14ac:dyDescent="0.2">
      <c r="A17" s="14"/>
      <c r="B17" s="323"/>
      <c r="C17" s="323"/>
      <c r="D17" s="323"/>
      <c r="E17" s="323"/>
      <c r="F17" s="323"/>
      <c r="G17" s="323"/>
      <c r="H17" s="323"/>
      <c r="I17" s="323"/>
    </row>
    <row r="18" spans="1:9" ht="12.75" customHeight="1" thickBot="1" x14ac:dyDescent="0.25">
      <c r="A18" s="442" t="s">
        <v>491</v>
      </c>
      <c r="B18" s="441"/>
      <c r="C18" s="441"/>
      <c r="D18" s="441"/>
      <c r="E18" s="441"/>
      <c r="F18" s="441"/>
      <c r="G18" s="441"/>
      <c r="H18" s="443"/>
      <c r="I18" s="441"/>
    </row>
    <row r="19" spans="1:9" ht="12.75" customHeight="1" x14ac:dyDescent="0.2">
      <c r="A19" s="445" t="s">
        <v>492</v>
      </c>
      <c r="B19" s="446">
        <v>2853</v>
      </c>
      <c r="C19" s="446">
        <v>0</v>
      </c>
      <c r="D19" s="446">
        <v>0</v>
      </c>
      <c r="E19" s="446">
        <v>5</v>
      </c>
      <c r="F19" s="446">
        <v>804</v>
      </c>
      <c r="G19" s="446">
        <f>-157</f>
        <v>-157</v>
      </c>
      <c r="H19" s="447">
        <f t="shared" ref="H19:H29" si="2">SUM(B19:G19)</f>
        <v>3505</v>
      </c>
      <c r="I19" s="448"/>
    </row>
    <row r="20" spans="1:9" ht="12.75" customHeight="1" x14ac:dyDescent="0.2">
      <c r="A20" s="445" t="s">
        <v>493</v>
      </c>
      <c r="B20" s="446">
        <v>100320</v>
      </c>
      <c r="C20" s="446">
        <v>0</v>
      </c>
      <c r="D20" s="446">
        <v>0</v>
      </c>
      <c r="E20" s="446">
        <v>3636</v>
      </c>
      <c r="F20" s="446">
        <v>0</v>
      </c>
      <c r="G20" s="446"/>
      <c r="H20" s="447">
        <f t="shared" si="2"/>
        <v>103956</v>
      </c>
      <c r="I20" s="448"/>
    </row>
    <row r="21" spans="1:9" ht="12.75" customHeight="1" x14ac:dyDescent="0.2">
      <c r="A21" s="445" t="s">
        <v>494</v>
      </c>
      <c r="B21" s="446">
        <v>93584</v>
      </c>
      <c r="C21" s="446">
        <v>17338</v>
      </c>
      <c r="D21" s="446">
        <v>1979</v>
      </c>
      <c r="E21" s="446">
        <v>2213</v>
      </c>
      <c r="F21" s="446">
        <v>0</v>
      </c>
      <c r="G21" s="446"/>
      <c r="H21" s="447">
        <f t="shared" si="2"/>
        <v>115114</v>
      </c>
      <c r="I21" s="448"/>
    </row>
    <row r="22" spans="1:9" ht="12.75" customHeight="1" x14ac:dyDescent="0.2">
      <c r="A22" s="445" t="s">
        <v>484</v>
      </c>
      <c r="B22" s="446">
        <v>2732</v>
      </c>
      <c r="C22" s="446">
        <f>1064+118</f>
        <v>1182</v>
      </c>
      <c r="D22" s="446">
        <v>1</v>
      </c>
      <c r="E22" s="446">
        <v>21</v>
      </c>
      <c r="F22" s="446">
        <v>0</v>
      </c>
      <c r="G22" s="446"/>
      <c r="H22" s="447">
        <f t="shared" si="2"/>
        <v>3936</v>
      </c>
      <c r="I22" s="448"/>
    </row>
    <row r="23" spans="1:9" ht="12.75" customHeight="1" x14ac:dyDescent="0.2">
      <c r="A23" s="445" t="s">
        <v>495</v>
      </c>
      <c r="B23" s="104">
        <v>431</v>
      </c>
      <c r="C23" s="446">
        <v>8</v>
      </c>
      <c r="D23" s="446">
        <v>4</v>
      </c>
      <c r="E23" s="104">
        <v>4</v>
      </c>
      <c r="F23" s="104">
        <v>0</v>
      </c>
      <c r="G23" s="104"/>
      <c r="H23" s="447">
        <f t="shared" si="2"/>
        <v>447</v>
      </c>
      <c r="I23" s="106"/>
    </row>
    <row r="24" spans="1:9" ht="13.5" customHeight="1" x14ac:dyDescent="0.2">
      <c r="A24" s="445" t="s">
        <v>496</v>
      </c>
      <c r="B24" s="446">
        <f>2187-431</f>
        <v>1756</v>
      </c>
      <c r="C24" s="446">
        <v>12</v>
      </c>
      <c r="D24" s="446">
        <v>4</v>
      </c>
      <c r="E24" s="446">
        <v>38</v>
      </c>
      <c r="F24" s="446">
        <v>27</v>
      </c>
      <c r="G24" s="446">
        <v>-1</v>
      </c>
      <c r="H24" s="447">
        <f t="shared" si="2"/>
        <v>1836</v>
      </c>
      <c r="I24" s="448"/>
    </row>
    <row r="25" spans="1:9" ht="12.75" customHeight="1" x14ac:dyDescent="0.2">
      <c r="A25" s="445" t="s">
        <v>497</v>
      </c>
      <c r="B25" s="446">
        <v>3339</v>
      </c>
      <c r="C25" s="446">
        <f>127+94</f>
        <v>221</v>
      </c>
      <c r="D25" s="446">
        <f>67+33</f>
        <v>100</v>
      </c>
      <c r="E25" s="446">
        <f>121+97</f>
        <v>218</v>
      </c>
      <c r="F25" s="677">
        <v>18</v>
      </c>
      <c r="G25" s="446">
        <v>-5</v>
      </c>
      <c r="H25" s="678">
        <f>SUM(B25:G25)</f>
        <v>3891</v>
      </c>
      <c r="I25" s="448"/>
    </row>
    <row r="26" spans="1:9" ht="12.75" customHeight="1" x14ac:dyDescent="0.2">
      <c r="A26" s="664" t="s">
        <v>1080</v>
      </c>
      <c r="B26" s="526">
        <v>798</v>
      </c>
      <c r="C26" s="526">
        <v>0</v>
      </c>
      <c r="D26" s="526">
        <v>0</v>
      </c>
      <c r="E26" s="526">
        <v>0</v>
      </c>
      <c r="F26" s="526">
        <v>0</v>
      </c>
      <c r="G26" s="526"/>
      <c r="H26" s="526">
        <f t="shared" si="2"/>
        <v>798</v>
      </c>
      <c r="I26" s="448"/>
    </row>
    <row r="27" spans="1:9" s="657" customFormat="1" ht="12.75" customHeight="1" x14ac:dyDescent="0.2">
      <c r="A27" s="452" t="s">
        <v>1081</v>
      </c>
      <c r="B27" s="659">
        <v>550</v>
      </c>
      <c r="C27" s="660">
        <v>94</v>
      </c>
      <c r="D27" s="660">
        <v>33</v>
      </c>
      <c r="E27" s="526">
        <v>115</v>
      </c>
      <c r="F27" s="453"/>
      <c r="G27" s="453">
        <v>-5</v>
      </c>
      <c r="H27" s="659">
        <f t="shared" si="2"/>
        <v>787</v>
      </c>
      <c r="I27" s="447" t="s">
        <v>1153</v>
      </c>
    </row>
    <row r="28" spans="1:9" ht="12.75" customHeight="1" x14ac:dyDescent="0.2">
      <c r="A28" s="452" t="s">
        <v>498</v>
      </c>
      <c r="B28" s="526">
        <v>2054</v>
      </c>
      <c r="C28" s="526">
        <v>127</v>
      </c>
      <c r="D28" s="526">
        <v>67</v>
      </c>
      <c r="E28" s="526">
        <v>147</v>
      </c>
      <c r="F28" s="526">
        <v>18</v>
      </c>
      <c r="G28" s="526"/>
      <c r="H28" s="447">
        <f t="shared" si="2"/>
        <v>2413</v>
      </c>
      <c r="I28" s="447" t="s">
        <v>1153</v>
      </c>
    </row>
    <row r="29" spans="1:9" ht="12.75" customHeight="1" x14ac:dyDescent="0.2">
      <c r="A29" s="452" t="s">
        <v>499</v>
      </c>
      <c r="B29" s="600"/>
      <c r="C29" s="526"/>
      <c r="D29" s="526"/>
      <c r="E29" s="526">
        <v>0</v>
      </c>
      <c r="F29" s="526"/>
      <c r="G29" s="526"/>
      <c r="H29" s="447">
        <f t="shared" si="2"/>
        <v>0</v>
      </c>
      <c r="I29" s="564"/>
    </row>
    <row r="30" spans="1:9" ht="12.75" customHeight="1" x14ac:dyDescent="0.2">
      <c r="A30" s="452" t="s">
        <v>500</v>
      </c>
      <c r="B30" s="526"/>
      <c r="C30" s="526"/>
      <c r="D30" s="526"/>
      <c r="E30" s="526"/>
      <c r="F30" s="526"/>
      <c r="G30" s="526"/>
      <c r="H30" s="447">
        <v>0</v>
      </c>
      <c r="I30" s="564"/>
    </row>
    <row r="31" spans="1:9" ht="12.75" customHeight="1" x14ac:dyDescent="0.2">
      <c r="A31" s="99" t="s">
        <v>501</v>
      </c>
      <c r="B31" s="450">
        <f>SUM(B19:B25)</f>
        <v>205015</v>
      </c>
      <c r="C31" s="450">
        <f t="shared" ref="C31:G31" si="3">SUM(C19:C25)</f>
        <v>18761</v>
      </c>
      <c r="D31" s="450">
        <f t="shared" si="3"/>
        <v>2088</v>
      </c>
      <c r="E31" s="450">
        <f t="shared" si="3"/>
        <v>6135</v>
      </c>
      <c r="F31" s="450">
        <f t="shared" si="3"/>
        <v>849</v>
      </c>
      <c r="G31" s="450">
        <f t="shared" si="3"/>
        <v>-163</v>
      </c>
      <c r="H31" s="450">
        <f>SUM(H19:H25)</f>
        <v>232685</v>
      </c>
      <c r="I31" s="451"/>
    </row>
    <row r="32" spans="1:9" ht="12.75" customHeight="1" x14ac:dyDescent="0.2">
      <c r="A32" s="14"/>
      <c r="B32" s="323"/>
      <c r="C32" s="323"/>
      <c r="D32" s="323"/>
      <c r="E32" s="323"/>
      <c r="F32" s="323"/>
      <c r="G32" s="323"/>
      <c r="H32" s="323"/>
      <c r="I32" s="323"/>
    </row>
    <row r="33" spans="1:9" ht="12.75" customHeight="1" thickBot="1" x14ac:dyDescent="0.25">
      <c r="A33" s="442" t="s">
        <v>502</v>
      </c>
      <c r="B33" s="441"/>
      <c r="C33" s="441"/>
      <c r="D33" s="441"/>
      <c r="E33" s="441"/>
      <c r="F33" s="441"/>
      <c r="G33" s="441"/>
      <c r="H33" s="443"/>
      <c r="I33" s="441"/>
    </row>
    <row r="34" spans="1:9" ht="12.75" customHeight="1" x14ac:dyDescent="0.2">
      <c r="A34" s="445" t="s">
        <v>503</v>
      </c>
      <c r="B34" s="446">
        <v>7981</v>
      </c>
      <c r="C34" s="453">
        <v>859</v>
      </c>
      <c r="D34" s="453">
        <v>351</v>
      </c>
      <c r="E34" s="453">
        <v>254</v>
      </c>
      <c r="F34" s="453">
        <v>160</v>
      </c>
      <c r="G34" s="453">
        <v>-1624</v>
      </c>
      <c r="H34" s="453">
        <f t="shared" ref="H34:H38" si="4">SUM(B34:G34)</f>
        <v>7981</v>
      </c>
      <c r="I34" s="453" t="s">
        <v>272</v>
      </c>
    </row>
    <row r="35" spans="1:9" ht="12.75" customHeight="1" x14ac:dyDescent="0.2">
      <c r="A35" s="445" t="s">
        <v>504</v>
      </c>
      <c r="B35" s="446">
        <v>43</v>
      </c>
      <c r="C35" s="453">
        <v>0</v>
      </c>
      <c r="D35" s="453">
        <v>0</v>
      </c>
      <c r="E35" s="453">
        <v>0</v>
      </c>
      <c r="F35" s="453">
        <v>0</v>
      </c>
      <c r="G35" s="453"/>
      <c r="H35" s="453">
        <f t="shared" si="4"/>
        <v>43</v>
      </c>
      <c r="I35" s="454"/>
    </row>
    <row r="36" spans="1:9" s="348" customFormat="1" ht="12.75" customHeight="1" x14ac:dyDescent="0.2">
      <c r="A36" s="452" t="s">
        <v>1073</v>
      </c>
      <c r="B36" s="659">
        <v>550</v>
      </c>
      <c r="C36" s="660"/>
      <c r="D36" s="660"/>
      <c r="E36" s="453"/>
      <c r="F36" s="453"/>
      <c r="G36" s="453"/>
      <c r="H36" s="660">
        <f>SUM(B36:G36)</f>
        <v>550</v>
      </c>
      <c r="I36" s="454"/>
    </row>
    <row r="37" spans="1:9" x14ac:dyDescent="0.2">
      <c r="A37" s="445" t="s">
        <v>505</v>
      </c>
      <c r="B37" s="446">
        <v>10665</v>
      </c>
      <c r="C37" s="453">
        <v>-22</v>
      </c>
      <c r="D37" s="453">
        <v>0</v>
      </c>
      <c r="E37" s="453">
        <v>582</v>
      </c>
      <c r="F37" s="453">
        <v>13</v>
      </c>
      <c r="G37" s="453">
        <v>-573</v>
      </c>
      <c r="H37" s="453">
        <f t="shared" si="4"/>
        <v>10665</v>
      </c>
      <c r="I37" s="453" t="s">
        <v>272</v>
      </c>
    </row>
    <row r="38" spans="1:9" s="566" customFormat="1" ht="12.75" customHeight="1" x14ac:dyDescent="0.2">
      <c r="A38" s="445" t="s">
        <v>954</v>
      </c>
      <c r="B38" s="446">
        <v>1769</v>
      </c>
      <c r="C38" s="453">
        <v>3</v>
      </c>
      <c r="D38" s="453">
        <v>7</v>
      </c>
      <c r="E38" s="453">
        <v>54</v>
      </c>
      <c r="F38" s="453">
        <v>17</v>
      </c>
      <c r="G38" s="453">
        <v>-81</v>
      </c>
      <c r="H38" s="453">
        <f t="shared" si="4"/>
        <v>1769</v>
      </c>
      <c r="I38" s="453"/>
    </row>
    <row r="39" spans="1:9" ht="12.75" customHeight="1" x14ac:dyDescent="0.2">
      <c r="A39" s="99" t="s">
        <v>506</v>
      </c>
      <c r="B39" s="450">
        <f t="shared" ref="B39:H39" si="5">SUM(B34:B38)</f>
        <v>21008</v>
      </c>
      <c r="C39" s="450">
        <f t="shared" si="5"/>
        <v>840</v>
      </c>
      <c r="D39" s="450">
        <f t="shared" si="5"/>
        <v>358</v>
      </c>
      <c r="E39" s="450">
        <f t="shared" si="5"/>
        <v>890</v>
      </c>
      <c r="F39" s="450">
        <f t="shared" si="5"/>
        <v>190</v>
      </c>
      <c r="G39" s="450">
        <f t="shared" si="5"/>
        <v>-2278</v>
      </c>
      <c r="H39" s="450">
        <f t="shared" si="5"/>
        <v>21008</v>
      </c>
      <c r="I39" s="572" t="s">
        <v>272</v>
      </c>
    </row>
    <row r="40" spans="1:9" ht="12.75" customHeight="1" x14ac:dyDescent="0.2">
      <c r="A40" s="456"/>
      <c r="B40" s="457"/>
      <c r="C40" s="457"/>
      <c r="D40" s="457"/>
      <c r="E40" s="457"/>
      <c r="F40" s="457"/>
      <c r="G40" s="457"/>
      <c r="H40" s="457"/>
      <c r="I40" s="458"/>
    </row>
    <row r="41" spans="1:9" ht="12.75" customHeight="1" thickBot="1" x14ac:dyDescent="0.25">
      <c r="A41" s="442" t="s">
        <v>507</v>
      </c>
      <c r="B41" s="459">
        <f t="shared" ref="B41:H41" si="6">B31+B39</f>
        <v>226023</v>
      </c>
      <c r="C41" s="460">
        <f t="shared" si="6"/>
        <v>19601</v>
      </c>
      <c r="D41" s="460">
        <f t="shared" si="6"/>
        <v>2446</v>
      </c>
      <c r="E41" s="460">
        <f t="shared" si="6"/>
        <v>7025</v>
      </c>
      <c r="F41" s="460">
        <f t="shared" si="6"/>
        <v>1039</v>
      </c>
      <c r="G41" s="460">
        <f t="shared" si="6"/>
        <v>-2441</v>
      </c>
      <c r="H41" s="460">
        <f t="shared" si="6"/>
        <v>253693</v>
      </c>
      <c r="I41" s="573"/>
    </row>
    <row r="42" spans="1:9" x14ac:dyDescent="0.2">
      <c r="H42" s="461"/>
    </row>
    <row r="44" spans="1:9" x14ac:dyDescent="0.2">
      <c r="A44" s="565" t="s">
        <v>964</v>
      </c>
    </row>
    <row r="45" spans="1:9" x14ac:dyDescent="0.2">
      <c r="A45" s="383" t="s">
        <v>1061</v>
      </c>
    </row>
    <row r="46" spans="1:9" x14ac:dyDescent="0.2">
      <c r="A46" s="383" t="s">
        <v>1131</v>
      </c>
    </row>
    <row r="47" spans="1:9" x14ac:dyDescent="0.2">
      <c r="A47" s="383" t="s">
        <v>1154</v>
      </c>
    </row>
  </sheetData>
  <pageMargins left="0.7" right="0.7" top="0.75" bottom="0.75" header="0.3" footer="0.3"/>
  <pageSetup paperSize="9" scale="72"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39"/>
  <sheetViews>
    <sheetView zoomScaleNormal="100" workbookViewId="0"/>
  </sheetViews>
  <sheetFormatPr baseColWidth="10" defaultRowHeight="12" x14ac:dyDescent="0.2"/>
  <cols>
    <col min="1" max="1" width="57.625" style="383" bestFit="1" customWidth="1"/>
    <col min="2" max="2" width="11.25" style="383" bestFit="1" customWidth="1"/>
    <col min="3" max="16384" width="11" style="383"/>
  </cols>
  <sheetData>
    <row r="1" spans="1:5" x14ac:dyDescent="0.2">
      <c r="A1" s="503" t="s">
        <v>851</v>
      </c>
    </row>
    <row r="3" spans="1:5" ht="12.75" thickBot="1" x14ac:dyDescent="0.25">
      <c r="A3" s="441"/>
      <c r="B3" s="416">
        <v>43373</v>
      </c>
      <c r="C3" s="417">
        <v>43100</v>
      </c>
    </row>
    <row r="4" spans="1:5" x14ac:dyDescent="0.2">
      <c r="A4" s="574" t="s">
        <v>973</v>
      </c>
      <c r="B4" s="18"/>
      <c r="C4" s="18"/>
      <c r="E4" s="575"/>
    </row>
    <row r="5" spans="1:5" x14ac:dyDescent="0.2">
      <c r="A5" s="574" t="s">
        <v>974</v>
      </c>
      <c r="B5" s="18"/>
      <c r="C5" s="18"/>
      <c r="E5" s="575"/>
    </row>
    <row r="6" spans="1:5" s="575" customFormat="1" x14ac:dyDescent="0.2">
      <c r="A6" s="574" t="s">
        <v>975</v>
      </c>
      <c r="B6" s="18"/>
      <c r="C6" s="18"/>
    </row>
    <row r="7" spans="1:5" x14ac:dyDescent="0.2">
      <c r="A7" s="576" t="s">
        <v>976</v>
      </c>
      <c r="B7" s="18"/>
      <c r="C7" s="18"/>
      <c r="E7" s="575"/>
    </row>
    <row r="8" spans="1:5" x14ac:dyDescent="0.2">
      <c r="A8" s="576" t="s">
        <v>977</v>
      </c>
      <c r="B8" s="18"/>
      <c r="C8" s="18"/>
      <c r="E8" s="575"/>
    </row>
    <row r="9" spans="1:5" x14ac:dyDescent="0.2">
      <c r="A9" s="576" t="s">
        <v>978</v>
      </c>
      <c r="B9" s="18">
        <v>1838074.7080000001</v>
      </c>
      <c r="C9" s="18">
        <v>6024884</v>
      </c>
      <c r="E9" s="575"/>
    </row>
    <row r="10" spans="1:5" ht="12.75" customHeight="1" x14ac:dyDescent="0.2">
      <c r="A10" s="576" t="s">
        <v>979</v>
      </c>
      <c r="B10" s="18">
        <v>-548952.67200000002</v>
      </c>
      <c r="C10" s="18">
        <v>-4307957</v>
      </c>
      <c r="E10" s="575"/>
    </row>
    <row r="11" spans="1:5" x14ac:dyDescent="0.2">
      <c r="A11" s="576" t="s">
        <v>980</v>
      </c>
      <c r="B11" s="18"/>
      <c r="C11" s="18"/>
      <c r="E11" s="575"/>
    </row>
    <row r="12" spans="1:5" ht="12.75" customHeight="1" x14ac:dyDescent="0.2">
      <c r="A12" s="576" t="s">
        <v>981</v>
      </c>
      <c r="B12" s="18">
        <v>998493.48199999996</v>
      </c>
      <c r="C12" s="18">
        <v>1552234</v>
      </c>
      <c r="E12" s="575"/>
    </row>
    <row r="13" spans="1:5" x14ac:dyDescent="0.2">
      <c r="A13" s="576" t="s">
        <v>982</v>
      </c>
      <c r="B13" s="18"/>
      <c r="C13" s="18"/>
      <c r="E13" s="575"/>
    </row>
    <row r="14" spans="1:5" x14ac:dyDescent="0.2">
      <c r="A14" s="576" t="s">
        <v>983</v>
      </c>
      <c r="B14" s="18"/>
      <c r="C14" s="18"/>
      <c r="E14" s="575"/>
    </row>
    <row r="15" spans="1:5" s="577" customFormat="1" x14ac:dyDescent="0.2">
      <c r="A15" s="576" t="s">
        <v>984</v>
      </c>
      <c r="B15" s="18"/>
      <c r="C15" s="18"/>
      <c r="E15" s="575"/>
    </row>
    <row r="16" spans="1:5" s="577" customFormat="1" x14ac:dyDescent="0.2">
      <c r="A16" s="576" t="s">
        <v>985</v>
      </c>
      <c r="B16" s="18"/>
      <c r="C16" s="18"/>
      <c r="E16" s="575"/>
    </row>
    <row r="17" spans="1:5" s="577" customFormat="1" x14ac:dyDescent="0.2">
      <c r="A17" s="576" t="s">
        <v>986</v>
      </c>
      <c r="B17" s="18"/>
      <c r="C17" s="18"/>
      <c r="E17" s="575"/>
    </row>
    <row r="18" spans="1:5" s="577" customFormat="1" x14ac:dyDescent="0.2">
      <c r="A18" s="576" t="s">
        <v>987</v>
      </c>
      <c r="B18" s="18">
        <v>1093940.7</v>
      </c>
      <c r="C18" s="18">
        <v>1141235.5</v>
      </c>
      <c r="E18" s="575"/>
    </row>
    <row r="19" spans="1:5" s="577" customFormat="1" x14ac:dyDescent="0.2">
      <c r="A19" s="576" t="s">
        <v>988</v>
      </c>
      <c r="B19" s="18">
        <v>6586.4</v>
      </c>
      <c r="C19" s="18">
        <v>9050.2000000000007</v>
      </c>
      <c r="E19" s="575"/>
    </row>
    <row r="20" spans="1:5" s="577" customFormat="1" x14ac:dyDescent="0.2">
      <c r="A20" s="576" t="s">
        <v>989</v>
      </c>
      <c r="B20" s="18">
        <v>10035321</v>
      </c>
      <c r="C20" s="18">
        <v>9705218</v>
      </c>
      <c r="E20" s="575"/>
    </row>
    <row r="21" spans="1:5" s="577" customFormat="1" x14ac:dyDescent="0.2">
      <c r="A21" s="576" t="s">
        <v>990</v>
      </c>
      <c r="B21" s="18">
        <v>6270432</v>
      </c>
      <c r="C21" s="18">
        <v>5740201</v>
      </c>
      <c r="E21" s="575"/>
    </row>
    <row r="22" spans="1:5" s="577" customFormat="1" x14ac:dyDescent="0.2">
      <c r="A22" s="576" t="s">
        <v>991</v>
      </c>
      <c r="B22" s="18">
        <v>251464969.699</v>
      </c>
      <c r="C22" s="18">
        <v>242227113</v>
      </c>
      <c r="E22" s="575"/>
    </row>
    <row r="23" spans="1:5" s="577" customFormat="1" x14ac:dyDescent="0.2">
      <c r="A23" s="576" t="s">
        <v>992</v>
      </c>
      <c r="B23" s="18"/>
      <c r="C23" s="18"/>
      <c r="E23" s="575"/>
    </row>
    <row r="24" spans="1:5" s="577" customFormat="1" x14ac:dyDescent="0.2">
      <c r="A24" s="576" t="s">
        <v>993</v>
      </c>
      <c r="B24" s="18"/>
      <c r="C24" s="18"/>
      <c r="E24" s="575"/>
    </row>
    <row r="25" spans="1:5" s="577" customFormat="1" x14ac:dyDescent="0.2">
      <c r="A25" s="576" t="s">
        <v>994</v>
      </c>
      <c r="B25" s="18"/>
      <c r="C25" s="18"/>
      <c r="E25" s="575"/>
    </row>
    <row r="26" spans="1:5" s="577" customFormat="1" x14ac:dyDescent="0.2">
      <c r="A26" s="576" t="s">
        <v>995</v>
      </c>
      <c r="B26" s="18"/>
      <c r="C26" s="18"/>
      <c r="E26" s="575"/>
    </row>
    <row r="27" spans="1:5" s="577" customFormat="1" x14ac:dyDescent="0.2">
      <c r="A27" s="576" t="s">
        <v>996</v>
      </c>
      <c r="B27" s="18"/>
      <c r="C27" s="18"/>
      <c r="E27" s="575"/>
    </row>
    <row r="28" spans="1:5" s="577" customFormat="1" x14ac:dyDescent="0.2">
      <c r="A28" s="576" t="s">
        <v>998</v>
      </c>
      <c r="B28" s="18"/>
      <c r="C28" s="18"/>
      <c r="E28" s="575"/>
    </row>
    <row r="29" spans="1:5" s="577" customFormat="1" x14ac:dyDescent="0.2">
      <c r="A29" s="576" t="s">
        <v>997</v>
      </c>
      <c r="B29" s="18"/>
      <c r="C29" s="18"/>
      <c r="E29" s="575"/>
    </row>
    <row r="30" spans="1:5" s="577" customFormat="1" x14ac:dyDescent="0.2">
      <c r="A30" s="576" t="s">
        <v>1001</v>
      </c>
      <c r="B30" s="18">
        <v>-545921.76599999995</v>
      </c>
      <c r="C30" s="18">
        <v>-563450.01199999999</v>
      </c>
      <c r="E30" s="575"/>
    </row>
    <row r="31" spans="1:5" s="577" customFormat="1" x14ac:dyDescent="0.2">
      <c r="A31" s="576" t="s">
        <v>1002</v>
      </c>
      <c r="B31" s="18">
        <v>-545921.76599999995</v>
      </c>
      <c r="C31" s="18">
        <v>-563450.01199999999</v>
      </c>
      <c r="E31" s="575"/>
    </row>
    <row r="32" spans="1:5" s="577" customFormat="1" x14ac:dyDescent="0.2">
      <c r="A32" s="577" t="s">
        <v>1005</v>
      </c>
      <c r="B32" s="18">
        <f>SUM(B9:B30)</f>
        <v>270612943.55100006</v>
      </c>
      <c r="C32" s="18">
        <v>261528528.68799999</v>
      </c>
      <c r="E32" s="575"/>
    </row>
    <row r="33" spans="1:5" s="577" customFormat="1" x14ac:dyDescent="0.2">
      <c r="A33" s="577" t="s">
        <v>1006</v>
      </c>
      <c r="B33" s="18">
        <f>B32</f>
        <v>270612943.55100006</v>
      </c>
      <c r="C33" s="18">
        <v>261528528.68799999</v>
      </c>
      <c r="E33" s="575"/>
    </row>
    <row r="34" spans="1:5" ht="12.75" thickBot="1" x14ac:dyDescent="0.25">
      <c r="A34" s="524" t="s">
        <v>1007</v>
      </c>
      <c r="B34" s="580"/>
      <c r="C34" s="580"/>
    </row>
    <row r="35" spans="1:5" x14ac:dyDescent="0.2">
      <c r="A35" s="577" t="s">
        <v>999</v>
      </c>
      <c r="B35" s="18">
        <v>19815352.287999999</v>
      </c>
      <c r="C35" s="18">
        <v>18480790.213000007</v>
      </c>
    </row>
    <row r="36" spans="1:5" x14ac:dyDescent="0.2">
      <c r="A36" s="577" t="s">
        <v>1000</v>
      </c>
      <c r="B36" s="18">
        <v>20613334.063999999</v>
      </c>
      <c r="C36" s="18">
        <v>19277960.683000006</v>
      </c>
    </row>
    <row r="37" spans="1:5" ht="12.75" thickBot="1" x14ac:dyDescent="0.25">
      <c r="A37" s="524" t="s">
        <v>1008</v>
      </c>
      <c r="B37" s="580"/>
      <c r="C37" s="580"/>
    </row>
    <row r="38" spans="1:5" x14ac:dyDescent="0.2">
      <c r="A38" s="577" t="s">
        <v>1003</v>
      </c>
      <c r="B38" s="581">
        <f>B35/B32</f>
        <v>7.3223963451199706E-2</v>
      </c>
      <c r="C38" s="581">
        <v>7.0664528668103133E-2</v>
      </c>
    </row>
    <row r="39" spans="1:5" x14ac:dyDescent="0.2">
      <c r="A39" s="577" t="s">
        <v>1004</v>
      </c>
      <c r="B39" s="581">
        <f>B36/B33</f>
        <v>7.6172757272843394E-2</v>
      </c>
      <c r="C39" s="581">
        <v>7.3712649169522734E-2</v>
      </c>
    </row>
  </sheetData>
  <conditionalFormatting sqref="B7:B8 B18 B12 B29">
    <cfRule type="cellIs" dxfId="3" priority="4" operator="lessThan">
      <formula>0</formula>
    </cfRule>
  </conditionalFormatting>
  <conditionalFormatting sqref="B27">
    <cfRule type="cellIs" dxfId="2" priority="3" operator="lessThan">
      <formula>B25</formula>
    </cfRule>
  </conditionalFormatting>
  <conditionalFormatting sqref="C7:C8 C18 C12 C29">
    <cfRule type="cellIs" dxfId="1" priority="2" operator="lessThan">
      <formula>0</formula>
    </cfRule>
  </conditionalFormatting>
  <conditionalFormatting sqref="C27">
    <cfRule type="cellIs" dxfId="0" priority="1" operator="lessThan">
      <formula>C25</formula>
    </cfRule>
  </conditionalFormatting>
  <pageMargins left="0.7" right="0.7" top="0.75" bottom="0.75" header="0.3" footer="0.3"/>
  <pageSetup paperSize="9" scale="6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8"/>
  <sheetViews>
    <sheetView showGridLines="0" workbookViewId="0"/>
  </sheetViews>
  <sheetFormatPr baseColWidth="10" defaultRowHeight="12.75" x14ac:dyDescent="0.2"/>
  <cols>
    <col min="1" max="1" width="40.875" style="618" customWidth="1"/>
    <col min="2" max="2" width="12.5" style="618" customWidth="1"/>
    <col min="3" max="3" width="11" style="618"/>
    <col min="4" max="13" width="15.375" style="618" customWidth="1"/>
    <col min="14" max="16384" width="11" style="618"/>
  </cols>
  <sheetData>
    <row r="1" spans="1:14" x14ac:dyDescent="0.2">
      <c r="A1" s="653" t="s">
        <v>1181</v>
      </c>
    </row>
    <row r="3" spans="1:14" x14ac:dyDescent="0.2">
      <c r="A3" s="652" t="s">
        <v>50</v>
      </c>
    </row>
    <row r="5" spans="1:14" x14ac:dyDescent="0.2">
      <c r="A5" s="649" t="s">
        <v>1042</v>
      </c>
      <c r="B5" s="651"/>
      <c r="C5" s="651"/>
      <c r="D5" s="650"/>
      <c r="E5" s="650"/>
      <c r="F5" s="619"/>
      <c r="G5" s="619"/>
      <c r="H5" s="619"/>
      <c r="I5" s="619"/>
      <c r="J5" s="619"/>
      <c r="K5" s="619"/>
      <c r="L5" s="619"/>
      <c r="M5" s="619"/>
    </row>
    <row r="6" spans="1:14" ht="24.75" customHeight="1" x14ac:dyDescent="0.2">
      <c r="A6" s="649"/>
      <c r="B6" s="740" t="s">
        <v>1044</v>
      </c>
      <c r="C6" s="740"/>
      <c r="D6" s="740" t="s">
        <v>1075</v>
      </c>
      <c r="E6" s="740"/>
      <c r="F6" s="741" t="s">
        <v>1045</v>
      </c>
      <c r="G6" s="741"/>
      <c r="H6" s="741" t="s">
        <v>1046</v>
      </c>
      <c r="I6" s="741"/>
      <c r="J6" s="741"/>
      <c r="K6" s="741"/>
      <c r="L6" s="648"/>
      <c r="M6" s="647"/>
    </row>
    <row r="7" spans="1:14" ht="52.5" customHeight="1" thickBot="1" x14ac:dyDescent="0.25">
      <c r="A7" s="626"/>
      <c r="B7" s="646" t="s">
        <v>1041</v>
      </c>
      <c r="C7" s="646" t="s">
        <v>1040</v>
      </c>
      <c r="D7" s="646" t="s">
        <v>1039</v>
      </c>
      <c r="E7" s="646" t="s">
        <v>1038</v>
      </c>
      <c r="F7" s="646" t="s">
        <v>1037</v>
      </c>
      <c r="G7" s="646" t="s">
        <v>1036</v>
      </c>
      <c r="H7" s="646" t="s">
        <v>1035</v>
      </c>
      <c r="I7" s="646" t="s">
        <v>1034</v>
      </c>
      <c r="J7" s="645" t="s">
        <v>1033</v>
      </c>
      <c r="K7" s="644" t="s">
        <v>1032</v>
      </c>
      <c r="L7" s="643" t="s">
        <v>1047</v>
      </c>
      <c r="M7" s="642" t="s">
        <v>1074</v>
      </c>
    </row>
    <row r="8" spans="1:14" s="634" customFormat="1" x14ac:dyDescent="0.2">
      <c r="A8" s="641" t="s">
        <v>1043</v>
      </c>
      <c r="B8" s="640">
        <f>75375969-10219069</f>
        <v>65156900</v>
      </c>
      <c r="C8" s="625">
        <v>227030678</v>
      </c>
      <c r="D8" s="638">
        <v>0</v>
      </c>
      <c r="E8" s="638">
        <v>0</v>
      </c>
      <c r="F8" s="638">
        <v>0</v>
      </c>
      <c r="G8" s="638">
        <v>0</v>
      </c>
      <c r="H8" s="639">
        <v>8816529</v>
      </c>
      <c r="I8" s="638">
        <v>0</v>
      </c>
      <c r="J8" s="638">
        <v>0</v>
      </c>
      <c r="K8" s="638">
        <f>H8</f>
        <v>8816529</v>
      </c>
      <c r="L8" s="637"/>
      <c r="M8" s="636">
        <v>0.02</v>
      </c>
      <c r="N8" s="635"/>
    </row>
    <row r="9" spans="1:14" s="628" customFormat="1" x14ac:dyDescent="0.2">
      <c r="A9" s="633" t="s">
        <v>10</v>
      </c>
      <c r="B9" s="632">
        <f>B8</f>
        <v>65156900</v>
      </c>
      <c r="C9" s="632">
        <f>C8</f>
        <v>227030678</v>
      </c>
      <c r="D9" s="632">
        <f t="shared" ref="D9:K9" si="0">+D8</f>
        <v>0</v>
      </c>
      <c r="E9" s="632">
        <f t="shared" si="0"/>
        <v>0</v>
      </c>
      <c r="F9" s="632">
        <f t="shared" si="0"/>
        <v>0</v>
      </c>
      <c r="G9" s="632">
        <f t="shared" si="0"/>
        <v>0</v>
      </c>
      <c r="H9" s="632">
        <f>H8</f>
        <v>8816529</v>
      </c>
      <c r="I9" s="632">
        <f t="shared" si="0"/>
        <v>0</v>
      </c>
      <c r="J9" s="632">
        <f t="shared" si="0"/>
        <v>0</v>
      </c>
      <c r="K9" s="632">
        <f t="shared" si="0"/>
        <v>8816529</v>
      </c>
      <c r="L9" s="631"/>
      <c r="M9" s="630">
        <v>0.02</v>
      </c>
      <c r="N9" s="629"/>
    </row>
    <row r="10" spans="1:14" x14ac:dyDescent="0.2">
      <c r="A10" s="622"/>
      <c r="B10" s="621"/>
      <c r="C10" s="621"/>
      <c r="D10" s="619"/>
      <c r="E10" s="619"/>
      <c r="F10" s="619"/>
      <c r="G10" s="619"/>
      <c r="H10" s="619"/>
      <c r="I10" s="619"/>
      <c r="J10" s="619"/>
      <c r="K10" s="619"/>
      <c r="L10" s="619"/>
      <c r="M10" s="619"/>
    </row>
    <row r="11" spans="1:14" x14ac:dyDescent="0.2">
      <c r="A11" s="622" t="s">
        <v>1048</v>
      </c>
      <c r="B11" s="621"/>
      <c r="C11" s="621"/>
      <c r="D11" s="619"/>
      <c r="E11" s="619"/>
      <c r="F11" s="619"/>
      <c r="G11" s="619"/>
      <c r="H11" s="619"/>
      <c r="I11" s="619"/>
      <c r="J11" s="619"/>
      <c r="K11" s="619"/>
      <c r="L11" s="619"/>
      <c r="M11" s="619"/>
    </row>
    <row r="12" spans="1:14" x14ac:dyDescent="0.2">
      <c r="A12" s="622"/>
      <c r="B12" s="621"/>
      <c r="C12" s="621"/>
      <c r="D12" s="619"/>
      <c r="E12" s="619"/>
      <c r="F12" s="619"/>
      <c r="G12" s="619"/>
      <c r="H12" s="619"/>
      <c r="I12" s="619"/>
      <c r="J12" s="619"/>
      <c r="K12" s="619"/>
      <c r="L12" s="619"/>
      <c r="M12" s="619"/>
    </row>
    <row r="13" spans="1:14" x14ac:dyDescent="0.2">
      <c r="A13" s="622"/>
      <c r="B13" s="621"/>
      <c r="C13" s="621"/>
      <c r="D13" s="619"/>
      <c r="E13" s="619"/>
      <c r="F13" s="619"/>
      <c r="G13" s="619"/>
      <c r="H13" s="619"/>
      <c r="I13" s="619"/>
      <c r="J13" s="619"/>
      <c r="K13" s="619"/>
      <c r="L13" s="619"/>
      <c r="M13" s="619"/>
    </row>
    <row r="14" spans="1:14" x14ac:dyDescent="0.2">
      <c r="A14" s="654" t="s">
        <v>1049</v>
      </c>
      <c r="B14" s="621"/>
      <c r="C14" s="621"/>
      <c r="D14" s="619"/>
      <c r="E14" s="619"/>
      <c r="F14" s="619"/>
      <c r="G14" s="619"/>
      <c r="H14" s="619"/>
      <c r="I14" s="619"/>
      <c r="J14" s="619"/>
      <c r="K14" s="619"/>
      <c r="L14" s="619"/>
      <c r="M14" s="619"/>
    </row>
    <row r="15" spans="1:14" ht="13.5" thickBot="1" x14ac:dyDescent="0.25">
      <c r="A15" s="627"/>
      <c r="B15" s="626"/>
      <c r="C15" s="626"/>
      <c r="E15" s="619"/>
      <c r="F15" s="619"/>
      <c r="G15" s="619"/>
      <c r="H15" s="619"/>
      <c r="I15" s="619"/>
      <c r="J15" s="619"/>
      <c r="K15" s="619"/>
      <c r="L15" s="619"/>
      <c r="M15" s="619"/>
    </row>
    <row r="16" spans="1:14" x14ac:dyDescent="0.2">
      <c r="A16" s="622" t="s">
        <v>1050</v>
      </c>
      <c r="B16" s="621"/>
      <c r="C16" s="625">
        <v>129215526</v>
      </c>
      <c r="D16" s="624"/>
      <c r="E16" s="619"/>
      <c r="F16" s="619"/>
      <c r="G16" s="619"/>
      <c r="H16" s="619"/>
      <c r="I16" s="619"/>
      <c r="J16" s="619"/>
      <c r="K16" s="619"/>
      <c r="L16" s="619"/>
      <c r="M16" s="619"/>
    </row>
    <row r="17" spans="1:13" x14ac:dyDescent="0.2">
      <c r="A17" s="622" t="s">
        <v>1051</v>
      </c>
      <c r="B17" s="621"/>
      <c r="C17" s="623">
        <v>0.02</v>
      </c>
      <c r="D17" s="623"/>
      <c r="E17" s="619"/>
      <c r="F17" s="619"/>
      <c r="G17" s="619"/>
      <c r="H17" s="619"/>
      <c r="I17" s="619"/>
      <c r="J17" s="619"/>
      <c r="K17" s="619"/>
      <c r="L17" s="619"/>
      <c r="M17" s="619"/>
    </row>
    <row r="18" spans="1:13" x14ac:dyDescent="0.2">
      <c r="A18" s="622" t="s">
        <v>1052</v>
      </c>
      <c r="B18" s="621"/>
      <c r="C18" s="621"/>
      <c r="D18" s="620"/>
      <c r="E18" s="619"/>
      <c r="F18" s="619"/>
      <c r="G18" s="619"/>
      <c r="H18" s="619"/>
      <c r="I18" s="619"/>
      <c r="J18" s="619"/>
      <c r="K18" s="619"/>
      <c r="L18" s="619"/>
      <c r="M18" s="619"/>
    </row>
  </sheetData>
  <mergeCells count="4">
    <mergeCell ref="B6:C6"/>
    <mergeCell ref="D6:E6"/>
    <mergeCell ref="F6:G6"/>
    <mergeCell ref="H6:K6"/>
  </mergeCells>
  <pageMargins left="0.7" right="0.7" top="0.75" bottom="0.75"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election activeCell="G44" sqref="G44"/>
    </sheetView>
  </sheetViews>
  <sheetFormatPr baseColWidth="10" defaultRowHeight="12.75" x14ac:dyDescent="0.2"/>
  <cols>
    <col min="1" max="1" width="79.125" bestFit="1" customWidth="1"/>
    <col min="4" max="4" width="15.375" customWidth="1"/>
  </cols>
  <sheetData>
    <row r="1" spans="1:4" ht="12.75" customHeight="1" x14ac:dyDescent="0.2">
      <c r="A1" s="683" t="s">
        <v>1136</v>
      </c>
      <c r="B1" s="683"/>
      <c r="C1" s="683"/>
      <c r="D1" s="683"/>
    </row>
    <row r="2" spans="1:4" x14ac:dyDescent="0.2">
      <c r="A2" s="683"/>
      <c r="B2" s="683"/>
      <c r="C2" s="683"/>
      <c r="D2" s="683"/>
    </row>
    <row r="3" spans="1:4" x14ac:dyDescent="0.2">
      <c r="A3" s="165"/>
      <c r="B3" s="681"/>
      <c r="C3" s="681"/>
      <c r="D3" s="681"/>
    </row>
    <row r="4" spans="1:4" ht="24.75" thickBot="1" x14ac:dyDescent="0.25">
      <c r="A4" s="682">
        <v>2017</v>
      </c>
      <c r="B4" s="680" t="s">
        <v>1141</v>
      </c>
      <c r="C4" s="680" t="s">
        <v>1142</v>
      </c>
      <c r="D4" s="680" t="s">
        <v>1143</v>
      </c>
    </row>
    <row r="5" spans="1:4" x14ac:dyDescent="0.2">
      <c r="A5" s="15" t="s">
        <v>1137</v>
      </c>
      <c r="B5" s="200">
        <v>51</v>
      </c>
      <c r="C5" s="200">
        <v>80680212</v>
      </c>
      <c r="D5" s="200">
        <v>6055406</v>
      </c>
    </row>
    <row r="6" spans="1:4" x14ac:dyDescent="0.2">
      <c r="A6" s="15" t="s">
        <v>1138</v>
      </c>
      <c r="B6" s="200">
        <v>7</v>
      </c>
      <c r="C6" s="200">
        <v>9269932</v>
      </c>
      <c r="D6" s="200">
        <v>404571</v>
      </c>
    </row>
    <row r="7" spans="1:4" x14ac:dyDescent="0.2">
      <c r="A7" s="15" t="s">
        <v>1139</v>
      </c>
      <c r="B7" s="200">
        <v>5</v>
      </c>
      <c r="C7" s="200">
        <v>4468250</v>
      </c>
      <c r="D7" s="200">
        <v>245017</v>
      </c>
    </row>
    <row r="8" spans="1:4" x14ac:dyDescent="0.2">
      <c r="A8" s="80" t="s">
        <v>1140</v>
      </c>
      <c r="B8" s="200">
        <v>1</v>
      </c>
      <c r="C8" s="200">
        <v>1029807</v>
      </c>
      <c r="D8" s="200">
        <v>84539</v>
      </c>
    </row>
    <row r="9" spans="1:4" x14ac:dyDescent="0.2">
      <c r="A9" s="99" t="s">
        <v>1135</v>
      </c>
      <c r="B9" s="201">
        <v>64</v>
      </c>
      <c r="C9" s="201">
        <v>95448201</v>
      </c>
      <c r="D9" s="201">
        <v>6789533</v>
      </c>
    </row>
    <row r="10" spans="1:4" x14ac:dyDescent="0.2">
      <c r="A10" s="165"/>
      <c r="B10" s="345"/>
      <c r="C10" s="342"/>
      <c r="D10" s="32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8"/>
  <sheetViews>
    <sheetView zoomScaleNormal="100" workbookViewId="0"/>
  </sheetViews>
  <sheetFormatPr baseColWidth="10" defaultColWidth="11" defaultRowHeight="12" x14ac:dyDescent="0.2"/>
  <cols>
    <col min="1" max="1" width="26" style="17" customWidth="1"/>
    <col min="2" max="2" width="11.25" style="347" customWidth="1"/>
    <col min="3" max="3" width="11.25" style="17" customWidth="1"/>
    <col min="4" max="4" width="11.25" style="347" customWidth="1"/>
    <col min="5" max="5" width="11.25" style="17" customWidth="1"/>
    <col min="6" max="6" width="16.375" style="17" customWidth="1"/>
    <col min="7" max="16384" width="11" style="17"/>
  </cols>
  <sheetData>
    <row r="1" spans="1:7" x14ac:dyDescent="0.2">
      <c r="A1" s="423" t="s">
        <v>845</v>
      </c>
      <c r="B1" s="89"/>
    </row>
    <row r="3" spans="1:7" x14ac:dyDescent="0.2">
      <c r="A3" s="15"/>
      <c r="B3" s="112" t="s">
        <v>3</v>
      </c>
      <c r="C3" s="112" t="s">
        <v>4</v>
      </c>
      <c r="D3" s="113" t="s">
        <v>5</v>
      </c>
      <c r="E3" s="113" t="s">
        <v>6</v>
      </c>
      <c r="F3" s="15"/>
      <c r="G3" s="15"/>
    </row>
    <row r="4" spans="1:7" ht="12.75" thickBot="1" x14ac:dyDescent="0.25">
      <c r="A4" s="389" t="s">
        <v>7</v>
      </c>
      <c r="B4" s="414" t="s">
        <v>1167</v>
      </c>
      <c r="C4" s="414" t="s">
        <v>1167</v>
      </c>
      <c r="D4" s="415" t="s">
        <v>1086</v>
      </c>
      <c r="E4" s="415" t="s">
        <v>1086</v>
      </c>
      <c r="F4" s="74"/>
    </row>
    <row r="5" spans="1:7" s="347" customFormat="1" x14ac:dyDescent="0.2">
      <c r="A5" s="105" t="s">
        <v>8</v>
      </c>
      <c r="B5" s="373">
        <v>0.19500000000000001</v>
      </c>
      <c r="C5" s="308">
        <v>1534</v>
      </c>
      <c r="D5" s="373">
        <v>0.19500000000000001</v>
      </c>
      <c r="E5" s="308">
        <v>1677</v>
      </c>
      <c r="F5" s="74"/>
    </row>
    <row r="6" spans="1:7" s="292" customFormat="1" x14ac:dyDescent="0.2">
      <c r="A6" s="440" t="s">
        <v>9</v>
      </c>
      <c r="B6" s="374">
        <v>0.15140000000000001</v>
      </c>
      <c r="C6" s="86">
        <v>209</v>
      </c>
      <c r="D6" s="374">
        <v>0.15140000000000001</v>
      </c>
      <c r="E6" s="86">
        <v>191</v>
      </c>
      <c r="F6" s="96"/>
      <c r="G6" s="114"/>
    </row>
    <row r="7" spans="1:7" s="347" customFormat="1" x14ac:dyDescent="0.2">
      <c r="A7" s="440" t="s">
        <v>1087</v>
      </c>
      <c r="B7" s="374">
        <v>0.19700000000000001</v>
      </c>
      <c r="C7" s="86">
        <v>129</v>
      </c>
      <c r="D7" s="374">
        <v>0.19700000000000001</v>
      </c>
      <c r="E7" s="86">
        <v>63</v>
      </c>
      <c r="F7" s="96"/>
      <c r="G7" s="667"/>
    </row>
    <row r="8" spans="1:7" s="347" customFormat="1" x14ac:dyDescent="0.2">
      <c r="A8" s="440" t="s">
        <v>1088</v>
      </c>
      <c r="B8" s="374"/>
      <c r="C8" s="86">
        <v>68</v>
      </c>
      <c r="D8" s="374"/>
      <c r="E8" s="86">
        <v>60</v>
      </c>
      <c r="F8" s="96"/>
      <c r="G8" s="667"/>
    </row>
    <row r="9" spans="1:7" x14ac:dyDescent="0.2">
      <c r="A9" s="440" t="s">
        <v>1089</v>
      </c>
      <c r="B9" s="440"/>
      <c r="C9" s="661">
        <v>94</v>
      </c>
      <c r="D9" s="440"/>
      <c r="E9" s="661">
        <v>102</v>
      </c>
      <c r="F9" s="96"/>
      <c r="G9" s="114"/>
    </row>
    <row r="10" spans="1:7" x14ac:dyDescent="0.2">
      <c r="A10" s="115" t="s">
        <v>10</v>
      </c>
      <c r="B10" s="115"/>
      <c r="C10" s="100">
        <f>SUM(C5:C9)</f>
        <v>2034</v>
      </c>
      <c r="D10" s="100"/>
      <c r="E10" s="352">
        <f>SUM(E5:E9)</f>
        <v>2093</v>
      </c>
      <c r="F10" s="74"/>
      <c r="G10" s="114"/>
    </row>
    <row r="12" spans="1:7" x14ac:dyDescent="0.2">
      <c r="A12" s="505" t="s">
        <v>871</v>
      </c>
    </row>
    <row r="13" spans="1:7" x14ac:dyDescent="0.2">
      <c r="A13" s="505" t="s">
        <v>872</v>
      </c>
    </row>
    <row r="14" spans="1:7" x14ac:dyDescent="0.2">
      <c r="A14" s="505" t="s">
        <v>846</v>
      </c>
    </row>
    <row r="15" spans="1:7" x14ac:dyDescent="0.2">
      <c r="A15" s="505" t="s">
        <v>873</v>
      </c>
    </row>
    <row r="17" spans="1:1" x14ac:dyDescent="0.2">
      <c r="A17" s="347"/>
    </row>
    <row r="18" spans="1:1" x14ac:dyDescent="0.2">
      <c r="A18" s="347"/>
    </row>
  </sheetData>
  <pageMargins left="0.74803149606299213" right="0.74803149606299213" top="0.98425196850393704" bottom="0.98425196850393704" header="0.51181102362204722" footer="0.51181102362204722"/>
  <pageSetup paperSize="9" scale="69" fitToHeight="0" orientation="portrait" r:id="rId1"/>
  <headerFooter>
    <oddFooter>&amp;R&amp;A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tabColor rgb="FF00B050"/>
    <pageSetUpPr fitToPage="1"/>
  </sheetPr>
  <dimension ref="A1:Q148"/>
  <sheetViews>
    <sheetView showGridLines="0" zoomScaleNormal="100" workbookViewId="0"/>
  </sheetViews>
  <sheetFormatPr baseColWidth="10" defaultColWidth="11" defaultRowHeight="12" x14ac:dyDescent="0.2"/>
  <cols>
    <col min="1" max="1" width="52.625" style="17" customWidth="1"/>
    <col min="2" max="2" width="11.875" style="17" customWidth="1"/>
    <col min="3" max="3" width="8.625" style="17" customWidth="1"/>
    <col min="4" max="5" width="11.75" style="17" customWidth="1"/>
    <col min="6" max="6" width="14.625" style="17" customWidth="1"/>
    <col min="7" max="9" width="11" style="17"/>
    <col min="10" max="10" width="9.875" style="17" bestFit="1" customWidth="1"/>
    <col min="11" max="11" width="19.75" style="17" bestFit="1" customWidth="1"/>
    <col min="12" max="16384" width="11" style="17"/>
  </cols>
  <sheetData>
    <row r="1" spans="1:3" ht="14.25" customHeight="1" x14ac:dyDescent="0.2">
      <c r="A1" s="30" t="s">
        <v>11</v>
      </c>
    </row>
    <row r="2" spans="1:3" s="347" customFormat="1" x14ac:dyDescent="0.2">
      <c r="A2" s="506" t="s">
        <v>847</v>
      </c>
    </row>
    <row r="3" spans="1:3" s="347" customFormat="1" x14ac:dyDescent="0.2">
      <c r="A3" s="506"/>
    </row>
    <row r="4" spans="1:3" s="347" customFormat="1" x14ac:dyDescent="0.2">
      <c r="A4" s="582" t="s">
        <v>1168</v>
      </c>
    </row>
    <row r="5" spans="1:3" s="347" customFormat="1" x14ac:dyDescent="0.2">
      <c r="A5" s="578" t="s">
        <v>1090</v>
      </c>
    </row>
    <row r="6" spans="1:3" s="347" customFormat="1" x14ac:dyDescent="0.2">
      <c r="A6" s="578" t="s">
        <v>1091</v>
      </c>
    </row>
    <row r="9" spans="1:3" ht="12.75" thickBot="1" x14ac:dyDescent="0.25">
      <c r="A9" s="1" t="s">
        <v>12</v>
      </c>
      <c r="B9" s="416">
        <v>43373</v>
      </c>
      <c r="C9" s="417">
        <v>43100</v>
      </c>
    </row>
    <row r="10" spans="1:3" x14ac:dyDescent="0.2">
      <c r="A10" s="2" t="s">
        <v>13</v>
      </c>
      <c r="B10" s="3">
        <v>6394</v>
      </c>
      <c r="C10" s="4">
        <v>6394</v>
      </c>
    </row>
    <row r="11" spans="1:3" x14ac:dyDescent="0.2">
      <c r="A11" s="2" t="s">
        <v>14</v>
      </c>
      <c r="B11" s="3">
        <v>1587</v>
      </c>
      <c r="C11" s="4">
        <v>1587</v>
      </c>
    </row>
    <row r="12" spans="1:3" x14ac:dyDescent="0.2">
      <c r="A12" s="2" t="s">
        <v>15</v>
      </c>
      <c r="B12" s="3">
        <v>0</v>
      </c>
      <c r="C12" s="4">
        <v>1087</v>
      </c>
    </row>
    <row r="13" spans="1:3" x14ac:dyDescent="0.2">
      <c r="A13" s="2" t="s">
        <v>16</v>
      </c>
      <c r="B13" s="3">
        <v>43</v>
      </c>
      <c r="C13" s="4">
        <v>43</v>
      </c>
    </row>
    <row r="14" spans="1:3" s="347" customFormat="1" x14ac:dyDescent="0.2">
      <c r="A14" s="2" t="s">
        <v>1062</v>
      </c>
      <c r="B14" s="3">
        <v>550</v>
      </c>
      <c r="C14" s="4">
        <v>150</v>
      </c>
    </row>
    <row r="15" spans="1:3" s="347" customFormat="1" x14ac:dyDescent="0.2">
      <c r="A15" s="5" t="s">
        <v>17</v>
      </c>
      <c r="B15" s="3">
        <v>10665</v>
      </c>
      <c r="C15" s="4">
        <v>10628</v>
      </c>
    </row>
    <row r="16" spans="1:3" s="347" customFormat="1" x14ac:dyDescent="0.2">
      <c r="A16" s="5" t="s">
        <v>954</v>
      </c>
      <c r="B16" s="3">
        <v>1769</v>
      </c>
      <c r="C16" s="4"/>
    </row>
    <row r="17" spans="1:5" x14ac:dyDescent="0.2">
      <c r="A17" s="6" t="s">
        <v>18</v>
      </c>
      <c r="B17" s="7">
        <f>SUM(B10:B16)</f>
        <v>21008</v>
      </c>
      <c r="C17" s="8">
        <f>SUM(C10:C15)</f>
        <v>19889</v>
      </c>
    </row>
    <row r="18" spans="1:5" x14ac:dyDescent="0.2">
      <c r="A18" s="2"/>
      <c r="B18" s="3"/>
      <c r="C18" s="4"/>
    </row>
    <row r="19" spans="1:5" x14ac:dyDescent="0.2">
      <c r="A19" s="9" t="s">
        <v>19</v>
      </c>
      <c r="B19" s="3"/>
      <c r="C19" s="4"/>
      <c r="E19" s="9"/>
    </row>
    <row r="20" spans="1:5" x14ac:dyDescent="0.2">
      <c r="A20" s="2" t="s">
        <v>20</v>
      </c>
      <c r="B20" s="3">
        <v>-111</v>
      </c>
      <c r="C20" s="4">
        <v>-116</v>
      </c>
      <c r="E20" s="2"/>
    </row>
    <row r="21" spans="1:5" x14ac:dyDescent="0.2">
      <c r="A21" s="2" t="s">
        <v>21</v>
      </c>
      <c r="B21" s="3">
        <v>0</v>
      </c>
      <c r="C21" s="4">
        <v>-1087</v>
      </c>
      <c r="E21" s="2"/>
    </row>
    <row r="22" spans="1:5" x14ac:dyDescent="0.2">
      <c r="A22" s="418" t="s">
        <v>883</v>
      </c>
      <c r="B22" s="3">
        <v>-261</v>
      </c>
      <c r="C22" s="4">
        <v>-337</v>
      </c>
      <c r="E22" s="2"/>
    </row>
    <row r="23" spans="1:5" s="347" customFormat="1" x14ac:dyDescent="0.2">
      <c r="A23" s="418" t="s">
        <v>1149</v>
      </c>
      <c r="B23" s="3">
        <v>-885</v>
      </c>
      <c r="C23" s="4"/>
      <c r="E23" s="2"/>
    </row>
    <row r="24" spans="1:5" s="347" customFormat="1" x14ac:dyDescent="0.2">
      <c r="A24" s="347" t="s">
        <v>1063</v>
      </c>
      <c r="B24" s="3">
        <v>-550</v>
      </c>
      <c r="C24" s="4">
        <v>-150</v>
      </c>
      <c r="E24" s="2"/>
    </row>
    <row r="25" spans="1:5" s="347" customFormat="1" x14ac:dyDescent="0.2">
      <c r="A25" s="2" t="s">
        <v>1169</v>
      </c>
      <c r="B25" s="3">
        <v>0</v>
      </c>
      <c r="C25" s="4">
        <v>-72</v>
      </c>
      <c r="E25" s="2"/>
    </row>
    <row r="26" spans="1:5" s="347" customFormat="1" x14ac:dyDescent="0.2">
      <c r="A26" s="2" t="s">
        <v>1170</v>
      </c>
      <c r="B26" s="3">
        <v>-129</v>
      </c>
      <c r="C26" s="4">
        <v>0</v>
      </c>
      <c r="E26" s="2"/>
    </row>
    <row r="27" spans="1:5" s="347" customFormat="1" x14ac:dyDescent="0.2">
      <c r="A27" s="140" t="s">
        <v>22</v>
      </c>
      <c r="B27" s="3">
        <v>-44</v>
      </c>
      <c r="C27" s="4">
        <v>-38</v>
      </c>
      <c r="E27" s="2"/>
    </row>
    <row r="28" spans="1:5" s="287" customFormat="1" x14ac:dyDescent="0.2">
      <c r="A28" s="6" t="s">
        <v>23</v>
      </c>
      <c r="B28" s="568">
        <f>SUM(B17:B27)</f>
        <v>19028</v>
      </c>
      <c r="C28" s="569">
        <f>SUM(C17:C27)</f>
        <v>18089</v>
      </c>
    </row>
    <row r="29" spans="1:5" ht="12" customHeight="1" x14ac:dyDescent="0.2">
      <c r="A29" s="5" t="s">
        <v>1064</v>
      </c>
      <c r="B29" s="3">
        <v>787</v>
      </c>
      <c r="C29" s="4">
        <v>392</v>
      </c>
      <c r="E29" s="2"/>
    </row>
    <row r="30" spans="1:5" s="347" customFormat="1" ht="14.25" customHeight="1" x14ac:dyDescent="0.2">
      <c r="A30" s="5" t="s">
        <v>24</v>
      </c>
      <c r="B30" s="3">
        <v>798</v>
      </c>
      <c r="C30" s="4">
        <v>797</v>
      </c>
      <c r="E30" s="2"/>
    </row>
    <row r="31" spans="1:5" x14ac:dyDescent="0.2">
      <c r="A31" s="6" t="s">
        <v>25</v>
      </c>
      <c r="B31" s="7">
        <f>B28+B29+B30</f>
        <v>20613</v>
      </c>
      <c r="C31" s="8">
        <f>C28+C29+C30</f>
        <v>19278</v>
      </c>
      <c r="E31" s="2"/>
    </row>
    <row r="32" spans="1:5" x14ac:dyDescent="0.2">
      <c r="A32" s="2"/>
      <c r="B32" s="3"/>
      <c r="C32" s="4"/>
    </row>
    <row r="33" spans="1:3" x14ac:dyDescent="0.2">
      <c r="A33" s="9" t="s">
        <v>26</v>
      </c>
      <c r="B33" s="3"/>
      <c r="C33" s="4"/>
    </row>
    <row r="34" spans="1:3" x14ac:dyDescent="0.2">
      <c r="A34" s="2" t="s">
        <v>27</v>
      </c>
      <c r="B34" s="3">
        <v>2455</v>
      </c>
      <c r="C34" s="4">
        <v>2254</v>
      </c>
    </row>
    <row r="35" spans="1:3" s="347" customFormat="1" x14ac:dyDescent="0.2">
      <c r="A35" s="2" t="s">
        <v>28</v>
      </c>
      <c r="B35" s="3">
        <v>-42</v>
      </c>
      <c r="C35" s="4">
        <v>-43</v>
      </c>
    </row>
    <row r="36" spans="1:3" x14ac:dyDescent="0.2">
      <c r="A36" s="6" t="s">
        <v>29</v>
      </c>
      <c r="B36" s="7">
        <f>SUM(B34:B35)</f>
        <v>2413</v>
      </c>
      <c r="C36" s="8">
        <f>SUM(C34:C35)</f>
        <v>2211</v>
      </c>
    </row>
    <row r="37" spans="1:3" x14ac:dyDescent="0.2">
      <c r="A37" s="5"/>
      <c r="B37" s="3"/>
      <c r="C37" s="4"/>
    </row>
    <row r="38" spans="1:3" x14ac:dyDescent="0.2">
      <c r="A38" s="6" t="s">
        <v>30</v>
      </c>
      <c r="B38" s="7">
        <f>+B36+B31</f>
        <v>23026</v>
      </c>
      <c r="C38" s="8">
        <f>+C36+C31</f>
        <v>21489</v>
      </c>
    </row>
    <row r="39" spans="1:3" ht="14.25" x14ac:dyDescent="0.2">
      <c r="A39" s="10" t="s">
        <v>31</v>
      </c>
      <c r="B39" s="11"/>
      <c r="C39" s="12"/>
    </row>
    <row r="40" spans="1:3" x14ac:dyDescent="0.2">
      <c r="A40" s="13"/>
      <c r="B40" s="14"/>
      <c r="C40" s="15"/>
    </row>
    <row r="41" spans="1:3" ht="12.75" thickBot="1" x14ac:dyDescent="0.25">
      <c r="A41" s="16" t="s">
        <v>32</v>
      </c>
      <c r="B41" s="416">
        <v>43373</v>
      </c>
      <c r="C41" s="417">
        <v>42735</v>
      </c>
    </row>
    <row r="42" spans="1:3" x14ac:dyDescent="0.2">
      <c r="A42" s="505" t="s">
        <v>931</v>
      </c>
      <c r="B42" s="343">
        <v>110365</v>
      </c>
      <c r="C42" s="18">
        <v>103088</v>
      </c>
    </row>
    <row r="43" spans="1:3" s="347" customFormat="1" x14ac:dyDescent="0.2">
      <c r="A43" s="347" t="s">
        <v>33</v>
      </c>
      <c r="B43" s="343">
        <v>676</v>
      </c>
      <c r="C43" s="18">
        <v>933</v>
      </c>
    </row>
    <row r="44" spans="1:3" x14ac:dyDescent="0.2">
      <c r="A44" s="347" t="s">
        <v>34</v>
      </c>
      <c r="B44" s="343">
        <v>7937</v>
      </c>
      <c r="C44" s="18">
        <v>7430</v>
      </c>
    </row>
    <row r="45" spans="1:3" x14ac:dyDescent="0.2">
      <c r="A45" s="20" t="s">
        <v>35</v>
      </c>
      <c r="B45" s="21">
        <v>10238</v>
      </c>
      <c r="C45" s="288">
        <v>8709</v>
      </c>
    </row>
    <row r="46" spans="1:3" x14ac:dyDescent="0.2">
      <c r="A46" s="23" t="s">
        <v>36</v>
      </c>
      <c r="B46" s="24">
        <f>B42+B43+B44+B45</f>
        <v>129216</v>
      </c>
      <c r="C46" s="289">
        <f>C42+C43+C44+C45</f>
        <v>120160</v>
      </c>
    </row>
    <row r="47" spans="1:3" x14ac:dyDescent="0.2">
      <c r="A47" s="25"/>
      <c r="B47" s="26"/>
      <c r="C47" s="27"/>
    </row>
    <row r="48" spans="1:3" s="347" customFormat="1" x14ac:dyDescent="0.2">
      <c r="A48" s="375" t="s">
        <v>37</v>
      </c>
      <c r="B48" s="343">
        <f>B46*4.5/100</f>
        <v>5814.72</v>
      </c>
      <c r="C48" s="18">
        <f>C46*4.5/100</f>
        <v>5407.2</v>
      </c>
    </row>
    <row r="49" spans="1:17" s="347" customFormat="1" x14ac:dyDescent="0.2">
      <c r="A49" s="375" t="s">
        <v>38</v>
      </c>
      <c r="B49" s="343"/>
      <c r="C49" s="18"/>
    </row>
    <row r="50" spans="1:17" s="347" customFormat="1" x14ac:dyDescent="0.2">
      <c r="A50" s="375" t="s">
        <v>874</v>
      </c>
      <c r="B50" s="343">
        <f>B46*2.5/100</f>
        <v>3230.4</v>
      </c>
      <c r="C50" s="18">
        <f>C46*2.5/100</f>
        <v>3004</v>
      </c>
    </row>
    <row r="51" spans="1:17" s="347" customFormat="1" x14ac:dyDescent="0.2">
      <c r="A51" s="375" t="s">
        <v>39</v>
      </c>
      <c r="B51" s="343">
        <f>B46*3/100</f>
        <v>3876.48</v>
      </c>
      <c r="C51" s="18">
        <f>C46*3/100</f>
        <v>3604.8</v>
      </c>
    </row>
    <row r="52" spans="1:17" s="347" customFormat="1" x14ac:dyDescent="0.2">
      <c r="A52" s="375" t="s">
        <v>1157</v>
      </c>
      <c r="B52" s="343">
        <f>B46*2/100</f>
        <v>2584.3200000000002</v>
      </c>
      <c r="C52" s="18">
        <f>C46*2/100</f>
        <v>2403.1999999999998</v>
      </c>
    </row>
    <row r="53" spans="1:17" s="347" customFormat="1" x14ac:dyDescent="0.2">
      <c r="A53" s="375" t="s">
        <v>40</v>
      </c>
      <c r="B53" s="343">
        <f>SUM(B50:B52)</f>
        <v>9691.2000000000007</v>
      </c>
      <c r="C53" s="18">
        <f>SUM(C50:C52)</f>
        <v>9012</v>
      </c>
    </row>
    <row r="54" spans="1:17" s="347" customFormat="1" x14ac:dyDescent="0.2">
      <c r="A54" s="375" t="s">
        <v>41</v>
      </c>
      <c r="B54" s="343">
        <f>B28-B48-B53</f>
        <v>3522.0799999999981</v>
      </c>
      <c r="C54" s="18">
        <f>C28-C48-C53</f>
        <v>3669.7999999999993</v>
      </c>
    </row>
    <row r="55" spans="1:17" s="347" customFormat="1" x14ac:dyDescent="0.2">
      <c r="A55" s="25"/>
      <c r="B55" s="26"/>
      <c r="C55" s="27"/>
    </row>
    <row r="56" spans="1:17" x14ac:dyDescent="0.2">
      <c r="A56" s="9" t="s">
        <v>42</v>
      </c>
      <c r="B56" s="28">
        <v>0.1782</v>
      </c>
      <c r="C56" s="29">
        <v>0.17879999999999999</v>
      </c>
    </row>
    <row r="57" spans="1:17" x14ac:dyDescent="0.2">
      <c r="A57" s="2" t="s">
        <v>43</v>
      </c>
      <c r="B57" s="28">
        <v>0.1595</v>
      </c>
      <c r="C57" s="29">
        <v>0.16039999999999999</v>
      </c>
    </row>
    <row r="58" spans="1:17" x14ac:dyDescent="0.2">
      <c r="A58" s="2" t="s">
        <v>44</v>
      </c>
      <c r="B58" s="28">
        <v>1.8700000000000001E-2</v>
      </c>
      <c r="C58" s="29">
        <v>1.84E-2</v>
      </c>
    </row>
    <row r="59" spans="1:17" x14ac:dyDescent="0.2">
      <c r="A59" s="419" t="s">
        <v>45</v>
      </c>
      <c r="B59" s="28">
        <v>0.14729999999999999</v>
      </c>
      <c r="C59" s="29">
        <v>0.15049999999999999</v>
      </c>
    </row>
    <row r="60" spans="1:17" x14ac:dyDescent="0.2">
      <c r="A60" s="15" t="s">
        <v>955</v>
      </c>
      <c r="B60" s="28">
        <v>7.6200000000000004E-2</v>
      </c>
      <c r="C60" s="656">
        <v>7.3700000000000002E-2</v>
      </c>
    </row>
    <row r="61" spans="1:17" s="31" customFormat="1" x14ac:dyDescent="0.2">
      <c r="A61" s="356"/>
      <c r="B61" s="356"/>
      <c r="C61" s="356"/>
      <c r="L61" s="17"/>
      <c r="M61" s="17"/>
      <c r="N61" s="17"/>
      <c r="O61" s="17"/>
      <c r="P61" s="17"/>
      <c r="Q61" s="17"/>
    </row>
    <row r="62" spans="1:17" s="31" customFormat="1" x14ac:dyDescent="0.2">
      <c r="L62" s="17"/>
      <c r="M62" s="17"/>
      <c r="N62" s="17"/>
      <c r="O62" s="17"/>
      <c r="P62" s="17"/>
      <c r="Q62" s="17"/>
    </row>
    <row r="63" spans="1:17" s="31" customFormat="1" x14ac:dyDescent="0.2">
      <c r="L63" s="17"/>
      <c r="M63" s="17"/>
      <c r="N63" s="17"/>
      <c r="O63" s="17"/>
      <c r="P63" s="17"/>
      <c r="Q63" s="17"/>
    </row>
    <row r="64" spans="1:17" x14ac:dyDescent="0.2">
      <c r="C64" s="32"/>
      <c r="D64" s="32"/>
      <c r="E64" s="32"/>
      <c r="F64" s="32"/>
    </row>
    <row r="65" spans="1:9" x14ac:dyDescent="0.2">
      <c r="A65" s="33"/>
      <c r="B65" s="34"/>
      <c r="C65" s="34"/>
      <c r="D65" s="35"/>
      <c r="E65" s="35"/>
      <c r="F65" s="35"/>
      <c r="G65" s="15"/>
      <c r="H65" s="15"/>
      <c r="I65" s="15"/>
    </row>
    <row r="66" spans="1:9" x14ac:dyDescent="0.2">
      <c r="A66" s="15"/>
      <c r="B66" s="15"/>
      <c r="C66" s="34"/>
      <c r="D66" s="36"/>
      <c r="E66" s="36"/>
      <c r="F66" s="34"/>
      <c r="G66" s="15"/>
      <c r="H66" s="15"/>
      <c r="I66" s="15"/>
    </row>
    <row r="67" spans="1:9" x14ac:dyDescent="0.2">
      <c r="A67" s="37"/>
      <c r="B67" s="37"/>
      <c r="C67" s="38"/>
      <c r="D67" s="36"/>
      <c r="E67" s="36"/>
      <c r="F67" s="37"/>
      <c r="G67" s="37"/>
      <c r="H67" s="15"/>
      <c r="I67" s="15"/>
    </row>
    <row r="68" spans="1:9" x14ac:dyDescent="0.2">
      <c r="A68" s="39"/>
      <c r="B68" s="40"/>
      <c r="C68" s="36"/>
      <c r="D68" s="36"/>
      <c r="E68" s="36"/>
      <c r="F68" s="41"/>
      <c r="G68" s="41"/>
      <c r="H68" s="15"/>
      <c r="I68" s="15"/>
    </row>
    <row r="69" spans="1:9" x14ac:dyDescent="0.2">
      <c r="A69" s="41"/>
      <c r="B69" s="40"/>
      <c r="C69" s="36"/>
      <c r="D69" s="36"/>
      <c r="E69" s="36"/>
      <c r="F69" s="41"/>
      <c r="G69" s="42"/>
      <c r="H69" s="15"/>
      <c r="I69" s="15"/>
    </row>
    <row r="70" spans="1:9" x14ac:dyDescent="0.2">
      <c r="A70" s="43"/>
      <c r="B70" s="44"/>
      <c r="C70" s="45"/>
      <c r="D70" s="45"/>
      <c r="E70" s="45"/>
      <c r="F70" s="46"/>
      <c r="G70" s="47"/>
      <c r="H70" s="15"/>
      <c r="I70" s="15"/>
    </row>
    <row r="71" spans="1:9" x14ac:dyDescent="0.2">
      <c r="A71" s="48"/>
      <c r="B71" s="44"/>
      <c r="C71" s="45"/>
      <c r="D71" s="45"/>
      <c r="E71" s="45"/>
      <c r="F71" s="49"/>
      <c r="G71" s="49"/>
      <c r="H71" s="15"/>
      <c r="I71" s="15"/>
    </row>
    <row r="72" spans="1:9" x14ac:dyDescent="0.2">
      <c r="A72" s="48"/>
      <c r="B72" s="44"/>
      <c r="C72" s="45"/>
      <c r="D72" s="45"/>
      <c r="E72" s="45"/>
      <c r="F72" s="49"/>
      <c r="G72" s="49"/>
      <c r="H72" s="15"/>
      <c r="I72" s="15"/>
    </row>
    <row r="73" spans="1:9" x14ac:dyDescent="0.2">
      <c r="A73" s="48"/>
      <c r="B73" s="44"/>
      <c r="C73" s="45"/>
      <c r="D73" s="45"/>
      <c r="E73" s="45"/>
      <c r="F73" s="49"/>
      <c r="G73" s="49"/>
      <c r="H73" s="15"/>
      <c r="I73" s="15"/>
    </row>
    <row r="74" spans="1:9" x14ac:dyDescent="0.2">
      <c r="A74" s="50"/>
      <c r="B74" s="44"/>
      <c r="C74" s="45"/>
      <c r="D74" s="45"/>
      <c r="E74" s="45"/>
      <c r="F74" s="51"/>
      <c r="G74" s="47"/>
      <c r="H74" s="15"/>
      <c r="I74" s="15"/>
    </row>
    <row r="75" spans="1:9" x14ac:dyDescent="0.2">
      <c r="A75" s="52"/>
      <c r="B75" s="53"/>
      <c r="C75" s="54"/>
      <c r="D75" s="54"/>
      <c r="E75" s="54"/>
      <c r="F75" s="55"/>
      <c r="G75" s="55"/>
      <c r="H75" s="15"/>
      <c r="I75" s="15"/>
    </row>
    <row r="76" spans="1:9" x14ac:dyDescent="0.2">
      <c r="A76" s="56"/>
      <c r="B76" s="44"/>
      <c r="C76" s="54"/>
      <c r="D76" s="54"/>
      <c r="E76" s="54"/>
      <c r="F76" s="46"/>
      <c r="G76" s="47"/>
      <c r="H76" s="15"/>
      <c r="I76" s="15"/>
    </row>
    <row r="77" spans="1:9" x14ac:dyDescent="0.2">
      <c r="A77" s="57"/>
      <c r="B77" s="37"/>
      <c r="C77" s="54"/>
      <c r="D77" s="54"/>
      <c r="E77" s="54"/>
      <c r="F77" s="46"/>
      <c r="G77" s="47"/>
      <c r="H77" s="15"/>
      <c r="I77" s="15"/>
    </row>
    <row r="78" spans="1:9" x14ac:dyDescent="0.2">
      <c r="A78" s="48"/>
      <c r="B78" s="44"/>
      <c r="C78" s="54"/>
      <c r="D78" s="54"/>
      <c r="E78" s="54"/>
      <c r="F78" s="49"/>
      <c r="G78" s="49"/>
      <c r="H78" s="15"/>
      <c r="I78" s="15"/>
    </row>
    <row r="79" spans="1:9" x14ac:dyDescent="0.2">
      <c r="A79" s="48"/>
      <c r="B79" s="44"/>
      <c r="C79" s="54"/>
      <c r="D79" s="54"/>
      <c r="E79" s="54"/>
      <c r="F79" s="49"/>
      <c r="G79" s="49"/>
      <c r="H79" s="15"/>
      <c r="I79" s="15"/>
    </row>
    <row r="80" spans="1:9" x14ac:dyDescent="0.2">
      <c r="A80" s="48"/>
      <c r="B80" s="44"/>
      <c r="C80" s="54"/>
      <c r="D80" s="54"/>
      <c r="E80" s="54"/>
      <c r="F80" s="49"/>
      <c r="G80" s="49"/>
      <c r="H80" s="15"/>
      <c r="I80" s="15"/>
    </row>
    <row r="81" spans="1:12" x14ac:dyDescent="0.2">
      <c r="A81" s="52"/>
      <c r="B81" s="53"/>
      <c r="C81" s="58"/>
      <c r="D81" s="58"/>
      <c r="E81" s="58"/>
      <c r="F81" s="55"/>
      <c r="G81" s="55"/>
      <c r="H81" s="15"/>
      <c r="I81" s="15"/>
    </row>
    <row r="82" spans="1:12" ht="14.25" x14ac:dyDescent="0.2">
      <c r="A82" s="59"/>
      <c r="B82" s="10"/>
      <c r="C82" s="54"/>
      <c r="D82" s="54"/>
      <c r="E82" s="54"/>
      <c r="F82" s="60"/>
      <c r="G82" s="61"/>
      <c r="H82" s="15"/>
      <c r="I82" s="15"/>
    </row>
    <row r="83" spans="1:12" ht="14.25" x14ac:dyDescent="0.2">
      <c r="A83" s="57"/>
      <c r="B83" s="62"/>
      <c r="C83" s="10"/>
      <c r="D83" s="10"/>
      <c r="E83" s="10"/>
      <c r="F83" s="63"/>
      <c r="G83" s="64"/>
      <c r="H83" s="15"/>
      <c r="I83" s="15"/>
    </row>
    <row r="84" spans="1:12" x14ac:dyDescent="0.2">
      <c r="A84" s="48"/>
      <c r="B84" s="65"/>
      <c r="C84" s="65"/>
      <c r="D84" s="65"/>
      <c r="E84" s="65"/>
      <c r="F84" s="49"/>
      <c r="G84" s="49"/>
      <c r="H84" s="15"/>
      <c r="I84" s="15"/>
    </row>
    <row r="85" spans="1:12" x14ac:dyDescent="0.2">
      <c r="A85" s="48"/>
      <c r="B85" s="44"/>
      <c r="C85" s="65"/>
      <c r="D85" s="65"/>
      <c r="E85" s="65"/>
      <c r="F85" s="49"/>
      <c r="G85" s="49"/>
      <c r="H85" s="15"/>
      <c r="I85" s="15"/>
    </row>
    <row r="86" spans="1:12" x14ac:dyDescent="0.2">
      <c r="A86" s="48"/>
      <c r="B86" s="44"/>
      <c r="C86" s="65"/>
      <c r="D86" s="65"/>
      <c r="E86" s="65"/>
      <c r="F86" s="49"/>
      <c r="G86" s="49"/>
      <c r="H86" s="15"/>
      <c r="I86" s="15"/>
    </row>
    <row r="87" spans="1:12" x14ac:dyDescent="0.2">
      <c r="A87" s="48"/>
      <c r="B87" s="44"/>
      <c r="C87" s="65"/>
      <c r="D87" s="65"/>
      <c r="E87" s="65"/>
      <c r="F87" s="49"/>
      <c r="G87" s="47"/>
      <c r="H87" s="15"/>
      <c r="I87" s="15"/>
    </row>
    <row r="88" spans="1:12" x14ac:dyDescent="0.2">
      <c r="A88" s="52"/>
      <c r="B88" s="66"/>
      <c r="C88" s="65"/>
      <c r="D88" s="65"/>
      <c r="E88" s="65"/>
      <c r="F88" s="55"/>
      <c r="G88" s="55"/>
      <c r="H88" s="15"/>
      <c r="I88" s="15"/>
    </row>
    <row r="89" spans="1:12" x14ac:dyDescent="0.2">
      <c r="A89" s="56"/>
      <c r="B89" s="44"/>
      <c r="C89" s="44"/>
      <c r="D89" s="44"/>
      <c r="E89" s="44"/>
      <c r="F89" s="53"/>
      <c r="G89" s="44"/>
      <c r="H89" s="15"/>
      <c r="I89" s="15"/>
    </row>
    <row r="90" spans="1:12" x14ac:dyDescent="0.2">
      <c r="A90" s="56"/>
      <c r="B90" s="44"/>
      <c r="C90" s="44"/>
      <c r="D90" s="44"/>
      <c r="E90" s="44"/>
      <c r="F90" s="49"/>
      <c r="G90" s="49"/>
      <c r="H90" s="15"/>
      <c r="I90" s="15"/>
    </row>
    <row r="91" spans="1:12" x14ac:dyDescent="0.2">
      <c r="A91" s="52"/>
      <c r="B91" s="53"/>
      <c r="C91" s="58"/>
      <c r="D91" s="58"/>
      <c r="E91" s="58"/>
      <c r="F91" s="55"/>
      <c r="G91" s="55"/>
      <c r="H91" s="15"/>
      <c r="I91" s="15"/>
    </row>
    <row r="92" spans="1:12" x14ac:dyDescent="0.2">
      <c r="A92" s="15"/>
      <c r="B92" s="15"/>
      <c r="C92" s="15"/>
      <c r="D92" s="15"/>
      <c r="E92" s="15"/>
      <c r="F92" s="15"/>
      <c r="G92" s="15"/>
      <c r="H92" s="15"/>
      <c r="I92" s="15"/>
    </row>
    <row r="93" spans="1:12" x14ac:dyDescent="0.2">
      <c r="A93" s="15"/>
      <c r="B93" s="15"/>
      <c r="C93" s="15"/>
      <c r="D93" s="15"/>
      <c r="E93" s="15"/>
      <c r="F93" s="15"/>
      <c r="G93" s="15"/>
      <c r="H93" s="15"/>
      <c r="I93" s="15"/>
    </row>
    <row r="94" spans="1:12" x14ac:dyDescent="0.2">
      <c r="A94" s="67"/>
      <c r="B94" s="67"/>
      <c r="C94" s="67"/>
      <c r="D94" s="67"/>
      <c r="E94" s="67"/>
      <c r="F94" s="67"/>
      <c r="G94" s="67"/>
      <c r="H94" s="37"/>
      <c r="I94" s="37"/>
      <c r="J94" s="68"/>
      <c r="K94" s="68"/>
      <c r="L94" s="68"/>
    </row>
    <row r="95" spans="1:12" x14ac:dyDescent="0.2">
      <c r="A95" s="67"/>
      <c r="B95" s="67"/>
      <c r="C95" s="67"/>
      <c r="D95" s="67"/>
      <c r="E95" s="67"/>
      <c r="F95" s="67"/>
      <c r="G95" s="67"/>
      <c r="H95" s="37"/>
      <c r="I95" s="37"/>
      <c r="J95" s="68"/>
      <c r="K95" s="68"/>
      <c r="L95" s="68"/>
    </row>
    <row r="96" spans="1:12" x14ac:dyDescent="0.2">
      <c r="A96" s="67"/>
      <c r="B96" s="67"/>
      <c r="C96" s="67"/>
      <c r="D96" s="67"/>
      <c r="E96" s="67"/>
      <c r="F96" s="67"/>
      <c r="G96" s="67"/>
      <c r="H96" s="37"/>
      <c r="I96" s="37"/>
      <c r="J96" s="68"/>
      <c r="K96" s="68"/>
      <c r="L96" s="68"/>
    </row>
    <row r="97" spans="1:12" x14ac:dyDescent="0.2">
      <c r="A97" s="67"/>
      <c r="B97" s="67"/>
      <c r="C97" s="67"/>
      <c r="D97" s="67"/>
      <c r="E97" s="67"/>
      <c r="F97" s="67"/>
      <c r="G97" s="67"/>
      <c r="H97" s="37"/>
      <c r="I97" s="37"/>
      <c r="J97" s="68"/>
      <c r="K97" s="68"/>
      <c r="L97" s="68"/>
    </row>
    <row r="98" spans="1:12" x14ac:dyDescent="0.2">
      <c r="A98" s="15"/>
      <c r="B98" s="15"/>
      <c r="C98" s="15"/>
      <c r="D98" s="15"/>
      <c r="E98" s="15"/>
      <c r="F98" s="15"/>
      <c r="G98" s="15"/>
      <c r="H98" s="15"/>
      <c r="I98" s="15"/>
    </row>
    <row r="99" spans="1:12" x14ac:dyDescent="0.2">
      <c r="A99" s="15"/>
      <c r="B99" s="15"/>
      <c r="C99" s="15"/>
      <c r="D99" s="15"/>
      <c r="E99" s="15"/>
      <c r="F99" s="15"/>
      <c r="G99" s="15"/>
      <c r="H99" s="15"/>
      <c r="I99" s="15"/>
    </row>
    <row r="100" spans="1:12" x14ac:dyDescent="0.2">
      <c r="A100" s="15"/>
      <c r="B100" s="15"/>
      <c r="C100" s="15"/>
      <c r="D100" s="15"/>
      <c r="E100" s="15"/>
      <c r="F100" s="15"/>
      <c r="G100" s="15"/>
      <c r="H100" s="15"/>
      <c r="I100" s="15"/>
    </row>
    <row r="101" spans="1:12" x14ac:dyDescent="0.2">
      <c r="A101" s="15"/>
      <c r="B101" s="15"/>
      <c r="C101" s="15"/>
      <c r="D101" s="15"/>
      <c r="E101" s="15"/>
      <c r="F101" s="15"/>
      <c r="G101" s="15"/>
      <c r="H101" s="15"/>
      <c r="I101" s="15"/>
    </row>
    <row r="102" spans="1:12" x14ac:dyDescent="0.2">
      <c r="A102" s="15"/>
      <c r="B102" s="15"/>
      <c r="C102" s="15"/>
      <c r="D102" s="15"/>
      <c r="E102" s="15"/>
      <c r="F102" s="15"/>
      <c r="G102" s="15"/>
      <c r="H102" s="15"/>
      <c r="I102" s="15"/>
    </row>
    <row r="103" spans="1:12" x14ac:dyDescent="0.2">
      <c r="A103" s="15"/>
      <c r="B103" s="15"/>
      <c r="C103" s="15"/>
      <c r="D103" s="15"/>
      <c r="E103" s="15"/>
      <c r="F103" s="15"/>
      <c r="G103" s="15"/>
      <c r="H103" s="15"/>
      <c r="I103" s="15"/>
    </row>
    <row r="104" spans="1:12" x14ac:dyDescent="0.2">
      <c r="A104" s="15"/>
      <c r="B104" s="15"/>
      <c r="C104" s="15"/>
      <c r="D104" s="15"/>
      <c r="E104" s="15"/>
      <c r="F104" s="15"/>
      <c r="G104" s="15"/>
      <c r="H104" s="15"/>
      <c r="I104" s="15"/>
    </row>
    <row r="105" spans="1:12" x14ac:dyDescent="0.2">
      <c r="A105" s="15"/>
      <c r="B105" s="15"/>
      <c r="C105" s="15"/>
      <c r="D105" s="15"/>
      <c r="E105" s="15"/>
      <c r="F105" s="15"/>
      <c r="G105" s="15"/>
      <c r="H105" s="15"/>
      <c r="I105" s="15"/>
    </row>
    <row r="106" spans="1:12" x14ac:dyDescent="0.2">
      <c r="A106" s="15"/>
      <c r="B106" s="15"/>
      <c r="C106" s="15"/>
      <c r="D106" s="15"/>
      <c r="E106" s="15"/>
      <c r="F106" s="15"/>
      <c r="G106" s="15"/>
      <c r="H106" s="15"/>
      <c r="I106" s="15"/>
    </row>
    <row r="107" spans="1:12" x14ac:dyDescent="0.2">
      <c r="A107" s="15"/>
      <c r="B107" s="15"/>
      <c r="C107" s="15"/>
      <c r="D107" s="15"/>
      <c r="E107" s="15"/>
      <c r="F107" s="15"/>
      <c r="G107" s="15"/>
      <c r="H107" s="15"/>
      <c r="I107" s="15"/>
    </row>
    <row r="108" spans="1:12" x14ac:dyDescent="0.2">
      <c r="A108" s="15"/>
      <c r="B108" s="15"/>
      <c r="C108" s="15"/>
      <c r="D108" s="15"/>
      <c r="E108" s="15"/>
      <c r="F108" s="15"/>
      <c r="G108" s="15"/>
      <c r="H108" s="15"/>
      <c r="I108" s="15"/>
    </row>
    <row r="109" spans="1:12" x14ac:dyDescent="0.2">
      <c r="A109" s="15"/>
      <c r="B109" s="15"/>
      <c r="C109" s="15"/>
      <c r="D109" s="15"/>
      <c r="E109" s="15"/>
      <c r="F109" s="15"/>
      <c r="G109" s="15"/>
      <c r="H109" s="15"/>
      <c r="I109" s="15"/>
    </row>
    <row r="110" spans="1:12" x14ac:dyDescent="0.2">
      <c r="A110" s="15"/>
      <c r="B110" s="15"/>
      <c r="C110" s="15"/>
      <c r="D110" s="15"/>
      <c r="E110" s="15"/>
      <c r="F110" s="15"/>
      <c r="G110" s="15"/>
      <c r="H110" s="15"/>
      <c r="I110" s="15"/>
    </row>
    <row r="111" spans="1:12" x14ac:dyDescent="0.2">
      <c r="A111" s="15"/>
      <c r="B111" s="15"/>
      <c r="C111" s="15"/>
      <c r="D111" s="15"/>
      <c r="E111" s="15"/>
      <c r="F111" s="15"/>
      <c r="G111" s="15"/>
      <c r="H111" s="15"/>
      <c r="I111" s="15"/>
    </row>
    <row r="112" spans="1:12" x14ac:dyDescent="0.2">
      <c r="A112" s="15"/>
      <c r="B112" s="15"/>
      <c r="C112" s="15"/>
      <c r="D112" s="15"/>
      <c r="E112" s="15"/>
      <c r="F112" s="15"/>
      <c r="G112" s="15"/>
      <c r="H112" s="15"/>
      <c r="I112" s="15"/>
    </row>
    <row r="113" spans="1:9" x14ac:dyDescent="0.2">
      <c r="A113" s="15"/>
      <c r="B113" s="15"/>
      <c r="C113" s="15"/>
      <c r="D113" s="15"/>
      <c r="E113" s="15"/>
      <c r="F113" s="15"/>
      <c r="G113" s="15"/>
      <c r="H113" s="15"/>
      <c r="I113" s="15"/>
    </row>
    <row r="114" spans="1:9" x14ac:dyDescent="0.2">
      <c r="A114" s="15"/>
      <c r="B114" s="15"/>
      <c r="C114" s="15"/>
      <c r="D114" s="15"/>
      <c r="E114" s="15"/>
      <c r="F114" s="15"/>
      <c r="G114" s="15"/>
      <c r="H114" s="15"/>
      <c r="I114" s="15"/>
    </row>
    <row r="115" spans="1:9" x14ac:dyDescent="0.2">
      <c r="A115" s="15"/>
      <c r="B115" s="15"/>
      <c r="C115" s="15"/>
      <c r="D115" s="15"/>
      <c r="E115" s="15"/>
      <c r="F115" s="15"/>
      <c r="G115" s="15"/>
      <c r="H115" s="15"/>
      <c r="I115" s="15"/>
    </row>
    <row r="116" spans="1:9" x14ac:dyDescent="0.2">
      <c r="A116" s="15"/>
      <c r="B116" s="15"/>
      <c r="C116" s="15"/>
      <c r="D116" s="15"/>
      <c r="E116" s="15"/>
      <c r="F116" s="15"/>
      <c r="G116" s="15"/>
      <c r="H116" s="15"/>
      <c r="I116" s="15"/>
    </row>
    <row r="117" spans="1:9" x14ac:dyDescent="0.2">
      <c r="A117" s="15"/>
      <c r="B117" s="15"/>
      <c r="C117" s="15"/>
      <c r="D117" s="15"/>
      <c r="E117" s="15"/>
      <c r="F117" s="15"/>
      <c r="G117" s="15"/>
      <c r="H117" s="15"/>
      <c r="I117" s="15"/>
    </row>
    <row r="118" spans="1:9" x14ac:dyDescent="0.2">
      <c r="A118" s="15"/>
      <c r="B118" s="15"/>
      <c r="C118" s="15"/>
      <c r="D118" s="15"/>
      <c r="E118" s="15"/>
      <c r="F118" s="15"/>
      <c r="G118" s="15"/>
      <c r="H118" s="15"/>
      <c r="I118" s="15"/>
    </row>
    <row r="119" spans="1:9" x14ac:dyDescent="0.2">
      <c r="A119" s="15"/>
      <c r="B119" s="15"/>
      <c r="C119" s="15"/>
      <c r="D119" s="15"/>
      <c r="E119" s="15"/>
      <c r="F119" s="15"/>
      <c r="G119" s="15"/>
      <c r="H119" s="15"/>
      <c r="I119" s="15"/>
    </row>
    <row r="120" spans="1:9" x14ac:dyDescent="0.2">
      <c r="A120" s="15"/>
      <c r="B120" s="15"/>
      <c r="C120" s="15"/>
      <c r="D120" s="15"/>
      <c r="E120" s="15"/>
      <c r="F120" s="15"/>
      <c r="G120" s="15"/>
      <c r="H120" s="15"/>
      <c r="I120" s="15"/>
    </row>
    <row r="121" spans="1:9" x14ac:dyDescent="0.2">
      <c r="A121" s="15"/>
      <c r="B121" s="15"/>
      <c r="C121" s="15"/>
      <c r="D121" s="15"/>
      <c r="E121" s="15"/>
      <c r="F121" s="15"/>
      <c r="G121" s="15"/>
      <c r="H121" s="15"/>
      <c r="I121" s="15"/>
    </row>
    <row r="122" spans="1:9" x14ac:dyDescent="0.2">
      <c r="A122" s="15"/>
      <c r="B122" s="15"/>
      <c r="C122" s="15"/>
      <c r="D122" s="15"/>
      <c r="E122" s="15"/>
      <c r="F122" s="15"/>
      <c r="G122" s="15"/>
      <c r="H122" s="15"/>
      <c r="I122" s="15"/>
    </row>
    <row r="123" spans="1:9" x14ac:dyDescent="0.2">
      <c r="A123" s="15"/>
      <c r="B123" s="15"/>
      <c r="C123" s="15"/>
      <c r="D123" s="15"/>
      <c r="E123" s="15"/>
      <c r="F123" s="15"/>
      <c r="G123" s="15"/>
      <c r="H123" s="15"/>
      <c r="I123" s="15"/>
    </row>
    <row r="124" spans="1:9" x14ac:dyDescent="0.2">
      <c r="A124" s="15"/>
      <c r="B124" s="15"/>
      <c r="C124" s="15"/>
      <c r="D124" s="15"/>
      <c r="E124" s="15"/>
      <c r="F124" s="15"/>
      <c r="G124" s="15"/>
      <c r="H124" s="15"/>
      <c r="I124" s="15"/>
    </row>
    <row r="125" spans="1:9" x14ac:dyDescent="0.2">
      <c r="A125" s="15"/>
      <c r="B125" s="15"/>
      <c r="C125" s="15"/>
      <c r="D125" s="15"/>
      <c r="E125" s="15"/>
      <c r="F125" s="15"/>
      <c r="G125" s="15"/>
      <c r="H125" s="15"/>
      <c r="I125" s="15"/>
    </row>
    <row r="126" spans="1:9" x14ac:dyDescent="0.2">
      <c r="A126" s="15"/>
      <c r="B126" s="15"/>
      <c r="C126" s="15"/>
      <c r="D126" s="15"/>
      <c r="E126" s="15"/>
      <c r="F126" s="15"/>
      <c r="G126" s="15"/>
      <c r="H126" s="15"/>
      <c r="I126" s="15"/>
    </row>
    <row r="127" spans="1:9" x14ac:dyDescent="0.2">
      <c r="A127" s="15"/>
      <c r="B127" s="15"/>
      <c r="C127" s="15"/>
      <c r="D127" s="15"/>
      <c r="E127" s="15"/>
      <c r="F127" s="15"/>
      <c r="G127" s="15"/>
      <c r="H127" s="15"/>
      <c r="I127" s="15"/>
    </row>
    <row r="128" spans="1:9" x14ac:dyDescent="0.2">
      <c r="A128" s="15"/>
      <c r="B128" s="15"/>
      <c r="C128" s="15"/>
      <c r="D128" s="15"/>
      <c r="E128" s="15"/>
      <c r="F128" s="15"/>
      <c r="G128" s="15"/>
      <c r="H128" s="15"/>
      <c r="I128" s="15"/>
    </row>
    <row r="129" spans="1:9" x14ac:dyDescent="0.2">
      <c r="A129" s="15"/>
      <c r="B129" s="15"/>
      <c r="C129" s="15"/>
      <c r="D129" s="15"/>
      <c r="E129" s="15"/>
      <c r="F129" s="15"/>
      <c r="G129" s="15"/>
      <c r="H129" s="15"/>
      <c r="I129" s="15"/>
    </row>
    <row r="130" spans="1:9" x14ac:dyDescent="0.2">
      <c r="A130" s="15"/>
      <c r="B130" s="15"/>
      <c r="C130" s="15"/>
      <c r="D130" s="15"/>
      <c r="E130" s="15"/>
      <c r="F130" s="15"/>
      <c r="G130" s="15"/>
      <c r="H130" s="15"/>
      <c r="I130" s="15"/>
    </row>
    <row r="131" spans="1:9" x14ac:dyDescent="0.2">
      <c r="A131" s="15"/>
      <c r="B131" s="15"/>
      <c r="C131" s="15"/>
      <c r="D131" s="15"/>
      <c r="E131" s="15"/>
      <c r="F131" s="15"/>
      <c r="G131" s="15"/>
      <c r="H131" s="15"/>
      <c r="I131" s="15"/>
    </row>
    <row r="132" spans="1:9" x14ac:dyDescent="0.2">
      <c r="A132" s="15"/>
      <c r="B132" s="15"/>
      <c r="C132" s="15"/>
      <c r="D132" s="15"/>
      <c r="E132" s="15"/>
      <c r="F132" s="15"/>
      <c r="G132" s="15"/>
      <c r="H132" s="15"/>
      <c r="I132" s="15"/>
    </row>
    <row r="133" spans="1:9" x14ac:dyDescent="0.2">
      <c r="A133" s="15"/>
      <c r="B133" s="15"/>
      <c r="C133" s="15"/>
      <c r="D133" s="15"/>
      <c r="E133" s="15"/>
      <c r="F133" s="15"/>
      <c r="G133" s="15"/>
      <c r="H133" s="15"/>
      <c r="I133" s="15"/>
    </row>
    <row r="134" spans="1:9" x14ac:dyDescent="0.2">
      <c r="A134" s="15"/>
      <c r="B134" s="15"/>
      <c r="C134" s="15"/>
      <c r="D134" s="15"/>
      <c r="E134" s="15"/>
      <c r="F134" s="15"/>
      <c r="G134" s="15"/>
      <c r="H134" s="15"/>
      <c r="I134" s="15"/>
    </row>
    <row r="135" spans="1:9" x14ac:dyDescent="0.2">
      <c r="A135" s="15"/>
      <c r="B135" s="15"/>
      <c r="C135" s="15"/>
      <c r="D135" s="15"/>
      <c r="E135" s="15"/>
      <c r="F135" s="15"/>
      <c r="G135" s="15"/>
      <c r="H135" s="15"/>
      <c r="I135" s="15"/>
    </row>
    <row r="136" spans="1:9" x14ac:dyDescent="0.2">
      <c r="A136" s="15"/>
      <c r="B136" s="15"/>
      <c r="C136" s="15"/>
      <c r="D136" s="15"/>
      <c r="E136" s="15"/>
      <c r="F136" s="15"/>
      <c r="G136" s="15"/>
      <c r="H136" s="15"/>
      <c r="I136" s="15"/>
    </row>
    <row r="137" spans="1:9" x14ac:dyDescent="0.2">
      <c r="A137" s="15"/>
      <c r="B137" s="15"/>
      <c r="C137" s="15"/>
      <c r="D137" s="15"/>
      <c r="E137" s="15"/>
      <c r="F137" s="15"/>
      <c r="G137" s="15"/>
      <c r="H137" s="15"/>
      <c r="I137" s="15"/>
    </row>
    <row r="138" spans="1:9" x14ac:dyDescent="0.2">
      <c r="A138" s="15"/>
      <c r="B138" s="15"/>
      <c r="C138" s="15"/>
      <c r="D138" s="15"/>
      <c r="E138" s="15"/>
      <c r="F138" s="15"/>
      <c r="G138" s="15"/>
      <c r="H138" s="15"/>
      <c r="I138" s="15"/>
    </row>
    <row r="139" spans="1:9" x14ac:dyDescent="0.2">
      <c r="A139" s="15"/>
      <c r="B139" s="15"/>
      <c r="C139" s="15"/>
      <c r="D139" s="15"/>
      <c r="E139" s="15"/>
      <c r="F139" s="15"/>
      <c r="G139" s="15"/>
      <c r="H139" s="15"/>
      <c r="I139" s="15"/>
    </row>
    <row r="140" spans="1:9" x14ac:dyDescent="0.2">
      <c r="A140" s="15"/>
      <c r="B140" s="15"/>
      <c r="C140" s="15"/>
      <c r="D140" s="15"/>
      <c r="E140" s="15"/>
      <c r="F140" s="15"/>
      <c r="G140" s="15"/>
      <c r="H140" s="15"/>
      <c r="I140" s="15"/>
    </row>
    <row r="141" spans="1:9" x14ac:dyDescent="0.2">
      <c r="A141" s="15"/>
      <c r="B141" s="15"/>
      <c r="C141" s="15"/>
      <c r="D141" s="15"/>
      <c r="E141" s="15"/>
      <c r="F141" s="15"/>
      <c r="G141" s="15"/>
      <c r="H141" s="15"/>
      <c r="I141" s="15"/>
    </row>
    <row r="142" spans="1:9" x14ac:dyDescent="0.2">
      <c r="A142" s="15"/>
      <c r="B142" s="15"/>
      <c r="C142" s="15"/>
      <c r="D142" s="15"/>
      <c r="E142" s="15"/>
      <c r="F142" s="15"/>
      <c r="G142" s="15"/>
      <c r="H142" s="15"/>
      <c r="I142" s="15"/>
    </row>
    <row r="143" spans="1:9" x14ac:dyDescent="0.2">
      <c r="A143" s="15"/>
      <c r="B143" s="15"/>
      <c r="C143" s="15"/>
      <c r="D143" s="15"/>
      <c r="E143" s="15"/>
      <c r="F143" s="15"/>
      <c r="G143" s="15"/>
      <c r="H143" s="15"/>
      <c r="I143" s="15"/>
    </row>
    <row r="144" spans="1:9" x14ac:dyDescent="0.2">
      <c r="A144" s="15"/>
      <c r="B144" s="15"/>
      <c r="C144" s="15"/>
      <c r="D144" s="15"/>
      <c r="E144" s="15"/>
      <c r="F144" s="15"/>
      <c r="G144" s="15"/>
      <c r="H144" s="15"/>
      <c r="I144" s="15"/>
    </row>
    <row r="145" spans="1:9" x14ac:dyDescent="0.2">
      <c r="A145" s="15"/>
      <c r="B145" s="15"/>
      <c r="C145" s="15"/>
      <c r="D145" s="15"/>
      <c r="E145" s="15"/>
      <c r="F145" s="15"/>
      <c r="G145" s="15"/>
      <c r="H145" s="15"/>
      <c r="I145" s="15"/>
    </row>
    <row r="146" spans="1:9" x14ac:dyDescent="0.2">
      <c r="A146" s="15"/>
      <c r="B146" s="15"/>
      <c r="C146" s="15"/>
      <c r="D146" s="15"/>
      <c r="E146" s="15"/>
      <c r="F146" s="15"/>
      <c r="G146" s="15"/>
      <c r="H146" s="15"/>
      <c r="I146" s="15"/>
    </row>
    <row r="147" spans="1:9" x14ac:dyDescent="0.2">
      <c r="A147" s="15"/>
      <c r="B147" s="15"/>
      <c r="C147" s="15"/>
      <c r="D147" s="15"/>
      <c r="E147" s="15"/>
      <c r="F147" s="15"/>
      <c r="G147" s="15"/>
      <c r="H147" s="15"/>
      <c r="I147" s="15"/>
    </row>
    <row r="148" spans="1:9" x14ac:dyDescent="0.2">
      <c r="A148" s="15"/>
      <c r="B148" s="15"/>
      <c r="C148" s="15"/>
      <c r="D148" s="15"/>
      <c r="E148" s="15"/>
      <c r="F148" s="15"/>
      <c r="G148" s="15"/>
      <c r="H148" s="15"/>
      <c r="I148" s="15"/>
    </row>
  </sheetData>
  <phoneticPr fontId="3" type="noConversion"/>
  <pageMargins left="0.74803149606299213" right="0.74803149606299213" top="0.98425196850393704" bottom="0.98425196850393704" header="0.51181102362204722" footer="0.51181102362204722"/>
  <pageSetup paperSize="9" scale="79" orientation="portrait"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tabColor rgb="FF00B050"/>
    <pageSetUpPr fitToPage="1"/>
  </sheetPr>
  <dimension ref="A1:K43"/>
  <sheetViews>
    <sheetView showGridLines="0" zoomScaleNormal="100" workbookViewId="0"/>
  </sheetViews>
  <sheetFormatPr baseColWidth="10" defaultColWidth="11" defaultRowHeight="12" x14ac:dyDescent="0.2"/>
  <cols>
    <col min="1" max="1" width="38.625" style="17" customWidth="1"/>
    <col min="2" max="2" width="30.75" style="17" customWidth="1"/>
    <col min="3" max="4" width="9.625" style="17" bestFit="1" customWidth="1"/>
    <col min="5" max="5" width="11.5" style="17" customWidth="1"/>
    <col min="6" max="6" width="10.625" style="17" customWidth="1"/>
    <col min="7" max="7" width="14.625" style="17" customWidth="1"/>
    <col min="8" max="8" width="11" style="17"/>
    <col min="9" max="9" width="31.25" style="17" customWidth="1"/>
    <col min="10" max="16384" width="11" style="17"/>
  </cols>
  <sheetData>
    <row r="1" spans="1:11" s="347" customFormat="1" x14ac:dyDescent="0.2">
      <c r="A1" s="669" t="s">
        <v>46</v>
      </c>
      <c r="B1" s="383"/>
      <c r="C1" s="293"/>
      <c r="D1" s="293"/>
      <c r="E1" s="293"/>
      <c r="F1" s="293"/>
      <c r="G1" s="69"/>
      <c r="H1" s="69"/>
      <c r="J1" s="69"/>
    </row>
    <row r="2" spans="1:11" s="347" customFormat="1" x14ac:dyDescent="0.2">
      <c r="A2" s="347" t="s">
        <v>58</v>
      </c>
      <c r="B2" s="383"/>
      <c r="C2" s="293"/>
      <c r="D2" s="293"/>
      <c r="E2" s="293"/>
      <c r="F2" s="293"/>
      <c r="G2" s="69"/>
      <c r="H2" s="69"/>
      <c r="J2" s="69"/>
    </row>
    <row r="3" spans="1:11" s="347" customFormat="1" x14ac:dyDescent="0.2">
      <c r="A3" s="294"/>
      <c r="B3" s="294"/>
      <c r="C3" s="294"/>
      <c r="D3" s="294"/>
      <c r="E3" s="295"/>
      <c r="F3" s="383"/>
      <c r="J3" s="387"/>
    </row>
    <row r="4" spans="1:11" s="347" customFormat="1" x14ac:dyDescent="0.2">
      <c r="A4" s="437"/>
      <c r="B4" s="437"/>
      <c r="C4" s="437"/>
      <c r="D4" s="437"/>
      <c r="E4" s="438"/>
      <c r="F4" s="438"/>
      <c r="G4" s="72"/>
    </row>
    <row r="5" spans="1:11" s="347" customFormat="1" ht="24" x14ac:dyDescent="0.2">
      <c r="A5" s="291"/>
      <c r="B5" s="296"/>
      <c r="C5" s="74" t="s">
        <v>829</v>
      </c>
      <c r="D5" s="74" t="s">
        <v>829</v>
      </c>
      <c r="E5" s="438" t="s">
        <v>47</v>
      </c>
      <c r="F5" s="298" t="s">
        <v>48</v>
      </c>
      <c r="G5" s="75"/>
    </row>
    <row r="6" spans="1:11" s="347" customFormat="1" x14ac:dyDescent="0.2">
      <c r="A6" s="291"/>
      <c r="B6" s="296"/>
      <c r="C6" s="297"/>
      <c r="D6" s="297" t="s">
        <v>49</v>
      </c>
      <c r="E6" s="438" t="s">
        <v>50</v>
      </c>
      <c r="F6" s="298" t="s">
        <v>51</v>
      </c>
      <c r="G6" s="72"/>
    </row>
    <row r="7" spans="1:11" s="347" customFormat="1" ht="12.75" thickBot="1" x14ac:dyDescent="0.25">
      <c r="A7" s="299"/>
      <c r="B7" s="300"/>
      <c r="C7" s="416">
        <v>43373</v>
      </c>
      <c r="D7" s="416">
        <v>43373</v>
      </c>
      <c r="E7" s="416">
        <v>43373</v>
      </c>
      <c r="F7" s="417">
        <v>43100</v>
      </c>
      <c r="G7" s="77"/>
      <c r="I7" s="14"/>
    </row>
    <row r="8" spans="1:11" s="347" customFormat="1" x14ac:dyDescent="0.2">
      <c r="A8" s="105" t="s">
        <v>52</v>
      </c>
      <c r="B8" s="662" t="s">
        <v>1076</v>
      </c>
      <c r="C8" s="301">
        <v>41555.324000000001</v>
      </c>
      <c r="D8" s="301">
        <v>39606.351999999999</v>
      </c>
      <c r="E8" s="301">
        <v>25108.767</v>
      </c>
      <c r="F8" s="301">
        <f>21916.058</f>
        <v>21916.058000000001</v>
      </c>
      <c r="G8" s="79"/>
      <c r="I8" s="14"/>
    </row>
    <row r="9" spans="1:11" s="347" customFormat="1" x14ac:dyDescent="0.2">
      <c r="A9" s="105"/>
      <c r="B9" s="437" t="s">
        <v>852</v>
      </c>
      <c r="C9" s="663">
        <f>28525.72+2.995</f>
        <v>28528.715</v>
      </c>
      <c r="D9" s="301">
        <f>25851.204+2.995</f>
        <v>25854.199000000001</v>
      </c>
      <c r="E9" s="301">
        <f>22646.094+2.916</f>
        <v>22649.010000000002</v>
      </c>
      <c r="F9" s="301">
        <f>19218.028+1.754</f>
        <v>19219.781999999999</v>
      </c>
      <c r="G9" s="79"/>
      <c r="I9" s="14"/>
    </row>
    <row r="10" spans="1:11" s="347" customFormat="1" x14ac:dyDescent="0.2">
      <c r="A10" s="302"/>
      <c r="B10" s="420" t="s">
        <v>830</v>
      </c>
      <c r="C10" s="304">
        <v>10335.329</v>
      </c>
      <c r="D10" s="304">
        <v>8421.5370000000003</v>
      </c>
      <c r="E10" s="304">
        <v>6735.9679999999998</v>
      </c>
      <c r="F10" s="304">
        <v>6867.8559999999998</v>
      </c>
      <c r="G10" s="79"/>
      <c r="I10" s="80"/>
    </row>
    <row r="11" spans="1:11" s="347" customFormat="1" x14ac:dyDescent="0.2">
      <c r="A11" s="290" t="s">
        <v>53</v>
      </c>
      <c r="B11" s="81" t="s">
        <v>831</v>
      </c>
      <c r="C11" s="301">
        <v>5871.8969999999999</v>
      </c>
      <c r="D11" s="301">
        <v>5868.5169999999998</v>
      </c>
      <c r="E11" s="301">
        <v>1322.1890000000001</v>
      </c>
      <c r="F11" s="301">
        <v>1302.95</v>
      </c>
      <c r="G11" s="79"/>
      <c r="I11" s="80"/>
    </row>
    <row r="12" spans="1:11" s="347" customFormat="1" ht="12" customHeight="1" x14ac:dyDescent="0.2">
      <c r="A12" s="290"/>
      <c r="B12" s="81" t="s">
        <v>832</v>
      </c>
      <c r="C12" s="301">
        <v>135406.34299999999</v>
      </c>
      <c r="D12" s="301">
        <v>135398.31400000001</v>
      </c>
      <c r="E12" s="301">
        <v>27713.105</v>
      </c>
      <c r="F12" s="301">
        <v>27025.888999999999</v>
      </c>
      <c r="G12" s="79"/>
      <c r="I12" s="80"/>
    </row>
    <row r="13" spans="1:11" s="347" customFormat="1" ht="14.25" customHeight="1" x14ac:dyDescent="0.2">
      <c r="A13" s="305"/>
      <c r="B13" s="421" t="s">
        <v>833</v>
      </c>
      <c r="C13" s="304">
        <f>363.337+4969.728</f>
        <v>5333.0650000000005</v>
      </c>
      <c r="D13" s="304">
        <f>359.902+4962.339</f>
        <v>5322.241</v>
      </c>
      <c r="E13" s="304">
        <f>120.211+2085.471</f>
        <v>2205.6819999999998</v>
      </c>
      <c r="F13" s="304">
        <f>109.293+1832.791</f>
        <v>1942.0839999999998</v>
      </c>
      <c r="G13" s="79"/>
      <c r="I13" s="694"/>
      <c r="J13" s="694"/>
      <c r="K13" s="694"/>
    </row>
    <row r="14" spans="1:11" s="347" customFormat="1" x14ac:dyDescent="0.2">
      <c r="A14" s="695" t="s">
        <v>54</v>
      </c>
      <c r="B14" s="695"/>
      <c r="C14" s="306">
        <f>SUM(C8:C13)</f>
        <v>227030.67300000001</v>
      </c>
      <c r="D14" s="306">
        <f>SUM(D8:D13)</f>
        <v>220471.16000000003</v>
      </c>
      <c r="E14" s="306">
        <f>SUM(E8:E13)</f>
        <v>85734.721000000005</v>
      </c>
      <c r="F14" s="301">
        <f>SUM(F8:F13)</f>
        <v>78274.618999999992</v>
      </c>
      <c r="G14" s="82"/>
    </row>
    <row r="15" spans="1:11" s="347" customFormat="1" x14ac:dyDescent="0.2">
      <c r="A15" s="296"/>
      <c r="B15" s="296"/>
      <c r="C15" s="307"/>
      <c r="D15" s="307"/>
      <c r="E15" s="307"/>
      <c r="F15" s="307"/>
      <c r="G15" s="83"/>
    </row>
    <row r="16" spans="1:11" s="347" customFormat="1" x14ac:dyDescent="0.2">
      <c r="A16" s="71" t="s">
        <v>834</v>
      </c>
      <c r="B16" s="437"/>
      <c r="C16" s="301">
        <v>5476.7550000000001</v>
      </c>
      <c r="D16" s="301"/>
      <c r="E16" s="301">
        <v>56.814</v>
      </c>
      <c r="F16" s="301">
        <f>51.017</f>
        <v>51.017000000000003</v>
      </c>
      <c r="G16" s="79"/>
      <c r="H16" s="84"/>
    </row>
    <row r="17" spans="1:8" s="347" customFormat="1" x14ac:dyDescent="0.2">
      <c r="A17" s="71" t="s">
        <v>1092</v>
      </c>
      <c r="B17" s="665"/>
      <c r="C17" s="301">
        <f>504.98+6.329+4231.003</f>
        <v>4742.3119999999999</v>
      </c>
      <c r="D17" s="301"/>
      <c r="E17" s="301">
        <f>100.543+1.266</f>
        <v>101.80900000000001</v>
      </c>
      <c r="F17" s="301">
        <f>138.765+1.734</f>
        <v>140.499</v>
      </c>
      <c r="G17" s="79"/>
      <c r="H17" s="84"/>
    </row>
    <row r="18" spans="1:8" s="347" customFormat="1" x14ac:dyDescent="0.2">
      <c r="A18" s="71" t="s">
        <v>835</v>
      </c>
      <c r="B18" s="437"/>
      <c r="C18" s="301">
        <v>14210.11</v>
      </c>
      <c r="D18" s="301"/>
      <c r="E18" s="301">
        <v>1858.1089999999999</v>
      </c>
      <c r="F18" s="301">
        <v>1864.5050000000001</v>
      </c>
      <c r="G18" s="79"/>
      <c r="H18" s="84"/>
    </row>
    <row r="19" spans="1:8" s="347" customFormat="1" x14ac:dyDescent="0.2">
      <c r="A19" s="71" t="s">
        <v>836</v>
      </c>
      <c r="B19" s="437"/>
      <c r="C19" s="663">
        <f>11491.517+42.527</f>
        <v>11534.044</v>
      </c>
      <c r="D19" s="301"/>
      <c r="E19" s="301">
        <f>8908.61+43.152</f>
        <v>8951.7620000000006</v>
      </c>
      <c r="F19" s="301">
        <f>9258.624+215.065</f>
        <v>9473.6890000000003</v>
      </c>
      <c r="G19" s="79"/>
      <c r="H19" s="84"/>
    </row>
    <row r="20" spans="1:8" s="347" customFormat="1" x14ac:dyDescent="0.2">
      <c r="A20" s="71" t="s">
        <v>837</v>
      </c>
      <c r="B20" s="437"/>
      <c r="C20" s="301">
        <f>10736.894+1867.383</f>
        <v>12604.277</v>
      </c>
      <c r="D20" s="301"/>
      <c r="E20" s="301">
        <f>3326.501+1266.002</f>
        <v>4592.5030000000006</v>
      </c>
      <c r="F20" s="301">
        <f>2530.85+1352.846</f>
        <v>3883.6959999999999</v>
      </c>
      <c r="G20" s="79"/>
      <c r="H20" s="84"/>
    </row>
    <row r="21" spans="1:8" s="347" customFormat="1" x14ac:dyDescent="0.2">
      <c r="A21" s="105" t="s">
        <v>932</v>
      </c>
      <c r="B21" s="528"/>
      <c r="C21" s="301">
        <v>22254.35</v>
      </c>
      <c r="D21" s="301"/>
      <c r="E21" s="301">
        <v>2370.2649999999999</v>
      </c>
      <c r="F21" s="301">
        <v>2685.8090000000002</v>
      </c>
      <c r="G21" s="79"/>
      <c r="H21" s="84"/>
    </row>
    <row r="22" spans="1:8" s="347" customFormat="1" x14ac:dyDescent="0.2">
      <c r="A22" s="105" t="s">
        <v>933</v>
      </c>
      <c r="B22" s="528"/>
      <c r="C22" s="301">
        <v>2353.3310000000001</v>
      </c>
      <c r="D22" s="301"/>
      <c r="E22" s="301">
        <v>4968.2709999999997</v>
      </c>
      <c r="F22" s="301">
        <v>5036.2020000000002</v>
      </c>
      <c r="G22" s="79"/>
      <c r="H22" s="84"/>
    </row>
    <row r="23" spans="1:8" s="347" customFormat="1" x14ac:dyDescent="0.2">
      <c r="A23" s="420" t="s">
        <v>489</v>
      </c>
      <c r="B23" s="303"/>
      <c r="C23" s="304">
        <v>2200.7829999999999</v>
      </c>
      <c r="D23" s="304"/>
      <c r="E23" s="304">
        <v>1730.9749999999999</v>
      </c>
      <c r="F23" s="304">
        <v>1677.654</v>
      </c>
      <c r="G23" s="79"/>
      <c r="H23" s="84"/>
    </row>
    <row r="24" spans="1:8" s="347" customFormat="1" x14ac:dyDescent="0.2">
      <c r="A24" s="695" t="s">
        <v>55</v>
      </c>
      <c r="B24" s="695"/>
      <c r="C24" s="306">
        <f>SUM(C16:C23)</f>
        <v>75375.962</v>
      </c>
      <c r="D24" s="306"/>
      <c r="E24" s="306">
        <f>SUM(E16:E23)</f>
        <v>24630.508000000002</v>
      </c>
      <c r="F24" s="301">
        <f>SUM(F16:F23)</f>
        <v>24813.071</v>
      </c>
      <c r="G24" s="82"/>
      <c r="H24" s="84"/>
    </row>
    <row r="25" spans="1:8" s="347" customFormat="1" x14ac:dyDescent="0.2">
      <c r="A25" s="296"/>
      <c r="B25" s="296"/>
      <c r="C25" s="306"/>
      <c r="D25" s="306"/>
      <c r="E25" s="306"/>
      <c r="F25" s="301"/>
      <c r="G25" s="82"/>
      <c r="H25" s="84"/>
    </row>
    <row r="26" spans="1:8" s="347" customFormat="1" x14ac:dyDescent="0.2">
      <c r="A26" s="309" t="s">
        <v>56</v>
      </c>
      <c r="B26" s="310"/>
      <c r="C26" s="311"/>
      <c r="D26" s="355"/>
      <c r="E26" s="311">
        <f>E14+E24</f>
        <v>110365.22900000001</v>
      </c>
      <c r="F26" s="355">
        <f>F14+F24</f>
        <v>103087.68999999999</v>
      </c>
      <c r="G26" s="88"/>
    </row>
    <row r="27" spans="1:8" s="347" customFormat="1" x14ac:dyDescent="0.2"/>
    <row r="28" spans="1:8" s="347" customFormat="1" x14ac:dyDescent="0.2">
      <c r="A28" s="509"/>
      <c r="B28" s="383"/>
      <c r="C28" s="383"/>
      <c r="D28" s="18"/>
      <c r="E28" s="383"/>
      <c r="F28" s="383"/>
      <c r="G28" s="383"/>
    </row>
    <row r="29" spans="1:8" s="347" customFormat="1" ht="12.75" x14ac:dyDescent="0.2">
      <c r="A29" s="617" t="s">
        <v>1027</v>
      </c>
      <c r="B29" s="383"/>
      <c r="C29" s="383"/>
      <c r="D29" s="383"/>
      <c r="E29" s="383"/>
      <c r="F29" s="383"/>
      <c r="G29" s="383"/>
    </row>
    <row r="30" spans="1:8" s="347" customFormat="1" ht="12.75" x14ac:dyDescent="0.2">
      <c r="A30" s="617" t="s">
        <v>1028</v>
      </c>
      <c r="E30" s="84"/>
    </row>
    <row r="31" spans="1:8" s="347" customFormat="1" ht="12.75" x14ac:dyDescent="0.2">
      <c r="A31" s="617" t="s">
        <v>1029</v>
      </c>
    </row>
    <row r="32" spans="1:8" ht="12.75" x14ac:dyDescent="0.2">
      <c r="A32" s="617" t="s">
        <v>1030</v>
      </c>
      <c r="B32" s="19"/>
      <c r="C32" s="19"/>
      <c r="D32" s="19"/>
      <c r="E32" s="19"/>
      <c r="F32" s="19"/>
      <c r="G32" s="19"/>
    </row>
    <row r="33" spans="1:7" x14ac:dyDescent="0.2">
      <c r="A33" s="17" t="s">
        <v>1031</v>
      </c>
      <c r="B33" s="19"/>
      <c r="C33" s="19"/>
      <c r="D33" s="19"/>
      <c r="E33" s="19"/>
      <c r="F33" s="19"/>
      <c r="G33" s="19"/>
    </row>
    <row r="34" spans="1:7" x14ac:dyDescent="0.2">
      <c r="A34" s="19" t="s">
        <v>1132</v>
      </c>
      <c r="B34" s="19"/>
      <c r="C34" s="19"/>
      <c r="D34" s="19"/>
      <c r="E34" s="19"/>
      <c r="F34" s="19"/>
      <c r="G34" s="19"/>
    </row>
    <row r="35" spans="1:7" x14ac:dyDescent="0.2">
      <c r="A35" s="679"/>
      <c r="B35" s="19"/>
      <c r="C35" s="19"/>
      <c r="D35" s="19"/>
      <c r="E35" s="19"/>
      <c r="F35" s="19"/>
      <c r="G35" s="19"/>
    </row>
    <row r="36" spans="1:7" x14ac:dyDescent="0.2">
      <c r="A36" s="19"/>
      <c r="B36" s="19"/>
      <c r="C36" s="19"/>
      <c r="D36" s="19"/>
      <c r="E36" s="19"/>
      <c r="F36" s="19"/>
      <c r="G36" s="19"/>
    </row>
    <row r="37" spans="1:7" x14ac:dyDescent="0.2">
      <c r="A37" s="19"/>
      <c r="B37" s="19"/>
      <c r="C37" s="19"/>
      <c r="D37" s="19"/>
      <c r="E37" s="19"/>
      <c r="F37" s="19"/>
      <c r="G37" s="19"/>
    </row>
    <row r="38" spans="1:7" x14ac:dyDescent="0.2">
      <c r="A38" s="19"/>
      <c r="B38" s="19"/>
      <c r="C38" s="19"/>
      <c r="D38" s="19"/>
      <c r="E38" s="19"/>
      <c r="F38" s="19"/>
      <c r="G38" s="19"/>
    </row>
    <row r="39" spans="1:7" x14ac:dyDescent="0.2">
      <c r="A39" s="19"/>
      <c r="B39" s="19"/>
      <c r="C39" s="19"/>
      <c r="D39" s="19"/>
      <c r="E39" s="19"/>
      <c r="F39" s="19"/>
      <c r="G39" s="19"/>
    </row>
    <row r="40" spans="1:7" x14ac:dyDescent="0.2">
      <c r="A40" s="19"/>
      <c r="B40" s="19"/>
      <c r="C40" s="19"/>
      <c r="D40" s="19"/>
      <c r="E40" s="19"/>
      <c r="F40" s="19"/>
      <c r="G40" s="19"/>
    </row>
    <row r="41" spans="1:7" x14ac:dyDescent="0.2">
      <c r="A41" s="19"/>
      <c r="B41" s="19"/>
      <c r="C41" s="19"/>
      <c r="D41" s="19"/>
      <c r="E41" s="19"/>
      <c r="F41" s="19"/>
      <c r="G41" s="19"/>
    </row>
    <row r="42" spans="1:7" x14ac:dyDescent="0.2">
      <c r="A42" s="19"/>
      <c r="B42" s="19"/>
      <c r="C42" s="19"/>
      <c r="D42" s="19"/>
      <c r="E42" s="19"/>
      <c r="F42" s="19"/>
      <c r="G42" s="19"/>
    </row>
    <row r="43" spans="1:7" x14ac:dyDescent="0.2">
      <c r="A43" s="19"/>
      <c r="B43" s="19"/>
      <c r="C43" s="19"/>
      <c r="D43" s="19"/>
      <c r="E43" s="19"/>
      <c r="F43" s="19"/>
      <c r="G43" s="19"/>
    </row>
  </sheetData>
  <mergeCells count="3">
    <mergeCell ref="I13:K13"/>
    <mergeCell ref="A14:B14"/>
    <mergeCell ref="A24:B24"/>
  </mergeCells>
  <phoneticPr fontId="3"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 max="5"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tabColor rgb="FF00B050"/>
    <pageSetUpPr fitToPage="1"/>
  </sheetPr>
  <dimension ref="A1:H25"/>
  <sheetViews>
    <sheetView workbookViewId="0"/>
  </sheetViews>
  <sheetFormatPr baseColWidth="10" defaultColWidth="11" defaultRowHeight="12" x14ac:dyDescent="0.2"/>
  <cols>
    <col min="1" max="1" width="35" style="17" customWidth="1"/>
    <col min="2" max="2" width="1" style="17" customWidth="1"/>
    <col min="3" max="7" width="12.625" style="17" customWidth="1"/>
    <col min="8" max="8" width="11" style="17"/>
    <col min="9" max="9" width="31.25" style="17" customWidth="1"/>
    <col min="10" max="16384" width="11" style="17"/>
  </cols>
  <sheetData>
    <row r="1" spans="1:8" ht="14.25" x14ac:dyDescent="0.2">
      <c r="A1" s="348" t="s">
        <v>57</v>
      </c>
      <c r="B1" s="19"/>
      <c r="C1" s="19"/>
      <c r="D1" s="19"/>
      <c r="E1" s="19"/>
      <c r="F1" s="19"/>
      <c r="G1" s="19"/>
      <c r="H1" s="347"/>
    </row>
    <row r="2" spans="1:8" x14ac:dyDescent="0.2">
      <c r="A2" s="347" t="s">
        <v>58</v>
      </c>
      <c r="B2" s="19"/>
      <c r="C2" s="19"/>
      <c r="D2" s="19"/>
      <c r="E2" s="19"/>
      <c r="F2" s="19"/>
      <c r="G2" s="19"/>
      <c r="H2" s="347"/>
    </row>
    <row r="3" spans="1:8" x14ac:dyDescent="0.2">
      <c r="A3" s="106"/>
      <c r="B3" s="106"/>
      <c r="C3" s="297"/>
      <c r="D3" s="696" t="s">
        <v>904</v>
      </c>
      <c r="E3" s="297"/>
      <c r="F3" s="297"/>
      <c r="G3" s="297"/>
      <c r="H3" s="347"/>
    </row>
    <row r="4" spans="1:8" ht="24.75" thickBot="1" x14ac:dyDescent="0.25">
      <c r="A4" s="517">
        <v>2018</v>
      </c>
      <c r="B4" s="349"/>
      <c r="C4" s="340" t="s">
        <v>59</v>
      </c>
      <c r="D4" s="697"/>
      <c r="E4" s="262" t="s">
        <v>1158</v>
      </c>
      <c r="F4" s="262" t="s">
        <v>60</v>
      </c>
      <c r="G4" s="616" t="s">
        <v>1150</v>
      </c>
      <c r="H4" s="347"/>
    </row>
    <row r="5" spans="1:8" x14ac:dyDescent="0.2">
      <c r="A5" s="700" t="s">
        <v>61</v>
      </c>
      <c r="B5" s="700"/>
      <c r="C5" s="261">
        <f>306067*0.0125</f>
        <v>3825.8375000000001</v>
      </c>
      <c r="D5" s="261"/>
      <c r="E5" s="261"/>
      <c r="F5" s="261"/>
      <c r="G5" s="261"/>
      <c r="H5" s="120"/>
    </row>
    <row r="6" spans="1:8" x14ac:dyDescent="0.2">
      <c r="A6" s="700" t="s">
        <v>62</v>
      </c>
      <c r="B6" s="700"/>
      <c r="C6" s="261">
        <f>290597*0.0125</f>
        <v>3632.4625000000001</v>
      </c>
      <c r="D6" s="261"/>
      <c r="E6" s="261"/>
      <c r="F6" s="261"/>
      <c r="G6" s="261"/>
      <c r="H6" s="120"/>
    </row>
    <row r="7" spans="1:8" x14ac:dyDescent="0.2">
      <c r="A7" s="700" t="s">
        <v>63</v>
      </c>
      <c r="B7" s="700"/>
      <c r="C7" s="261">
        <f>-5161*0.0125</f>
        <v>-64.512500000000003</v>
      </c>
      <c r="D7" s="261"/>
      <c r="E7" s="261"/>
      <c r="F7" s="261"/>
      <c r="G7" s="261"/>
      <c r="H7" s="120"/>
    </row>
    <row r="8" spans="1:8" s="347" customFormat="1" x14ac:dyDescent="0.2">
      <c r="A8" s="700" t="s">
        <v>828</v>
      </c>
      <c r="B8" s="700"/>
      <c r="C8" s="261">
        <f>SUM(D8:G8)</f>
        <v>543</v>
      </c>
      <c r="D8" s="261">
        <v>62</v>
      </c>
      <c r="E8" s="261">
        <v>42</v>
      </c>
      <c r="F8" s="261">
        <v>275</v>
      </c>
      <c r="G8" s="261">
        <v>164</v>
      </c>
      <c r="H8" s="120"/>
    </row>
    <row r="9" spans="1:8" x14ac:dyDescent="0.2">
      <c r="A9" s="309" t="s">
        <v>64</v>
      </c>
      <c r="B9" s="309"/>
      <c r="C9" s="350">
        <f>SUM(C5:C8)</f>
        <v>7936.7875000000004</v>
      </c>
      <c r="D9" s="350">
        <f t="shared" ref="D9:F9" si="0">SUM(D5:D8)</f>
        <v>62</v>
      </c>
      <c r="E9" s="350">
        <f t="shared" si="0"/>
        <v>42</v>
      </c>
      <c r="F9" s="350">
        <f t="shared" si="0"/>
        <v>275</v>
      </c>
      <c r="G9" s="350">
        <f t="shared" ref="G9" si="1">SUM(G5:G8)</f>
        <v>164</v>
      </c>
      <c r="H9" s="120"/>
    </row>
    <row r="10" spans="1:8" x14ac:dyDescent="0.2">
      <c r="A10" s="383"/>
      <c r="B10" s="383"/>
      <c r="C10" s="351"/>
      <c r="D10" s="351"/>
      <c r="E10" s="351"/>
      <c r="F10" s="351"/>
      <c r="G10" s="351"/>
      <c r="H10" s="120"/>
    </row>
    <row r="11" spans="1:8" s="347" customFormat="1" x14ac:dyDescent="0.2">
      <c r="A11" s="106"/>
      <c r="B11" s="106"/>
      <c r="C11" s="297"/>
      <c r="D11" s="696" t="s">
        <v>904</v>
      </c>
      <c r="E11" s="297"/>
      <c r="F11" s="297"/>
      <c r="G11" s="351"/>
      <c r="H11" s="120"/>
    </row>
    <row r="12" spans="1:8" s="347" customFormat="1" ht="27" thickBot="1" x14ac:dyDescent="0.25">
      <c r="A12" s="517">
        <v>2017</v>
      </c>
      <c r="B12" s="349"/>
      <c r="C12" s="439" t="s">
        <v>50</v>
      </c>
      <c r="D12" s="697"/>
      <c r="E12" s="684" t="s">
        <v>1158</v>
      </c>
      <c r="F12" s="439" t="s">
        <v>65</v>
      </c>
      <c r="G12" s="684" t="s">
        <v>1159</v>
      </c>
      <c r="H12" s="120"/>
    </row>
    <row r="13" spans="1:8" s="347" customFormat="1" x14ac:dyDescent="0.2">
      <c r="A13" s="700" t="s">
        <v>66</v>
      </c>
      <c r="B13" s="700"/>
      <c r="C13" s="261">
        <f>300728*0.0125</f>
        <v>3759.1000000000004</v>
      </c>
      <c r="D13" s="261"/>
      <c r="E13" s="261"/>
      <c r="F13" s="261"/>
      <c r="G13" s="261"/>
      <c r="H13" s="120"/>
    </row>
    <row r="14" spans="1:8" s="347" customFormat="1" x14ac:dyDescent="0.2">
      <c r="A14" s="700" t="s">
        <v>67</v>
      </c>
      <c r="B14" s="700"/>
      <c r="C14" s="261">
        <f>272470*0.0125</f>
        <v>3405.875</v>
      </c>
      <c r="D14" s="261"/>
      <c r="E14" s="261"/>
      <c r="F14" s="261"/>
      <c r="G14" s="261"/>
      <c r="H14" s="120"/>
    </row>
    <row r="15" spans="1:8" s="347" customFormat="1" x14ac:dyDescent="0.2">
      <c r="A15" s="700" t="s">
        <v>68</v>
      </c>
      <c r="B15" s="700"/>
      <c r="C15" s="261">
        <f>-19635*0.0125</f>
        <v>-245.4375</v>
      </c>
      <c r="D15" s="261"/>
      <c r="E15" s="261"/>
      <c r="F15" s="261"/>
      <c r="G15" s="261"/>
      <c r="H15" s="120"/>
    </row>
    <row r="16" spans="1:8" s="347" customFormat="1" x14ac:dyDescent="0.2">
      <c r="A16" s="700" t="s">
        <v>828</v>
      </c>
      <c r="B16" s="700"/>
      <c r="C16" s="261">
        <f>SUM(D16:G16)</f>
        <v>510</v>
      </c>
      <c r="D16" s="261">
        <v>70</v>
      </c>
      <c r="E16" s="261">
        <v>52</v>
      </c>
      <c r="F16" s="261">
        <v>256</v>
      </c>
      <c r="G16" s="261">
        <v>132</v>
      </c>
      <c r="H16" s="120"/>
    </row>
    <row r="17" spans="1:8" x14ac:dyDescent="0.2">
      <c r="A17" s="309" t="s">
        <v>69</v>
      </c>
      <c r="B17" s="309"/>
      <c r="C17" s="350">
        <f>SUM(C13:C16)</f>
        <v>7429.5375000000004</v>
      </c>
      <c r="D17" s="350">
        <f t="shared" ref="D17:G17" si="2">SUM(D13:D16)</f>
        <v>70</v>
      </c>
      <c r="E17" s="350">
        <f t="shared" si="2"/>
        <v>52</v>
      </c>
      <c r="F17" s="350">
        <f t="shared" si="2"/>
        <v>256</v>
      </c>
      <c r="G17" s="350">
        <f t="shared" si="2"/>
        <v>132</v>
      </c>
      <c r="H17" s="120"/>
    </row>
    <row r="18" spans="1:8" x14ac:dyDescent="0.2">
      <c r="A18" s="383"/>
      <c r="B18" s="383"/>
      <c r="C18" s="351"/>
      <c r="D18" s="351"/>
      <c r="E18" s="351"/>
      <c r="F18" s="351"/>
      <c r="G18" s="351"/>
      <c r="H18" s="120"/>
    </row>
    <row r="19" spans="1:8" x14ac:dyDescent="0.2">
      <c r="A19" s="383"/>
      <c r="B19" s="383"/>
      <c r="C19" s="351"/>
      <c r="D19" s="351"/>
      <c r="E19" s="351"/>
      <c r="F19" s="351"/>
      <c r="G19" s="351"/>
      <c r="H19" s="120"/>
    </row>
    <row r="20" spans="1:8" x14ac:dyDescent="0.2">
      <c r="A20" s="698" t="s">
        <v>868</v>
      </c>
      <c r="B20" s="699"/>
      <c r="C20" s="699"/>
      <c r="D20" s="699"/>
      <c r="E20" s="699"/>
      <c r="F20" s="699"/>
      <c r="G20" s="699"/>
      <c r="H20" s="347"/>
    </row>
    <row r="21" spans="1:8" x14ac:dyDescent="0.2">
      <c r="A21" s="698" t="s">
        <v>876</v>
      </c>
      <c r="B21" s="699"/>
      <c r="C21" s="699"/>
      <c r="D21" s="699"/>
      <c r="E21" s="699"/>
      <c r="F21" s="699"/>
      <c r="G21" s="699"/>
      <c r="H21" s="347"/>
    </row>
    <row r="22" spans="1:8" x14ac:dyDescent="0.2">
      <c r="A22" s="509" t="s">
        <v>875</v>
      </c>
      <c r="B22" s="383"/>
      <c r="C22" s="383"/>
      <c r="D22" s="383"/>
      <c r="E22" s="383"/>
      <c r="F22" s="383"/>
      <c r="G22" s="383"/>
      <c r="H22" s="347"/>
    </row>
    <row r="23" spans="1:8" x14ac:dyDescent="0.2">
      <c r="A23" s="383"/>
      <c r="B23" s="383"/>
      <c r="C23" s="383"/>
      <c r="D23" s="383"/>
      <c r="E23" s="383"/>
      <c r="F23" s="383"/>
      <c r="G23" s="383"/>
      <c r="H23" s="347"/>
    </row>
    <row r="24" spans="1:8" ht="14.25" x14ac:dyDescent="0.2">
      <c r="A24" s="601" t="s">
        <v>1160</v>
      </c>
      <c r="B24" s="383"/>
      <c r="C24" s="383"/>
      <c r="D24" s="383"/>
      <c r="E24" s="383"/>
      <c r="F24" s="383"/>
      <c r="G24" s="383"/>
    </row>
    <row r="25" spans="1:8" x14ac:dyDescent="0.2">
      <c r="A25" s="347"/>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oddFooter>&amp;R&amp;A</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showGridLines="0" zoomScaleNormal="100" workbookViewId="0"/>
  </sheetViews>
  <sheetFormatPr baseColWidth="10" defaultColWidth="11" defaultRowHeight="12" x14ac:dyDescent="0.2"/>
  <cols>
    <col min="1" max="1" width="20.375" style="17" customWidth="1"/>
    <col min="2" max="2" width="2.75" style="17" customWidth="1"/>
    <col min="3" max="3" width="47.625" style="17" bestFit="1" customWidth="1"/>
    <col min="4" max="4" width="12" style="17" customWidth="1"/>
    <col min="5" max="5" width="10.625" style="17" customWidth="1"/>
    <col min="6" max="6" width="9.875" style="17" customWidth="1"/>
    <col min="7" max="9" width="11" style="17"/>
    <col min="10" max="10" width="9.875" style="17" bestFit="1" customWidth="1"/>
    <col min="11" max="11" width="19.75" style="17" bestFit="1" customWidth="1"/>
    <col min="12" max="16384" width="11" style="17"/>
  </cols>
  <sheetData>
    <row r="1" spans="1:7" x14ac:dyDescent="0.2">
      <c r="A1" s="507" t="s">
        <v>848</v>
      </c>
      <c r="B1" s="32"/>
      <c r="C1" s="32"/>
      <c r="D1" s="121"/>
      <c r="E1" s="121"/>
    </row>
    <row r="2" spans="1:7" x14ac:dyDescent="0.2">
      <c r="C2" s="32"/>
      <c r="D2" s="36"/>
      <c r="E2" s="32"/>
    </row>
    <row r="3" spans="1:7" x14ac:dyDescent="0.2">
      <c r="A3" s="68"/>
      <c r="B3" s="68"/>
      <c r="C3" s="68"/>
      <c r="D3" s="122"/>
      <c r="E3" s="36"/>
      <c r="F3" s="68"/>
      <c r="G3" s="68"/>
    </row>
    <row r="4" spans="1:7" ht="24" x14ac:dyDescent="0.2">
      <c r="A4" s="701" t="s">
        <v>395</v>
      </c>
      <c r="B4" s="701"/>
      <c r="C4" s="123" t="s">
        <v>396</v>
      </c>
      <c r="D4" s="124" t="s">
        <v>397</v>
      </c>
      <c r="E4" s="508" t="s">
        <v>849</v>
      </c>
      <c r="F4" s="125">
        <v>2017</v>
      </c>
      <c r="G4" s="126">
        <v>2016</v>
      </c>
    </row>
    <row r="5" spans="1:7" x14ac:dyDescent="0.2">
      <c r="A5" s="41"/>
      <c r="B5" s="127"/>
      <c r="C5" s="40"/>
      <c r="D5" s="36"/>
      <c r="E5" s="36"/>
      <c r="F5" s="41"/>
      <c r="G5" s="42"/>
    </row>
    <row r="6" spans="1:7" x14ac:dyDescent="0.2">
      <c r="A6" s="702" t="s">
        <v>398</v>
      </c>
      <c r="B6" s="702"/>
      <c r="C6" s="2"/>
      <c r="D6" s="128"/>
      <c r="E6" s="128"/>
      <c r="F6" s="129"/>
      <c r="G6" s="130"/>
    </row>
    <row r="7" spans="1:7" x14ac:dyDescent="0.2">
      <c r="A7" s="131" t="s">
        <v>1093</v>
      </c>
      <c r="B7" s="132"/>
      <c r="C7" s="2" t="s">
        <v>1095</v>
      </c>
      <c r="D7" s="128">
        <v>2029</v>
      </c>
      <c r="E7" s="128">
        <v>2024</v>
      </c>
      <c r="F7" s="133">
        <v>300</v>
      </c>
      <c r="G7" s="134"/>
    </row>
    <row r="8" spans="1:7" ht="12.75" x14ac:dyDescent="0.2">
      <c r="A8" s="131" t="s">
        <v>1094</v>
      </c>
      <c r="B8" s="132"/>
      <c r="C8" s="2" t="s">
        <v>1096</v>
      </c>
      <c r="D8" s="128">
        <v>2028</v>
      </c>
      <c r="E8" s="670">
        <v>0</v>
      </c>
      <c r="F8" s="133">
        <v>625</v>
      </c>
      <c r="G8" s="134"/>
    </row>
    <row r="9" spans="1:7" x14ac:dyDescent="0.2">
      <c r="A9" s="131" t="s">
        <v>399</v>
      </c>
      <c r="B9" s="132"/>
      <c r="C9" s="2" t="s">
        <v>934</v>
      </c>
      <c r="D9" s="128">
        <v>2023</v>
      </c>
      <c r="E9" s="128">
        <v>2018</v>
      </c>
      <c r="F9" s="133">
        <v>499</v>
      </c>
      <c r="G9" s="134">
        <v>499</v>
      </c>
    </row>
    <row r="10" spans="1:7" s="347" customFormat="1" x14ac:dyDescent="0.2">
      <c r="A10" s="131" t="s">
        <v>936</v>
      </c>
      <c r="B10" s="132"/>
      <c r="C10" s="2" t="s">
        <v>1097</v>
      </c>
      <c r="D10" s="128">
        <v>2030</v>
      </c>
      <c r="E10" s="128">
        <v>2030</v>
      </c>
      <c r="F10" s="133">
        <v>492</v>
      </c>
      <c r="G10" s="134">
        <v>465</v>
      </c>
    </row>
    <row r="11" spans="1:7" ht="12.75" x14ac:dyDescent="0.2">
      <c r="A11" s="131" t="s">
        <v>400</v>
      </c>
      <c r="B11" s="132"/>
      <c r="C11" s="2" t="s">
        <v>935</v>
      </c>
      <c r="D11" s="128">
        <v>2022</v>
      </c>
      <c r="E11" s="128">
        <v>2017</v>
      </c>
      <c r="F11" s="670">
        <v>0</v>
      </c>
      <c r="G11" s="134">
        <v>825</v>
      </c>
    </row>
    <row r="12" spans="1:7" x14ac:dyDescent="0.2">
      <c r="A12" s="424" t="s">
        <v>401</v>
      </c>
      <c r="B12" s="135"/>
      <c r="C12" s="136"/>
      <c r="D12" s="137"/>
      <c r="E12" s="137"/>
      <c r="F12" s="138">
        <f>SUM(F7:F11)</f>
        <v>1916</v>
      </c>
      <c r="G12" s="139">
        <f>SUM(G7:G11)</f>
        <v>1789</v>
      </c>
    </row>
    <row r="13" spans="1:7" x14ac:dyDescent="0.2">
      <c r="A13" s="131"/>
      <c r="B13" s="132"/>
      <c r="C13" s="2"/>
      <c r="D13" s="140"/>
      <c r="E13" s="140"/>
      <c r="F13" s="129"/>
      <c r="G13" s="130"/>
    </row>
    <row r="14" spans="1:7" ht="14.25" x14ac:dyDescent="0.2">
      <c r="A14" s="141"/>
      <c r="B14" s="142"/>
      <c r="C14" s="5"/>
      <c r="D14" s="140"/>
      <c r="E14" s="140"/>
      <c r="F14" s="143"/>
      <c r="G14" s="144"/>
    </row>
    <row r="15" spans="1:7" ht="14.25" x14ac:dyDescent="0.2">
      <c r="A15" s="702" t="s">
        <v>402</v>
      </c>
      <c r="B15" s="702"/>
      <c r="C15" s="145"/>
      <c r="D15" s="5"/>
      <c r="E15" s="5"/>
      <c r="F15" s="146"/>
      <c r="G15" s="147"/>
    </row>
    <row r="16" spans="1:7" x14ac:dyDescent="0.2">
      <c r="A16" s="148" t="s">
        <v>403</v>
      </c>
      <c r="B16" s="132"/>
      <c r="C16" s="2" t="s">
        <v>937</v>
      </c>
      <c r="D16" s="65"/>
      <c r="E16" s="382">
        <v>2019</v>
      </c>
      <c r="F16" s="133">
        <v>723</v>
      </c>
      <c r="G16" s="134">
        <v>732</v>
      </c>
    </row>
    <row r="17" spans="1:12" x14ac:dyDescent="0.2">
      <c r="A17" s="149" t="s">
        <v>404</v>
      </c>
      <c r="B17" s="150"/>
      <c r="C17" s="535" t="s">
        <v>1098</v>
      </c>
      <c r="D17" s="151"/>
      <c r="E17" s="536">
        <v>2019</v>
      </c>
      <c r="F17" s="537">
        <v>116</v>
      </c>
      <c r="G17" s="583">
        <v>116</v>
      </c>
    </row>
    <row r="18" spans="1:12" x14ac:dyDescent="0.2">
      <c r="A18" s="152" t="s">
        <v>405</v>
      </c>
      <c r="B18" s="150"/>
      <c r="C18" s="153"/>
      <c r="D18" s="151"/>
      <c r="E18" s="151"/>
      <c r="F18" s="138">
        <f>SUM(F16:F17)</f>
        <v>839</v>
      </c>
      <c r="G18" s="139">
        <f>SUM(G16:G17)</f>
        <v>848</v>
      </c>
    </row>
    <row r="19" spans="1:12" x14ac:dyDescent="0.2">
      <c r="A19" s="131"/>
      <c r="B19" s="154"/>
      <c r="C19" s="2"/>
      <c r="D19" s="2"/>
      <c r="E19" s="2"/>
      <c r="F19" s="9"/>
      <c r="G19" s="2"/>
    </row>
    <row r="20" spans="1:12" x14ac:dyDescent="0.2">
      <c r="A20" s="131" t="s">
        <v>406</v>
      </c>
      <c r="B20" s="154"/>
      <c r="C20" s="2"/>
      <c r="D20" s="2"/>
      <c r="E20" s="2"/>
      <c r="F20" s="133">
        <v>9</v>
      </c>
      <c r="G20" s="134">
        <v>9</v>
      </c>
    </row>
    <row r="21" spans="1:12" x14ac:dyDescent="0.2">
      <c r="A21" s="131"/>
      <c r="B21" s="154"/>
      <c r="C21" s="2"/>
      <c r="D21" s="2"/>
      <c r="E21" s="2"/>
      <c r="F21" s="9"/>
      <c r="G21" s="2"/>
    </row>
    <row r="22" spans="1:12" x14ac:dyDescent="0.2">
      <c r="A22" s="425" t="s">
        <v>407</v>
      </c>
      <c r="B22" s="155"/>
      <c r="C22" s="136"/>
      <c r="D22" s="156"/>
      <c r="E22" s="156"/>
      <c r="F22" s="138">
        <f>+F20+F18+F12</f>
        <v>2764</v>
      </c>
      <c r="G22" s="139">
        <f>+G20+G18+G12</f>
        <v>2646</v>
      </c>
    </row>
    <row r="24" spans="1:12" x14ac:dyDescent="0.2">
      <c r="A24" s="426" t="s">
        <v>1133</v>
      </c>
      <c r="B24" s="68"/>
      <c r="C24" s="157"/>
      <c r="D24" s="157"/>
      <c r="E24" s="157"/>
      <c r="F24" s="157"/>
      <c r="G24" s="157"/>
      <c r="H24" s="68"/>
      <c r="I24" s="68"/>
    </row>
    <row r="25" spans="1:12" x14ac:dyDescent="0.2">
      <c r="A25" s="426" t="s">
        <v>1099</v>
      </c>
      <c r="B25" s="68"/>
      <c r="C25" s="157"/>
      <c r="D25" s="157"/>
      <c r="E25" s="157"/>
      <c r="F25" s="157"/>
      <c r="G25" s="157"/>
      <c r="H25" s="68"/>
      <c r="I25" s="68"/>
    </row>
    <row r="26" spans="1:12" x14ac:dyDescent="0.2">
      <c r="A26" s="426" t="s">
        <v>1134</v>
      </c>
      <c r="B26" s="68"/>
      <c r="C26" s="157"/>
      <c r="D26" s="157"/>
      <c r="E26" s="157"/>
      <c r="F26" s="157"/>
      <c r="G26" s="157"/>
      <c r="H26" s="68"/>
      <c r="I26" s="68"/>
    </row>
    <row r="27" spans="1:12" x14ac:dyDescent="0.2">
      <c r="A27" s="705"/>
      <c r="B27" s="705"/>
      <c r="C27" s="705"/>
      <c r="D27" s="705"/>
      <c r="E27" s="705"/>
      <c r="F27" s="705"/>
      <c r="G27" s="68"/>
      <c r="H27" s="68"/>
      <c r="I27" s="68"/>
      <c r="J27" s="68"/>
      <c r="K27" s="68"/>
      <c r="L27" s="68"/>
    </row>
    <row r="28" spans="1:12" x14ac:dyDescent="0.2">
      <c r="A28" s="384"/>
    </row>
    <row r="31" spans="1:12" ht="12.75" x14ac:dyDescent="0.2">
      <c r="B31" s="158"/>
      <c r="C31" s="158"/>
      <c r="D31" s="158"/>
      <c r="E31" s="158"/>
      <c r="F31" s="158"/>
      <c r="G31" s="158"/>
    </row>
    <row r="32" spans="1:12" x14ac:dyDescent="0.2">
      <c r="B32" s="159"/>
      <c r="C32" s="159"/>
      <c r="D32" s="159"/>
      <c r="E32" s="159"/>
      <c r="F32" s="703"/>
      <c r="G32" s="704"/>
    </row>
    <row r="58" spans="10:12" ht="12.75" x14ac:dyDescent="0.2">
      <c r="J58" s="68"/>
      <c r="K58" s="158"/>
      <c r="L58" s="158"/>
    </row>
    <row r="59" spans="10:12" ht="12.75" x14ac:dyDescent="0.2">
      <c r="J59" s="68"/>
      <c r="K59" s="158"/>
      <c r="L59" s="158"/>
    </row>
    <row r="60" spans="10:12" ht="12.75" x14ac:dyDescent="0.2">
      <c r="J60" s="68"/>
      <c r="K60" s="158"/>
      <c r="L60" s="158"/>
    </row>
    <row r="61" spans="10:12" ht="12.75" x14ac:dyDescent="0.2">
      <c r="J61" s="68"/>
      <c r="K61" s="158"/>
      <c r="L61" s="158"/>
    </row>
    <row r="62" spans="10:12" ht="12.75" x14ac:dyDescent="0.2">
      <c r="J62" s="68"/>
      <c r="K62" s="158"/>
      <c r="L62" s="158"/>
    </row>
  </sheetData>
  <mergeCells count="5">
    <mergeCell ref="A4:B4"/>
    <mergeCell ref="A6:B6"/>
    <mergeCell ref="A15:B15"/>
    <mergeCell ref="F32:G32"/>
    <mergeCell ref="A27:F27"/>
  </mergeCells>
  <pageMargins left="0.74803149606299213" right="0.27559055118110237" top="0.98425196850393704" bottom="0.98425196850393704" header="0.51181102362204722" footer="0.51181102362204722"/>
  <pageSetup paperSize="9" scale="79" orientation="portrait" r:id="rId1"/>
  <headerFooter>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24"/>
  <sheetViews>
    <sheetView zoomScaleNormal="100" workbookViewId="0"/>
  </sheetViews>
  <sheetFormatPr baseColWidth="10" defaultColWidth="11" defaultRowHeight="12" x14ac:dyDescent="0.2"/>
  <cols>
    <col min="1" max="1" width="24.5" style="313" customWidth="1"/>
    <col min="2" max="2" width="14.25" style="313" customWidth="1"/>
    <col min="3" max="3" width="12.875" style="313" customWidth="1"/>
    <col min="4" max="4" width="11.5" style="313" customWidth="1"/>
    <col min="5" max="5" width="10.375" style="313" customWidth="1"/>
    <col min="6" max="6" width="10.375" style="17" customWidth="1"/>
    <col min="7" max="16384" width="11" style="17"/>
  </cols>
  <sheetData>
    <row r="1" spans="1:11" x14ac:dyDescent="0.2">
      <c r="A1" s="510" t="s">
        <v>853</v>
      </c>
      <c r="B1" s="85"/>
    </row>
    <row r="2" spans="1:11" x14ac:dyDescent="0.2">
      <c r="A2" s="81" t="s">
        <v>341</v>
      </c>
      <c r="B2" s="85"/>
      <c r="H2" s="276"/>
      <c r="I2" s="276"/>
      <c r="J2" s="276"/>
      <c r="K2" s="276"/>
    </row>
    <row r="3" spans="1:11" x14ac:dyDescent="0.2">
      <c r="A3" s="90"/>
      <c r="B3" s="85"/>
      <c r="H3" s="276"/>
      <c r="I3" s="276"/>
      <c r="J3" s="276"/>
      <c r="K3" s="276"/>
    </row>
    <row r="4" spans="1:11" ht="12.75" thickBot="1" x14ac:dyDescent="0.25">
      <c r="A4" s="367">
        <v>2017</v>
      </c>
      <c r="B4" s="340" t="s">
        <v>342</v>
      </c>
      <c r="C4" s="160" t="s">
        <v>343</v>
      </c>
      <c r="D4" s="160" t="s">
        <v>344</v>
      </c>
      <c r="E4" s="160" t="s">
        <v>345</v>
      </c>
      <c r="F4" s="74"/>
      <c r="H4" s="276"/>
      <c r="I4" s="276"/>
      <c r="J4" s="276"/>
      <c r="K4" s="276"/>
    </row>
    <row r="5" spans="1:11" x14ac:dyDescent="0.2">
      <c r="A5" s="85" t="s">
        <v>346</v>
      </c>
      <c r="B5" s="98">
        <v>117331</v>
      </c>
      <c r="C5" s="98">
        <v>15250</v>
      </c>
      <c r="D5" s="98">
        <v>5997</v>
      </c>
      <c r="E5" s="98">
        <f>SUM(B5:D5)</f>
        <v>138578</v>
      </c>
      <c r="F5" s="161"/>
    </row>
    <row r="6" spans="1:11" x14ac:dyDescent="0.2">
      <c r="A6" s="85" t="s">
        <v>347</v>
      </c>
      <c r="B6" s="98">
        <v>15848</v>
      </c>
      <c r="C6" s="98">
        <v>2088</v>
      </c>
      <c r="D6" s="98">
        <v>822</v>
      </c>
      <c r="E6" s="98">
        <f t="shared" ref="E6:E8" si="0">SUM(B6:D6)</f>
        <v>18758</v>
      </c>
      <c r="F6" s="161"/>
    </row>
    <row r="7" spans="1:11" x14ac:dyDescent="0.2">
      <c r="A7" s="15" t="s">
        <v>348</v>
      </c>
      <c r="B7" s="98">
        <v>26651</v>
      </c>
      <c r="C7" s="98">
        <v>3608</v>
      </c>
      <c r="D7" s="98">
        <v>1517</v>
      </c>
      <c r="E7" s="98">
        <f t="shared" si="0"/>
        <v>31776</v>
      </c>
      <c r="F7" s="161"/>
    </row>
    <row r="8" spans="1:11" x14ac:dyDescent="0.2">
      <c r="A8" s="15" t="s">
        <v>349</v>
      </c>
      <c r="B8" s="98">
        <v>12724</v>
      </c>
      <c r="C8" s="98">
        <v>1766</v>
      </c>
      <c r="D8" s="98">
        <v>784</v>
      </c>
      <c r="E8" s="98">
        <f t="shared" si="0"/>
        <v>15274</v>
      </c>
      <c r="F8" s="161"/>
    </row>
    <row r="9" spans="1:11" x14ac:dyDescent="0.2">
      <c r="A9" s="99" t="s">
        <v>350</v>
      </c>
      <c r="B9" s="162">
        <f>SUM(B5:B8)</f>
        <v>172554</v>
      </c>
      <c r="C9" s="162">
        <f>SUM(C5:C8)</f>
        <v>22712</v>
      </c>
      <c r="D9" s="162">
        <f>SUM(D5:D8)</f>
        <v>9120</v>
      </c>
      <c r="E9" s="162">
        <f>SUM(E5:E8)</f>
        <v>204386</v>
      </c>
      <c r="F9" s="161"/>
      <c r="I9" s="23"/>
    </row>
    <row r="10" spans="1:11" x14ac:dyDescent="0.2">
      <c r="A10" s="347"/>
      <c r="B10" s="347"/>
      <c r="C10" s="347"/>
      <c r="D10" s="347"/>
      <c r="E10" s="347"/>
      <c r="F10" s="15"/>
      <c r="I10" s="23"/>
    </row>
    <row r="11" spans="1:11" x14ac:dyDescent="0.2">
      <c r="A11" s="347"/>
      <c r="B11" s="347"/>
      <c r="C11" s="347"/>
      <c r="D11" s="347"/>
      <c r="E11" s="347"/>
      <c r="F11" s="74"/>
    </row>
    <row r="12" spans="1:11" ht="12.75" thickBot="1" x14ac:dyDescent="0.25">
      <c r="A12" s="367">
        <v>2016</v>
      </c>
      <c r="B12" s="117" t="s">
        <v>854</v>
      </c>
      <c r="C12" s="511" t="s">
        <v>855</v>
      </c>
      <c r="D12" s="511" t="s">
        <v>856</v>
      </c>
      <c r="E12" s="511" t="s">
        <v>857</v>
      </c>
      <c r="F12" s="98"/>
    </row>
    <row r="13" spans="1:11" x14ac:dyDescent="0.2">
      <c r="A13" s="85" t="s">
        <v>351</v>
      </c>
      <c r="B13" s="98">
        <v>109307</v>
      </c>
      <c r="C13" s="98">
        <v>14587</v>
      </c>
      <c r="D13" s="98">
        <v>6820</v>
      </c>
      <c r="E13" s="98">
        <f>SUM(B13:D13)</f>
        <v>130714</v>
      </c>
      <c r="F13" s="98"/>
      <c r="I13" s="23"/>
    </row>
    <row r="14" spans="1:11" x14ac:dyDescent="0.2">
      <c r="A14" s="85" t="s">
        <v>352</v>
      </c>
      <c r="B14" s="98">
        <v>13985</v>
      </c>
      <c r="C14" s="98">
        <v>1866</v>
      </c>
      <c r="D14" s="98">
        <v>873</v>
      </c>
      <c r="E14" s="98">
        <f t="shared" ref="E14:E16" si="1">SUM(B14:D14)</f>
        <v>16724</v>
      </c>
      <c r="F14" s="98"/>
    </row>
    <row r="15" spans="1:11" x14ac:dyDescent="0.2">
      <c r="A15" s="15" t="s">
        <v>353</v>
      </c>
      <c r="B15" s="98">
        <v>24118</v>
      </c>
      <c r="C15" s="98">
        <v>3219</v>
      </c>
      <c r="D15" s="98">
        <v>1505</v>
      </c>
      <c r="E15" s="98">
        <f t="shared" si="1"/>
        <v>28842</v>
      </c>
      <c r="F15" s="98"/>
    </row>
    <row r="16" spans="1:11" x14ac:dyDescent="0.2">
      <c r="A16" s="15" t="s">
        <v>88</v>
      </c>
      <c r="B16" s="98">
        <v>10228</v>
      </c>
      <c r="C16" s="98">
        <v>1365</v>
      </c>
      <c r="D16" s="98">
        <v>637</v>
      </c>
      <c r="E16" s="98">
        <f t="shared" si="1"/>
        <v>12230</v>
      </c>
      <c r="F16" s="98"/>
    </row>
    <row r="17" spans="1:14" x14ac:dyDescent="0.2">
      <c r="A17" s="99" t="s">
        <v>354</v>
      </c>
      <c r="B17" s="162">
        <f>SUM(B13:B16)</f>
        <v>157638</v>
      </c>
      <c r="C17" s="162">
        <f>SUM(C13:C16)</f>
        <v>21037</v>
      </c>
      <c r="D17" s="162">
        <f>SUM(D13:D16)</f>
        <v>9835</v>
      </c>
      <c r="E17" s="162">
        <f>SUM(E13:E16)</f>
        <v>188510</v>
      </c>
      <c r="F17" s="15"/>
    </row>
    <row r="19" spans="1:14" x14ac:dyDescent="0.2">
      <c r="J19" s="163"/>
      <c r="K19" s="164"/>
      <c r="L19" s="276"/>
      <c r="M19" s="276"/>
      <c r="N19" s="276"/>
    </row>
    <row r="20" spans="1:14" x14ac:dyDescent="0.2">
      <c r="K20" s="164"/>
      <c r="L20" s="276"/>
      <c r="M20" s="276"/>
      <c r="N20" s="276"/>
    </row>
    <row r="21" spans="1:14" x14ac:dyDescent="0.2">
      <c r="L21" s="276"/>
      <c r="M21" s="276"/>
      <c r="N21" s="276"/>
    </row>
    <row r="22" spans="1:14" x14ac:dyDescent="0.2">
      <c r="L22" s="164"/>
      <c r="M22" s="276"/>
      <c r="N22" s="164"/>
    </row>
    <row r="23" spans="1:14" x14ac:dyDescent="0.2">
      <c r="L23" s="276"/>
      <c r="M23" s="276"/>
      <c r="N23" s="276"/>
    </row>
    <row r="24" spans="1:14" x14ac:dyDescent="0.2">
      <c r="L24" s="276"/>
      <c r="M24" s="276"/>
      <c r="N24" s="276"/>
    </row>
  </sheetData>
  <phoneticPr fontId="3" type="noConversion"/>
  <pageMargins left="0.74803149606299213" right="0.74803149606299213" top="0.98425196850393704" bottom="0.98425196850393704" header="0.51181102362204722" footer="0.51181102362204722"/>
  <pageSetup paperSize="9" scale="82" orientation="portrait" r:id="rId1"/>
  <headerFooter>
    <oddFooter>&amp;R&amp;A</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34</vt:i4>
      </vt:variant>
      <vt:variant>
        <vt:lpstr>Navngitte områder</vt:lpstr>
      </vt:variant>
      <vt:variant>
        <vt:i4>25</vt:i4>
      </vt:variant>
    </vt:vector>
  </HeadingPairs>
  <TitlesOfParts>
    <vt:vector size="59"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'21'!Utskriftsområde</vt:lpstr>
      <vt:lpstr>'22'!Utskriftsområde</vt:lpstr>
      <vt:lpstr>'23'!Utskriftsområde</vt:lpstr>
      <vt:lpstr>'24'!Utskriftsområde</vt:lpstr>
      <vt:lpstr>'25'!Utskriftsområde</vt:lpstr>
      <vt:lpstr>'26'!Utskriftsområde</vt:lpstr>
      <vt:lpstr>'27'!Utskriftsområde</vt:lpstr>
      <vt:lpstr>'3'!Utskriftsområde</vt:lpstr>
      <vt:lpstr>'4'!Utskriftsområde</vt:lpstr>
      <vt:lpstr>'5'!Utskriftsområde</vt:lpstr>
      <vt:lpstr>'7'!Utskriftsområde</vt:lpstr>
      <vt:lpstr>'8'!Utskriftsområde</vt:lpstr>
      <vt:lpstr>'9'!Utskriftsområde</vt:lpstr>
    </vt:vector>
  </TitlesOfParts>
  <Company>SR-Bank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Hanne Kathrin Westgård Østråt</cp:lastModifiedBy>
  <cp:lastPrinted>2015-03-25T08:27:20Z</cp:lastPrinted>
  <dcterms:created xsi:type="dcterms:W3CDTF">2008-04-01T14:46:24Z</dcterms:created>
  <dcterms:modified xsi:type="dcterms:W3CDTF">2018-10-29T10:23:28Z</dcterms:modified>
</cp:coreProperties>
</file>