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Risikostyring\Pilar 3\2018\Q4 2018 - utvidet\1 Vedlegg\"/>
    </mc:Choice>
  </mc:AlternateContent>
  <xr:revisionPtr revIDLastSave="0" documentId="13_ncr:1_{BBAFFC75-48F5-4E20-9016-D289325031EF}" xr6:coauthVersionLast="36" xr6:coauthVersionMax="36" xr10:uidLastSave="{00000000-0000-0000-0000-000000000000}"/>
  <bookViews>
    <workbookView xWindow="480" yWindow="630" windowWidth="14880" windowHeight="6600" tabRatio="936" xr2:uid="{00000000-000D-0000-FFFF-FFFF00000000}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6" r:id="rId7"/>
    <sheet name="7" sheetId="28" r:id="rId8"/>
    <sheet name="8" sheetId="20" r:id="rId9"/>
    <sheet name="9" sheetId="21" r:id="rId10"/>
    <sheet name="10" sheetId="19" r:id="rId11"/>
    <sheet name="11" sheetId="18" r:id="rId12"/>
    <sheet name="12" sheetId="17" r:id="rId13"/>
    <sheet name="13" sheetId="47" r:id="rId14"/>
    <sheet name="14" sheetId="16" r:id="rId15"/>
    <sheet name="15" sheetId="48" r:id="rId16"/>
    <sheet name="16" sheetId="49" r:id="rId17"/>
    <sheet name="17" sheetId="29" r:id="rId18"/>
    <sheet name="18" sheetId="42" r:id="rId19"/>
    <sheet name="19" sheetId="30" r:id="rId20"/>
    <sheet name="20" sheetId="43" r:id="rId21"/>
    <sheet name="21" sheetId="8" r:id="rId22"/>
    <sheet name="22" sheetId="10" r:id="rId23"/>
    <sheet name="23" sheetId="5" r:id="rId24"/>
    <sheet name="24" sheetId="26" r:id="rId25"/>
    <sheet name="25" sheetId="25" r:id="rId26"/>
    <sheet name="26" sheetId="23" r:id="rId27"/>
    <sheet name="27" sheetId="11" r:id="rId28"/>
    <sheet name="28" sheetId="37" r:id="rId29"/>
    <sheet name="29" sheetId="38" r:id="rId30"/>
    <sheet name="30" sheetId="39" r:id="rId31"/>
    <sheet name="31" sheetId="41" r:id="rId32"/>
    <sheet name="32" sheetId="45" r:id="rId33"/>
    <sheet name="33" sheetId="50" r:id="rId34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'1'!$A$1:$G$52</definedName>
    <definedName name="_xlnm.Print_Area" localSheetId="10">'10'!$A$1:$G$43</definedName>
    <definedName name="_xlnm.Print_Area" localSheetId="11">'11'!$A$1:$F$21</definedName>
    <definedName name="_xlnm.Print_Area" localSheetId="12">'12'!$A$1:$E$20</definedName>
    <definedName name="_xlnm.Print_Area" localSheetId="13">'13'!$A$1:$D$5</definedName>
    <definedName name="_xlnm.Print_Area" localSheetId="14">'14'!$A$1:$D$19</definedName>
    <definedName name="_xlnm.Print_Area" localSheetId="15">'15'!$A$1:$E$17</definedName>
    <definedName name="_xlnm.Print_Area" localSheetId="17">'17'!$A$1:$D$2</definedName>
    <definedName name="_xlnm.Print_Area" localSheetId="18">'18'!$A$1:$D$3</definedName>
    <definedName name="_xlnm.Print_Area" localSheetId="19">'19'!$A$1:$E$3</definedName>
    <definedName name="_xlnm.Print_Area" localSheetId="2">'2'!$A$1:$G$25</definedName>
    <definedName name="_xlnm.Print_Area" localSheetId="21">'21'!$A$1:$I$21</definedName>
    <definedName name="_xlnm.Print_Area" localSheetId="22">'22'!$A$1:$I$13</definedName>
    <definedName name="_xlnm.Print_Area" localSheetId="23">'23'!$A$1:$E$26</definedName>
    <definedName name="_xlnm.Print_Area" localSheetId="24">'24'!$A$1:$F$20</definedName>
    <definedName name="_xlnm.Print_Area" localSheetId="25">'25'!$A$1:$E$10</definedName>
    <definedName name="_xlnm.Print_Area" localSheetId="26">'26'!$A$1:$E$10</definedName>
    <definedName name="_xlnm.Print_Area" localSheetId="27">'27'!$A$1:$E$43</definedName>
    <definedName name="_xlnm.Print_Area" localSheetId="28">'28'!$A$1:$E$49</definedName>
    <definedName name="_xlnm.Print_Area" localSheetId="3">'3'!$A$1:$H$16</definedName>
    <definedName name="_xlnm.Print_Area" localSheetId="4">'4'!$A$1:$E$58</definedName>
    <definedName name="_xlnm.Print_Area" localSheetId="5">'5'!$A$1:$F$27</definedName>
    <definedName name="_xlnm.Print_Area" localSheetId="6">'6'!#REF!</definedName>
    <definedName name="_xlnm.Print_Area" localSheetId="7">'7'!$A$1:$I$29</definedName>
    <definedName name="_xlnm.Print_Area" localSheetId="8">'8'!$A$1:$G$20</definedName>
    <definedName name="_xlnm.Print_Area" localSheetId="9">'9'!$A$1:$C$32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50" l="1"/>
  <c r="C8" i="50"/>
  <c r="B8" i="50"/>
  <c r="C97" i="49" l="1"/>
  <c r="D97" i="49"/>
  <c r="C110" i="49"/>
  <c r="D110" i="49"/>
  <c r="C123" i="49"/>
  <c r="D123" i="49"/>
  <c r="C136" i="49"/>
  <c r="D136" i="49"/>
  <c r="C149" i="49"/>
  <c r="D149" i="49"/>
  <c r="C161" i="49"/>
  <c r="D161" i="49"/>
  <c r="I75" i="49" l="1"/>
  <c r="I72" i="49"/>
  <c r="I71" i="49"/>
  <c r="I67" i="49"/>
  <c r="J76" i="49"/>
  <c r="D76" i="49"/>
  <c r="I63" i="49"/>
  <c r="I61" i="49"/>
  <c r="I60" i="49"/>
  <c r="I59" i="49"/>
  <c r="I57" i="49"/>
  <c r="I56" i="49"/>
  <c r="I55" i="49"/>
  <c r="J64" i="49"/>
  <c r="H64" i="49"/>
  <c r="E64" i="49"/>
  <c r="C64" i="49"/>
  <c r="I51" i="49"/>
  <c r="I49" i="49"/>
  <c r="I48" i="49"/>
  <c r="I47" i="49"/>
  <c r="I45" i="49"/>
  <c r="I44" i="49"/>
  <c r="I39" i="49"/>
  <c r="I36" i="49"/>
  <c r="I32" i="49"/>
  <c r="E40" i="49"/>
  <c r="C40" i="49"/>
  <c r="I26" i="49"/>
  <c r="I25" i="49"/>
  <c r="I24" i="49"/>
  <c r="I23" i="49"/>
  <c r="I21" i="49"/>
  <c r="I20" i="49"/>
  <c r="J28" i="49"/>
  <c r="E28" i="49"/>
  <c r="I15" i="49"/>
  <c r="I14" i="49"/>
  <c r="I13" i="49"/>
  <c r="I11" i="49"/>
  <c r="I10" i="49"/>
  <c r="I9" i="49"/>
  <c r="I8" i="49"/>
  <c r="I7" i="49"/>
  <c r="I6" i="49"/>
  <c r="D16" i="49"/>
  <c r="J16" i="49"/>
  <c r="H28" i="49" l="1"/>
  <c r="D52" i="49"/>
  <c r="D64" i="49"/>
  <c r="C28" i="49"/>
  <c r="I27" i="49"/>
  <c r="H40" i="49"/>
  <c r="I30" i="49"/>
  <c r="I31" i="49"/>
  <c r="I33" i="49"/>
  <c r="I34" i="49"/>
  <c r="I35" i="49"/>
  <c r="I37" i="49"/>
  <c r="J52" i="49"/>
  <c r="I42" i="49"/>
  <c r="I46" i="49"/>
  <c r="I54" i="49"/>
  <c r="I58" i="49"/>
  <c r="I62" i="49"/>
  <c r="E76" i="49"/>
  <c r="I18" i="49"/>
  <c r="I22" i="49"/>
  <c r="D40" i="49"/>
  <c r="H52" i="49"/>
  <c r="I64" i="49"/>
  <c r="E16" i="49"/>
  <c r="C16" i="49"/>
  <c r="I12" i="49"/>
  <c r="D28" i="49"/>
  <c r="D77" i="49" s="1"/>
  <c r="J40" i="49"/>
  <c r="C52" i="49"/>
  <c r="I50" i="49"/>
  <c r="C76" i="49"/>
  <c r="I66" i="49"/>
  <c r="H76" i="49"/>
  <c r="I76" i="49" s="1"/>
  <c r="I69" i="49"/>
  <c r="I70" i="49"/>
  <c r="I73" i="49"/>
  <c r="I74" i="49"/>
  <c r="I40" i="49"/>
  <c r="C77" i="49"/>
  <c r="I28" i="49"/>
  <c r="J77" i="49"/>
  <c r="I19" i="49"/>
  <c r="I43" i="49"/>
  <c r="E52" i="49"/>
  <c r="I52" i="49" s="1"/>
  <c r="I68" i="49"/>
  <c r="H16" i="49"/>
  <c r="I16" i="49" s="1"/>
  <c r="E77" i="49" l="1"/>
  <c r="H77" i="49"/>
  <c r="I77" i="49" l="1"/>
  <c r="C25" i="21"/>
  <c r="C29" i="21" s="1"/>
  <c r="D23" i="48" l="1"/>
  <c r="C23" i="48"/>
  <c r="B23" i="48"/>
  <c r="D16" i="48"/>
  <c r="C16" i="48"/>
  <c r="B16" i="48"/>
  <c r="E15" i="48"/>
  <c r="E14" i="48"/>
  <c r="E16" i="48" s="1"/>
  <c r="D11" i="48"/>
  <c r="C11" i="48"/>
  <c r="B11" i="48"/>
  <c r="E10" i="48"/>
  <c r="E9" i="48"/>
  <c r="E8" i="48"/>
  <c r="E38" i="47"/>
  <c r="C20" i="47"/>
  <c r="E20" i="47" s="1"/>
  <c r="B20" i="47"/>
  <c r="E19" i="47"/>
  <c r="E18" i="47"/>
  <c r="E17" i="47"/>
  <c r="E16" i="47"/>
  <c r="E15" i="47"/>
  <c r="D14" i="47"/>
  <c r="D20" i="47" s="1"/>
  <c r="E13" i="47"/>
  <c r="E12" i="47"/>
  <c r="E11" i="47"/>
  <c r="E10" i="47"/>
  <c r="E9" i="47"/>
  <c r="E7" i="47"/>
  <c r="E23" i="48" l="1"/>
  <c r="E11" i="48"/>
  <c r="E14" i="47"/>
  <c r="E20" i="14" l="1"/>
  <c r="G12" i="39" l="1"/>
  <c r="E25" i="39" l="1"/>
  <c r="C25" i="39"/>
  <c r="C22" i="39" l="1"/>
  <c r="B37" i="39" l="1"/>
  <c r="B24" i="39"/>
  <c r="B15" i="39"/>
  <c r="C11" i="16" l="1"/>
  <c r="B11" i="16"/>
  <c r="E6" i="26" l="1"/>
  <c r="C18" i="5" l="1"/>
  <c r="C109" i="38" l="1"/>
  <c r="C91" i="38"/>
  <c r="C110" i="38" s="1"/>
  <c r="C81" i="38"/>
  <c r="C63" i="38"/>
  <c r="C53" i="38"/>
  <c r="C20" i="38"/>
  <c r="C10" i="38"/>
  <c r="C16" i="38" s="1"/>
  <c r="C54" i="38" s="1"/>
  <c r="C82" i="38" s="1"/>
  <c r="C111" i="38" s="1"/>
  <c r="H9" i="45" l="1"/>
  <c r="K8" i="45" l="1"/>
  <c r="B33" i="41"/>
  <c r="B32" i="41"/>
  <c r="C7" i="10" l="1"/>
  <c r="C9" i="10"/>
  <c r="C13" i="8"/>
  <c r="D13" i="8" s="1"/>
  <c r="D11" i="8"/>
  <c r="D12" i="8"/>
  <c r="D9" i="8"/>
  <c r="C8" i="8"/>
  <c r="D8" i="8"/>
  <c r="D7" i="8"/>
  <c r="E9" i="14" l="1"/>
  <c r="C19" i="14"/>
  <c r="C17" i="14"/>
  <c r="E13" i="14"/>
  <c r="D9" i="14"/>
  <c r="C9" i="14"/>
  <c r="D19" i="17" l="1"/>
  <c r="C19" i="17"/>
  <c r="B19" i="17"/>
  <c r="E15" i="19" l="1"/>
  <c r="C11" i="18" l="1"/>
  <c r="C5" i="18"/>
  <c r="D13" i="14" l="1"/>
  <c r="C13" i="14"/>
  <c r="C20" i="14"/>
  <c r="C15" i="32" l="1"/>
  <c r="E26" i="19" l="1"/>
  <c r="E27" i="19"/>
  <c r="E28" i="19"/>
  <c r="E29" i="19"/>
  <c r="E30" i="19"/>
  <c r="E31" i="19"/>
  <c r="E32" i="19"/>
  <c r="E33" i="19"/>
  <c r="E34" i="19"/>
  <c r="E35" i="19"/>
  <c r="E25" i="19"/>
  <c r="D8" i="20" l="1"/>
  <c r="C8" i="20"/>
  <c r="B8" i="20" l="1"/>
  <c r="D17" i="20" l="1"/>
  <c r="C17" i="20"/>
  <c r="B17" i="20"/>
  <c r="H4" i="10" l="1"/>
  <c r="F16" i="18"/>
  <c r="F15" i="18"/>
  <c r="F14" i="18"/>
  <c r="D18" i="19"/>
  <c r="B21" i="21"/>
  <c r="B25" i="21" s="1"/>
  <c r="B29" i="21" s="1"/>
  <c r="G17" i="6"/>
  <c r="E10" i="31"/>
  <c r="D8" i="26" l="1"/>
  <c r="E6" i="20" l="1"/>
  <c r="E7" i="20"/>
  <c r="E8" i="20"/>
  <c r="E5" i="20"/>
  <c r="E17" i="20" l="1"/>
  <c r="E9" i="20"/>
  <c r="E6" i="19"/>
  <c r="E7" i="19"/>
  <c r="E8" i="19"/>
  <c r="E9" i="19"/>
  <c r="E10" i="19"/>
  <c r="E11" i="19"/>
  <c r="E12" i="19"/>
  <c r="E13" i="19"/>
  <c r="E14" i="19"/>
  <c r="E16" i="19"/>
  <c r="E17" i="19"/>
  <c r="E5" i="19"/>
  <c r="C18" i="19"/>
  <c r="E38" i="19"/>
  <c r="D38" i="19"/>
  <c r="D40" i="19" s="1"/>
  <c r="C38" i="19"/>
  <c r="C40" i="19" s="1"/>
  <c r="E18" i="19" l="1"/>
  <c r="E40" i="19"/>
  <c r="C14" i="21" l="1"/>
  <c r="C13" i="21"/>
  <c r="C9" i="21"/>
  <c r="C8" i="21"/>
  <c r="C5" i="21"/>
  <c r="G18" i="28" l="1"/>
  <c r="G20" i="28" s="1"/>
  <c r="G12" i="28"/>
  <c r="H7" i="39" l="1"/>
  <c r="H25" i="39" l="1"/>
  <c r="C33" i="11" l="1"/>
  <c r="C23" i="11"/>
  <c r="C10" i="11"/>
  <c r="E7" i="23"/>
  <c r="C7" i="25" l="1"/>
  <c r="F15" i="26" l="1"/>
  <c r="E15" i="26"/>
  <c r="D15" i="26"/>
  <c r="C15" i="26"/>
  <c r="B15" i="26"/>
  <c r="C14" i="5" l="1"/>
  <c r="C21" i="5"/>
  <c r="D21" i="5"/>
  <c r="D18" i="5"/>
  <c r="D14" i="5"/>
  <c r="D22" i="5" l="1"/>
  <c r="H10" i="10"/>
  <c r="H9" i="10"/>
  <c r="H8" i="10"/>
  <c r="H7" i="10"/>
  <c r="H6" i="10"/>
  <c r="H5" i="10"/>
  <c r="G11" i="10"/>
  <c r="I11" i="10"/>
  <c r="E24" i="14"/>
  <c r="C24" i="14" l="1"/>
  <c r="F14" i="8"/>
  <c r="K9" i="45" l="1"/>
  <c r="J9" i="45"/>
  <c r="I9" i="45"/>
  <c r="G9" i="45"/>
  <c r="F9" i="45"/>
  <c r="E9" i="45"/>
  <c r="D9" i="45"/>
  <c r="B9" i="45"/>
  <c r="C9" i="45"/>
  <c r="H36" i="39" l="1"/>
  <c r="H27" i="39" l="1"/>
  <c r="B16" i="4" l="1"/>
  <c r="B26" i="4" s="1"/>
  <c r="G16" i="39" l="1"/>
  <c r="G31" i="39"/>
  <c r="H38" i="39" l="1"/>
  <c r="F39" i="39" l="1"/>
  <c r="F31" i="39"/>
  <c r="F16" i="39"/>
  <c r="F41" i="39" l="1"/>
  <c r="F24" i="14" l="1"/>
  <c r="F14" i="14"/>
  <c r="C8" i="6"/>
  <c r="F26" i="14" l="1"/>
  <c r="G9" i="6"/>
  <c r="C44" i="4"/>
  <c r="C34" i="4"/>
  <c r="C16" i="4"/>
  <c r="C26" i="4" s="1"/>
  <c r="C29" i="4" s="1"/>
  <c r="C49" i="4" l="1"/>
  <c r="C50" i="4"/>
  <c r="C36" i="4"/>
  <c r="C46" i="4"/>
  <c r="C48" i="4"/>
  <c r="C51" i="4" l="1"/>
  <c r="C52" i="4" s="1"/>
  <c r="C27" i="32" l="1"/>
  <c r="F11" i="18" l="1"/>
  <c r="F10" i="18"/>
  <c r="E8" i="18"/>
  <c r="D8" i="18"/>
  <c r="C8" i="18"/>
  <c r="B8" i="18"/>
  <c r="F7" i="18"/>
  <c r="F6" i="18"/>
  <c r="F5" i="18"/>
  <c r="E17" i="18"/>
  <c r="D17" i="18"/>
  <c r="C17" i="18"/>
  <c r="B17" i="18"/>
  <c r="F20" i="18"/>
  <c r="F19" i="18"/>
  <c r="F8" i="18" l="1"/>
  <c r="F17" i="18"/>
  <c r="E19" i="19" l="1"/>
  <c r="E20" i="19" l="1"/>
  <c r="D20" i="19" l="1"/>
  <c r="C20" i="19"/>
  <c r="C6" i="21" l="1"/>
  <c r="C7" i="21" s="1"/>
  <c r="B7" i="21"/>
  <c r="B11" i="21" s="1"/>
  <c r="B15" i="21" s="1"/>
  <c r="D9" i="20"/>
  <c r="C9" i="20"/>
  <c r="B9" i="20"/>
  <c r="C11" i="21" l="1"/>
  <c r="C15" i="21" s="1"/>
  <c r="F10" i="10"/>
  <c r="F9" i="10"/>
  <c r="F8" i="10"/>
  <c r="F7" i="10"/>
  <c r="F6" i="10"/>
  <c r="F5" i="10"/>
  <c r="F4" i="10"/>
  <c r="H9" i="39" l="1"/>
  <c r="B44" i="4" l="1"/>
  <c r="B50" i="4" s="1"/>
  <c r="H6" i="39" l="1"/>
  <c r="H14" i="39" l="1"/>
  <c r="E39" i="39" l="1"/>
  <c r="D39" i="39"/>
  <c r="C39" i="39"/>
  <c r="B39" i="39"/>
  <c r="H37" i="39"/>
  <c r="G39" i="39"/>
  <c r="G41" i="39" s="1"/>
  <c r="H35" i="39"/>
  <c r="H34" i="39"/>
  <c r="E31" i="39"/>
  <c r="D31" i="39"/>
  <c r="C31" i="39"/>
  <c r="B31" i="39"/>
  <c r="H29" i="39"/>
  <c r="H28" i="39"/>
  <c r="H26" i="39"/>
  <c r="H24" i="39"/>
  <c r="H23" i="39"/>
  <c r="H22" i="39"/>
  <c r="H21" i="39"/>
  <c r="H20" i="39"/>
  <c r="H19" i="39"/>
  <c r="E16" i="39"/>
  <c r="D16" i="39"/>
  <c r="C16" i="39"/>
  <c r="B16" i="39"/>
  <c r="H15" i="39"/>
  <c r="H13" i="39"/>
  <c r="H12" i="39"/>
  <c r="H11" i="39"/>
  <c r="H10" i="39"/>
  <c r="H8" i="39"/>
  <c r="E39" i="17"/>
  <c r="D39" i="17"/>
  <c r="C39" i="17"/>
  <c r="B39" i="17"/>
  <c r="F17" i="6"/>
  <c r="E17" i="6"/>
  <c r="D17" i="6"/>
  <c r="C17" i="6"/>
  <c r="F9" i="6"/>
  <c r="E9" i="6"/>
  <c r="D9" i="6"/>
  <c r="C9" i="6"/>
  <c r="E14" i="14"/>
  <c r="E26" i="14" s="1"/>
  <c r="D14" i="14"/>
  <c r="C14" i="14"/>
  <c r="B34" i="4"/>
  <c r="B29" i="4"/>
  <c r="C10" i="31"/>
  <c r="H31" i="39" l="1"/>
  <c r="B41" i="39"/>
  <c r="B49" i="4"/>
  <c r="D41" i="39"/>
  <c r="E41" i="39"/>
  <c r="C41" i="39"/>
  <c r="H16" i="39"/>
  <c r="H39" i="39"/>
  <c r="B48" i="4"/>
  <c r="B36" i="4"/>
  <c r="B46" i="4"/>
  <c r="H41" i="39" l="1"/>
  <c r="B51" i="4"/>
  <c r="B52" i="4" s="1"/>
  <c r="F12" i="28" l="1"/>
  <c r="F18" i="28"/>
  <c r="F20" i="28" s="1"/>
  <c r="D10" i="10" l="1"/>
  <c r="D9" i="10"/>
  <c r="C4" i="10"/>
  <c r="D4" i="10" s="1"/>
  <c r="C14" i="8" l="1"/>
  <c r="D6" i="10" l="1"/>
  <c r="D7" i="23" l="1"/>
  <c r="B10" i="11" l="1"/>
  <c r="C11" i="10" l="1"/>
  <c r="E11" i="10"/>
  <c r="D11" i="10" l="1"/>
  <c r="F11" i="10"/>
  <c r="H11" i="10"/>
  <c r="D11" i="16" l="1"/>
  <c r="B33" i="11" l="1"/>
  <c r="B23" i="11"/>
  <c r="D19" i="16" l="1"/>
  <c r="C19" i="16"/>
  <c r="B19" i="16"/>
  <c r="D8" i="10" l="1"/>
  <c r="D7" i="10"/>
  <c r="D5" i="10"/>
  <c r="C7" i="23" l="1"/>
  <c r="F8" i="26" l="1"/>
  <c r="C8" i="26"/>
  <c r="B8" i="26"/>
  <c r="E8" i="26"/>
  <c r="B7" i="25" l="1"/>
  <c r="C22" i="5"/>
</calcChain>
</file>

<file path=xl/sharedStrings.xml><?xml version="1.0" encoding="utf-8"?>
<sst xmlns="http://schemas.openxmlformats.org/spreadsheetml/2006/main" count="2256" uniqueCount="978">
  <si>
    <t>Antall aksjer</t>
  </si>
  <si>
    <t>Bokført verdi</t>
  </si>
  <si>
    <t>Stemmerett</t>
  </si>
  <si>
    <t>Selskaper som er fullt konsolidert</t>
  </si>
  <si>
    <t>Oppkjøpsmetoden</t>
  </si>
  <si>
    <t>Sum</t>
  </si>
  <si>
    <t>Konsolideringsmetode er lik for regnskapsformål og kapitaldekningsformål.</t>
  </si>
  <si>
    <t>Øvrige finansinstitusjoner</t>
  </si>
  <si>
    <t>Overkursfond</t>
  </si>
  <si>
    <t>Avsatt utbytte</t>
  </si>
  <si>
    <t>Fond for urealiserte gevinster</t>
  </si>
  <si>
    <t>Annen egenkapital</t>
  </si>
  <si>
    <t>Sum balanseført egenkapital</t>
  </si>
  <si>
    <t>Utsatt skatt, goodwill og andre immaterielle eiendeler</t>
  </si>
  <si>
    <t>Sum kjernekapital</t>
  </si>
  <si>
    <t>Tilleggskapital utover kjernekapital</t>
  </si>
  <si>
    <t>Netto ansvarlig kapital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</si>
  <si>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</si>
  <si>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</si>
  <si>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</si>
  <si>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</si>
  <si>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</si>
  <si>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</si>
  <si>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</si>
  <si>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</si>
  <si>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</si>
  <si>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</si>
  <si>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</si>
  <si>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</si>
  <si>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</si>
  <si>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</si>
  <si>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</si>
  <si>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</si>
  <si>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</si>
  <si>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</si>
  <si>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</si>
  <si>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</si>
  <si>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Jordbruk/skogbruk</t>
  </si>
  <si>
    <t>Fiske/fiskeoppdrett</t>
  </si>
  <si>
    <t>Bergverksdrift/utvinning</t>
  </si>
  <si>
    <t>Industri</t>
  </si>
  <si>
    <t>Kraft og vannforsyning/bygg og anlegg</t>
  </si>
  <si>
    <t>Varehandel, hotell og restaurantvirksomhet</t>
  </si>
  <si>
    <t>Utenriks sjøfart, rørtransport, øvrig transport</t>
  </si>
  <si>
    <t>Eiendomsdrift</t>
  </si>
  <si>
    <t>Tjenesteytende virksomhet</t>
  </si>
  <si>
    <t>Offentlig forvaltning og finansielle tjenester</t>
  </si>
  <si>
    <t>Sum foretak</t>
  </si>
  <si>
    <t>På forespørsel</t>
  </si>
  <si>
    <t>&lt;1 år</t>
  </si>
  <si>
    <t>1-5 år</t>
  </si>
  <si>
    <t>over 5 år</t>
  </si>
  <si>
    <t>Samlet engasjementsbeløp</t>
  </si>
  <si>
    <t>Resultatførte verdiendringer i løpet av perioden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</si>
  <si>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</si>
  <si>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</si>
  <si>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</si>
  <si>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</si>
  <si>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</si>
  <si>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</si>
  <si>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</si>
  <si>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</si>
  <si>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</si>
  <si>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</si>
  <si>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Øvrige eiendeler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</si>
  <si>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</si>
  <si>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</si>
  <si>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</si>
  <si>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</si>
  <si>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</si>
  <si>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</si>
  <si>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</si>
  <si>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</si>
  <si>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</si>
  <si>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</si>
  <si>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</si>
  <si>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</si>
  <si>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</si>
  <si>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Massemarkedsengasjementer</t>
  </si>
  <si>
    <t xml:space="preserve">  -herav massemarked SMB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</si>
  <si>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</si>
  <si>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</si>
  <si>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</si>
  <si>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</si>
  <si>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</si>
  <si>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</si>
  <si>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Øvrige finansielle investeringer</t>
  </si>
  <si>
    <t>Strategiske investeringer til virkelig verdi over resultat</t>
  </si>
  <si>
    <t>Øvrige strategiske investeringer</t>
  </si>
  <si>
    <t>Beløp medregnet i kjernekapital eller tilleggskapital</t>
  </si>
  <si>
    <t>Nominell verdi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</si>
  <si>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</si>
  <si>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</si>
  <si>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</si>
  <si>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</si>
  <si>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2)</t>
  </si>
  <si>
    <t>Kapitaldekning</t>
  </si>
  <si>
    <t>Hovedstol</t>
  </si>
  <si>
    <t>Forfall</t>
  </si>
  <si>
    <t>Sum finansielle investeringer til virkelig verdi over resultatet</t>
  </si>
  <si>
    <t>Strategiske investeringer tilgjengelig for salg</t>
  </si>
  <si>
    <t>NOK 500</t>
  </si>
  <si>
    <t>Betingelser</t>
  </si>
  <si>
    <t>Øvrige foretak</t>
  </si>
  <si>
    <t>Spesialiserte foretak</t>
  </si>
  <si>
    <t>Fradrag for avsatt utbytte</t>
  </si>
  <si>
    <t>Overført fra nedskrivning på grupper av utlån</t>
  </si>
  <si>
    <t>EiendomsMegler 1 SR-Eiendom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</si>
  <si>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</si>
  <si>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</si>
  <si>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</si>
  <si>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</si>
  <si>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</si>
  <si>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</si>
  <si>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</si>
  <si>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</si>
  <si>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</si>
  <si>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</si>
  <si>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</si>
  <si>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</si>
  <si>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 xml:space="preserve">  -  </t>
  </si>
  <si>
    <t>NOK 684</t>
  </si>
  <si>
    <t>NOK 116</t>
  </si>
  <si>
    <t>SpareBank 1 Næringskreditt AS</t>
  </si>
  <si>
    <t>Sandnes Sparebank</t>
  </si>
  <si>
    <t>Kjernekapital</t>
  </si>
  <si>
    <t>Fondsobligasjon</t>
  </si>
  <si>
    <t>Tidsbegrenset ansvarlig kapital</t>
  </si>
  <si>
    <t>Sum tilleggskapital</t>
  </si>
  <si>
    <t>tidspunkt</t>
  </si>
  <si>
    <t>Tidsbegrenset</t>
  </si>
  <si>
    <t>Sum strategiske investeringer til virkelig verdi over resultat</t>
  </si>
  <si>
    <t>Øvrig massemarked</t>
  </si>
  <si>
    <t>Beløp i mill kroner</t>
  </si>
  <si>
    <t>Beløp i tusen kroner</t>
  </si>
  <si>
    <t>Første forfalls-</t>
  </si>
  <si>
    <t>Misligholds-
klasse</t>
  </si>
  <si>
    <t>Bokført 
verdi</t>
  </si>
  <si>
    <t>Virkelig
 verdi</t>
  </si>
  <si>
    <t>Nedskrivning garantier</t>
  </si>
  <si>
    <t>Tapsutsatte</t>
  </si>
  <si>
    <t>Misligholdte</t>
  </si>
  <si>
    <t>SR-Forvaltning AS</t>
  </si>
  <si>
    <t xml:space="preserve">Investeringene blir behandlet likt for kapitaldekningsformål bortsett fra konsernets investeringer i </t>
  </si>
  <si>
    <t>Datterselskap som rapporterer etter standardmetode</t>
  </si>
  <si>
    <t>Kapitaldekning %</t>
  </si>
  <si>
    <t>Investeringer i tilknyttede selskaper</t>
  </si>
  <si>
    <t>Investeringer i felleskontrollert virksomhet</t>
  </si>
  <si>
    <t>Sum finansielle derivater</t>
  </si>
  <si>
    <t>Konsoliderings metode</t>
  </si>
  <si>
    <t>Ubenyttet kreditt og garantier</t>
  </si>
  <si>
    <t>(beløp i mill kroner)</t>
  </si>
  <si>
    <t>Datterselskap</t>
  </si>
  <si>
    <t>(beløp i tusen kroner)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</si>
  <si>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</si>
  <si>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</si>
  <si>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</si>
  <si>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</si>
  <si>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>Engasjementskategori</t>
  </si>
  <si>
    <t>Aksjekapital</t>
  </si>
  <si>
    <t>Rygir Industrier AS konsern</t>
  </si>
  <si>
    <t xml:space="preserve">  -herav engasjementer med pant i fast eiendom</t>
  </si>
  <si>
    <t xml:space="preserve">  -herav øvrige massemarkedsengasjementer</t>
  </si>
  <si>
    <t xml:space="preserve">Øvrige foretak </t>
  </si>
  <si>
    <t>Ansvarlig lånekapital og fondsobligasjon i utenlandsk valuta inngår i konsernets totale valutaposisjon slik at det ikke er valutarisiko knyttet til lånene.</t>
  </si>
  <si>
    <t>Aktiverte kostnader ved låneopptak blir reflektert i beregning av amortisert kost.</t>
  </si>
  <si>
    <t>Ren kjernekapitaldekning</t>
  </si>
  <si>
    <t>Sum massemarked eiendom</t>
  </si>
  <si>
    <t>Sum øvrig massemarked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</si>
  <si>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</si>
  <si>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</si>
  <si>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</si>
  <si>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</si>
  <si>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</si>
  <si>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</si>
  <si>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</si>
  <si>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</si>
  <si>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</si>
  <si>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</si>
  <si>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</si>
  <si>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</si>
  <si>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</si>
  <si>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</si>
  <si>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</si>
  <si>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</si>
  <si>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</si>
  <si>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</si>
  <si>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</si>
  <si>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De faktiske verdiendringene for den enkelte engasjementskategori og utvikling fra tidligere perioder (IRB)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</si>
  <si>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</si>
  <si>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</si>
  <si>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Avstemming av endringer i henholdsvis verdiendringer og nedskrivinger for engasjementer med verdifall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</si>
  <si>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</si>
  <si>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</si>
  <si>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</si>
  <si>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</si>
  <si>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</si>
  <si>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</si>
  <si>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</si>
  <si>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</si>
  <si>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</si>
  <si>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</si>
  <si>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</si>
  <si>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</si>
  <si>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</si>
  <si>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</si>
  <si>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</si>
  <si>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 xml:space="preserve">forretningsområde de 3 siste årene.  Banktjenester for massemarkedet 12 %, banktjenester for bedriftsmarkedet 15 % </t>
  </si>
  <si>
    <t xml:space="preserve">og for øvrige tjenester 18 %. 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</si>
  <si>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</si>
  <si>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Finansparken Bjergsted AS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</si>
  <si>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</si>
  <si>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</si>
  <si>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</si>
  <si>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</si>
  <si>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</si>
  <si>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</si>
  <si>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</si>
  <si>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</si>
  <si>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</si>
  <si>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</si>
  <si>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</si>
  <si>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</si>
  <si>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</si>
  <si>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</si>
  <si>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</si>
  <si>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</si>
  <si>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</si>
  <si>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</si>
  <si>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 xml:space="preserve"> Nedskrivninger pr. misligholdsklasse i perioden </t>
  </si>
  <si>
    <t>BN Bank</t>
  </si>
  <si>
    <t>Andel operasjonell risiko konsoliderte selskap</t>
  </si>
  <si>
    <t xml:space="preserve">SpareBank 1 Boligkreditt AS og BN Bank AS bruker IRB metoden i sin kapitaldekningsrapportering. </t>
  </si>
  <si>
    <t>SpareBank 1 Gruppen</t>
  </si>
  <si>
    <r>
      <t xml:space="preserve">SpareBank 1  Boligkreditt AS </t>
    </r>
    <r>
      <rPr>
        <vertAlign val="superscript"/>
        <sz val="9"/>
        <rFont val="Calibri"/>
        <family val="2"/>
        <scheme val="minor"/>
      </rPr>
      <t>1)</t>
    </r>
  </si>
  <si>
    <t>Fradrag i forventet tap IRB fratrukket tapsavsetninger</t>
  </si>
  <si>
    <t>Fradrag ren kjernekapital for vesentlige investeringer i finansinstitusjoner</t>
  </si>
  <si>
    <t>Fradrag for vesentlige investeringer i finansinstitusjoner</t>
  </si>
  <si>
    <t>og fradragene tas i samme kapitalklasse som det instrumentet man eier tilhører. Investeringer i rene</t>
  </si>
  <si>
    <t>Investeringer som overstiger 10 % av egen ren kjernekapital etter fradrag kommer til fradrag i ansvarlig kapital</t>
  </si>
  <si>
    <t>Det skilles mellom vesentlige eierandeler &gt; 10 % og ikke vesentlige eierandeler i finansinstitusjoner.</t>
  </si>
  <si>
    <t>Risikovektet balanse</t>
  </si>
  <si>
    <t>Investeringene blir behandlet likt for kapitaldekningsformål.</t>
  </si>
  <si>
    <t>Sum ren kjernekapital</t>
  </si>
  <si>
    <t>Risikovektet balanse for kredittrisiko fordelt på engasjementskategorier og underkategorier</t>
  </si>
  <si>
    <t xml:space="preserve">Risikovektet balanse for operasjonell risiko </t>
  </si>
  <si>
    <t>Risikovektet balanse kredittrisiko IRB</t>
  </si>
  <si>
    <t>Risikovektet balanse standardmetoden</t>
  </si>
  <si>
    <t>Samlet risikovektet balanse knyttet til kredittrisiko</t>
  </si>
  <si>
    <t xml:space="preserve"> Risikovektet balanse for kredittrisiko fordelt på engasjementskategorier og underkategorier </t>
  </si>
  <si>
    <t>SR-PE-Feeder III KS</t>
  </si>
  <si>
    <t>SR-Forvaltning</t>
  </si>
  <si>
    <t>Svekket kredittverdighet motpart (CVA)</t>
  </si>
  <si>
    <t xml:space="preserve">Risikovektet balanse for operasjonell risiko er beregnet i prosent av snitt inntekt for hvert </t>
  </si>
  <si>
    <t xml:space="preserve">Samlede realiserte gevinster
 eller tap </t>
  </si>
  <si>
    <t xml:space="preserve">Urealiserte gevinster
 eller tap </t>
  </si>
  <si>
    <t xml:space="preserve"> Oversikt over motpartsrisiko for derivater mv. </t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</si>
  <si>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</si>
  <si>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Minimumskrav ren kjernekapital 4,5 %</t>
  </si>
  <si>
    <t>Bufferkrav</t>
  </si>
  <si>
    <t>Bevaringsbuffer 2,5 %</t>
  </si>
  <si>
    <t>Sum bufferkrav til ren kjernekapital</t>
  </si>
  <si>
    <t>Tilgjengelig ren kjernekapital etter bufferkrav</t>
  </si>
  <si>
    <r>
      <t xml:space="preserve">2)  </t>
    </r>
    <r>
      <rPr>
        <sz val="9"/>
        <rFont val="Calibri"/>
        <family val="2"/>
        <scheme val="minor"/>
      </rPr>
      <t>SpareBank 1 SR-Bank sin andel</t>
    </r>
  </si>
  <si>
    <t>Eierandel i %</t>
  </si>
  <si>
    <t xml:space="preserve"> Ansvarlig kapital </t>
  </si>
  <si>
    <t>Ansvarlig kapital, herunder kjernekapital og tilleggskapital samt aktuelle tillegg, fradrag og begrensninger.</t>
  </si>
  <si>
    <r>
      <t xml:space="preserve"> Risikovektet balanse for operasjonell risiko etter sjablongmetoden </t>
    </r>
    <r>
      <rPr>
        <i/>
        <vertAlign val="superscript"/>
        <sz val="9"/>
        <rFont val="Calibri"/>
        <family val="2"/>
        <scheme val="minor"/>
      </rPr>
      <t>1)</t>
    </r>
  </si>
  <si>
    <r>
      <t xml:space="preserve">1) </t>
    </r>
    <r>
      <rPr>
        <sz val="9"/>
        <rFont val="Calibri"/>
        <family val="2"/>
        <scheme val="minor"/>
      </rPr>
      <t>SpareBank 1 SR-Bank konsern benytter sjablongmetoden.  Øvrige selskaper benytter basismetoden.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</si>
  <si>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</si>
  <si>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>Foretak SMB</t>
  </si>
  <si>
    <t>Sum foretak SMB</t>
  </si>
  <si>
    <t>Sum øvrige foretak</t>
  </si>
  <si>
    <t>Massemarked eiendom SMB</t>
  </si>
  <si>
    <t>Sum foretak spesialiserte</t>
  </si>
  <si>
    <t>Sum massemarked eiendom SMB</t>
  </si>
  <si>
    <t>Engasjement med pant i fast eiendom</t>
  </si>
  <si>
    <t xml:space="preserve"> </t>
  </si>
  <si>
    <t>Utsteder</t>
  </si>
  <si>
    <t>Entydig identifikasjonskode (f.eks. CUSIP, ISIN eller Bloombergs identifikasjonskode for rettede emisjoner)</t>
  </si>
  <si>
    <t>Gjeldende lovgivning for instrumentet</t>
  </si>
  <si>
    <t>Norge</t>
  </si>
  <si>
    <t>Behandling etter kapitalregelverket</t>
  </si>
  <si>
    <t>Regler som gjelder i overgansperioden</t>
  </si>
  <si>
    <t xml:space="preserve"> Tier 1</t>
  </si>
  <si>
    <t>Tier 2</t>
  </si>
  <si>
    <t>Regler som gjelder etter overgansperioden</t>
  </si>
  <si>
    <t>Ikke kvalifiserte</t>
  </si>
  <si>
    <t>Medregning på selskaps- eller (del)konsolidert nivå, selskaps- og (del)konsolidert nivå</t>
  </si>
  <si>
    <t>Selskap og konsern</t>
  </si>
  <si>
    <t>Instrumenttype (typer skal spesifiseres for hver jurisdiksjon)</t>
  </si>
  <si>
    <t>Beløp som inngår i ansvarlig kapital (i millioner NOK fra seneste rapporteringsdato)</t>
  </si>
  <si>
    <t>NOK 116 mill</t>
  </si>
  <si>
    <t>Instrumentets nominelle verdi</t>
  </si>
  <si>
    <t>NOK 684 mill</t>
  </si>
  <si>
    <t>Emisjonskurs</t>
  </si>
  <si>
    <t>100 prosent</t>
  </si>
  <si>
    <t>Innløsningskurs</t>
  </si>
  <si>
    <t>100 prosent av Nominelt beløp</t>
  </si>
  <si>
    <t>Regnskapsmessig klassifisering</t>
  </si>
  <si>
    <t>Ansvar - amortisert kost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</si>
  <si>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</si>
  <si>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</si>
  <si>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</si>
  <si>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</si>
  <si>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</si>
  <si>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</si>
  <si>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</si>
  <si>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</si>
  <si>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</si>
  <si>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Årlig hver 9. desember</t>
  </si>
  <si>
    <t>Kvartalsvis på termindato</t>
  </si>
  <si>
    <t>Renter/utbytte</t>
  </si>
  <si>
    <t>Fast eller flytende rente/utbytte</t>
  </si>
  <si>
    <t>Fast til flytende</t>
  </si>
  <si>
    <t>Flytende</t>
  </si>
  <si>
    <t>Rentesats og eventuell tilknyttet referanserente</t>
  </si>
  <si>
    <t>9,35% til 09.12.19, deretter 3 mnd NIBOR + 5,75%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</si>
  <si>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</si>
  <si>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</si>
  <si>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</si>
  <si>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</si>
  <si>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delvis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</si>
  <si>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</si>
  <si>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</si>
  <si>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</si>
  <si>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</si>
  <si>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</si>
  <si>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Ikke-kumulativ</t>
  </si>
  <si>
    <t>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</si>
  <si>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</si>
  <si>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</si>
  <si>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</si>
  <si>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</si>
  <si>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</si>
  <si>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</si>
  <si>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</si>
  <si>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</si>
  <si>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</si>
  <si>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</si>
  <si>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</si>
  <si>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</si>
  <si>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Om kapitaldekning faller under 8,0 % eller kjernekapital under 5,0 %</t>
  </si>
  <si>
    <t>Hvis nedskrivning, hel eller delvis</t>
  </si>
  <si>
    <t>Hel eller delvis</t>
  </si>
  <si>
    <t>Hvis nedskrivning, med endelig virkning eller midlertidig</t>
  </si>
  <si>
    <t>Midlertidig</t>
  </si>
  <si>
    <t>Hvis midlertidig nedskrivning, beskrivelse av oppskrivningsmekanismen</t>
  </si>
  <si>
    <t>Ved utbetaling av utbytte, hel eller delvis innfrielse av kjernekapital, oppskrivning av kjernekapital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</si>
  <si>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</si>
  <si>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</si>
  <si>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</si>
  <si>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</si>
  <si>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Utstedt iht tidligere regelverk. Inneholder incitament til innfrielse.</t>
  </si>
  <si>
    <t>Ren kjernekapital: Instrumenter og opptjent kapital</t>
  </si>
  <si>
    <t>Kapitalinstrumenter og tilhørende overkursfond</t>
  </si>
  <si>
    <t>26 (1), 27,     28 og 29</t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</si>
  <si>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</si>
  <si>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</si>
  <si>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</si>
  <si>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</si>
  <si>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</si>
  <si>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</si>
  <si>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</si>
  <si>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</si>
  <si>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</si>
  <si>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</si>
  <si>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</si>
  <si>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</si>
  <si>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</si>
  <si>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</si>
  <si>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</si>
  <si>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</si>
  <si>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</si>
  <si>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</si>
  <si>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</si>
  <si>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</si>
  <si>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</si>
  <si>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</si>
  <si>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</si>
  <si>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</si>
  <si>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</si>
  <si>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</si>
  <si>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</si>
  <si>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</si>
  <si>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</si>
  <si>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</si>
  <si>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</si>
  <si>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</si>
  <si>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</si>
  <si>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</si>
  <si>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</si>
  <si>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</si>
  <si>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</si>
  <si>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</si>
  <si>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</si>
  <si>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</si>
  <si>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</si>
  <si>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</si>
  <si>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</si>
  <si>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</si>
  <si>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</si>
  <si>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</si>
  <si>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</si>
  <si>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</si>
  <si>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</si>
  <si>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</si>
  <si>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</si>
  <si>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</si>
  <si>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</si>
  <si>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</si>
  <si>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</si>
  <si>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</si>
  <si>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</si>
  <si>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</si>
  <si>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</si>
  <si>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</si>
  <si>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</si>
  <si>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</si>
  <si>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</si>
  <si>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</si>
  <si>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</si>
  <si>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</si>
  <si>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</si>
  <si>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</si>
  <si>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</si>
  <si>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</si>
  <si>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</si>
  <si>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</si>
  <si>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</si>
  <si>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</si>
  <si>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</si>
  <si>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</si>
  <si>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</si>
  <si>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</si>
  <si>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</si>
  <si>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</si>
  <si>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</si>
  <si>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</si>
  <si>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</si>
  <si>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</si>
  <si>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</si>
  <si>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</si>
  <si>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</si>
  <si>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</si>
  <si>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</si>
  <si>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</si>
  <si>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</si>
  <si>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</si>
  <si>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</si>
  <si>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</si>
  <si>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</si>
  <si>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</si>
  <si>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</si>
  <si>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</si>
  <si>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</si>
  <si>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</si>
  <si>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</si>
  <si>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</si>
  <si>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</si>
  <si>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</si>
  <si>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</si>
  <si>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</si>
  <si>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</si>
  <si>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</si>
  <si>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</si>
  <si>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</si>
  <si>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</si>
  <si>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</si>
  <si>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</si>
  <si>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</si>
  <si>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</si>
  <si>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</si>
  <si>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</si>
  <si>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</si>
  <si>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</si>
  <si>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</si>
  <si>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Annen godkjent kjernekapital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</si>
  <si>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</si>
  <si>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</si>
  <si>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</si>
  <si>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</si>
  <si>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</si>
  <si>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</si>
  <si>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</si>
  <si>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</si>
  <si>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</si>
  <si>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</si>
  <si>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</si>
  <si>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</si>
  <si>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</si>
  <si>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</si>
  <si>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</si>
  <si>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</si>
  <si>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</si>
  <si>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</si>
  <si>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</si>
  <si>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</si>
  <si>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</si>
  <si>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</si>
  <si>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</si>
  <si>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</si>
  <si>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</si>
  <si>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</si>
  <si>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</si>
  <si>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</si>
  <si>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</si>
  <si>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</si>
  <si>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</si>
  <si>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</si>
  <si>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</si>
  <si>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</si>
  <si>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</si>
  <si>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</si>
  <si>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</si>
  <si>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Tilleggskapital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</si>
  <si>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</si>
  <si>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</si>
  <si>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</si>
  <si>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</si>
  <si>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</si>
  <si>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</si>
  <si>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</si>
  <si>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</si>
  <si>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</si>
  <si>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Beregningsgrunnlag</t>
  </si>
  <si>
    <t>Kapitaldekning og buffere</t>
  </si>
  <si>
    <t>92 (2) (a)</t>
  </si>
  <si>
    <t>Kjernekapitaldekning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</si>
  <si>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</si>
  <si>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</si>
  <si>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</si>
  <si>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</si>
  <si>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</si>
  <si>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</si>
  <si>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</si>
  <si>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</si>
  <si>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</si>
  <si>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</si>
  <si>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</si>
  <si>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</si>
  <si>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</si>
  <si>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</si>
  <si>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</si>
  <si>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</si>
  <si>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</si>
  <si>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</si>
  <si>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</si>
  <si>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</si>
  <si>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</si>
  <si>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</si>
  <si>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</si>
  <si>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</si>
  <si>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</si>
  <si>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</si>
  <si>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</si>
  <si>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</si>
  <si>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</si>
  <si>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</si>
  <si>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</si>
  <si>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</si>
  <si>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</si>
  <si>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>Referanse</t>
  </si>
  <si>
    <t>Eiendeler</t>
  </si>
  <si>
    <t>Kontanter og fordringer på sentralbanker</t>
  </si>
  <si>
    <t>Utlån til og fordringer på kredittinstitusjoner</t>
  </si>
  <si>
    <t>Sertifikater og obligasjoner</t>
  </si>
  <si>
    <t>Finansielle derivater</t>
  </si>
  <si>
    <t>Aksjer, andeler og andre egenkapitalinteresser</t>
  </si>
  <si>
    <t>Investering i eierinteresser</t>
  </si>
  <si>
    <t>Virksomhet som skal selges</t>
  </si>
  <si>
    <t>Immaterielle eiendeler</t>
  </si>
  <si>
    <t>Andre eiendeler</t>
  </si>
  <si>
    <t>Sum eiendeler</t>
  </si>
  <si>
    <t xml:space="preserve">Forpliktelser </t>
  </si>
  <si>
    <t>Gjeld til kredittinstitusjoner</t>
  </si>
  <si>
    <t>Innskudd fra kunder</t>
  </si>
  <si>
    <t>Utsatt skatt</t>
  </si>
  <si>
    <t>Annen gjeld og balanseført forpliktelse</t>
  </si>
  <si>
    <t>Ansvarlig lånekapital</t>
  </si>
  <si>
    <t>Herav ansvarlig lånekapital som kvalifiserer som godkjent tilleggskapital</t>
  </si>
  <si>
    <t>Herav ansvarlig lån under overgangsregler</t>
  </si>
  <si>
    <t>Herav fondsobligasjoner under overgangsregler</t>
  </si>
  <si>
    <t>Sum gjeld</t>
  </si>
  <si>
    <t>Egenkapital</t>
  </si>
  <si>
    <t>Innskutt egenkapital</t>
  </si>
  <si>
    <t>Sum egenkapital</t>
  </si>
  <si>
    <t>Sum gjeld og egenkapital</t>
  </si>
  <si>
    <t>(B) Referanser til artikler i forordningen (CRR)</t>
  </si>
  <si>
    <t>(C) Beløp omfattet av overgangs-regler</t>
  </si>
  <si>
    <t>(A) Beløp på datoen for offentliggjøring</t>
  </si>
  <si>
    <t>Uvektet kjernekapitalandel (Leverage ratio)</t>
  </si>
  <si>
    <t xml:space="preserve">Derivater: Fremtidig eksponering ved bruk av markedsverdimetoden </t>
  </si>
  <si>
    <t xml:space="preserve">Øvrige eiendeler </t>
  </si>
  <si>
    <t xml:space="preserve">Kjernekapital </t>
  </si>
  <si>
    <t xml:space="preserve">Uvektet kjernekapitalandel </t>
  </si>
  <si>
    <t xml:space="preserve"> Oversikt over bokført verdi og virkelig verdi, gevinster og tap</t>
  </si>
  <si>
    <t>De viktigste avtalevilkårene for kapitalinstrumenter</t>
  </si>
  <si>
    <t xml:space="preserve"> Beregning av uvektet kjernekapitalandel (Leverage ratio)</t>
  </si>
  <si>
    <t>9a</t>
  </si>
  <si>
    <t>9b</t>
  </si>
  <si>
    <t xml:space="preserve"> De viktigste avtalevilkårene for kapitalinstrumenter</t>
  </si>
  <si>
    <t>SpareBank1 SR-Bank ASA</t>
  </si>
  <si>
    <t>BN Bank ASA</t>
  </si>
  <si>
    <t xml:space="preserve">SpareBank 1 SR-Bank ASA sin andel i SpareBank 1 Boligkreditt </t>
  </si>
  <si>
    <t xml:space="preserve">SpareBank 1 SR-Bank ASA sin andel i SpareBank 1 Næringskreditt </t>
  </si>
  <si>
    <t>SpareBank 1 SR-Bank ASA sin andel i BN Bank</t>
  </si>
  <si>
    <t xml:space="preserve">Elimineringer </t>
  </si>
  <si>
    <t>1)</t>
  </si>
  <si>
    <t>Forholdet mellom ansvarlig kapital i regnskapet og den ansvarlige kapitalen som beregnes for kapitaldekningsformål</t>
  </si>
  <si>
    <t>NO0010703879</t>
  </si>
  <si>
    <t>Gjeld-amortisert kost</t>
  </si>
  <si>
    <t>25.02.2019
Regulatorisk call
Callkurs 100</t>
  </si>
  <si>
    <t>Kvartalsvis påfølgende</t>
  </si>
  <si>
    <t>Full fleksibilitet</t>
  </si>
  <si>
    <t>Kan skrive opp obligasjonene og betale obligasjonsrente iht de til enhver tid gjeldende regler for slik oppskrivning og rentebetaling</t>
  </si>
  <si>
    <t>SpareBank 1 Boligkreditt</t>
  </si>
  <si>
    <t>NO0010713746</t>
  </si>
  <si>
    <t>Ansvarlig lån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</si>
  <si>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</si>
  <si>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</si>
  <si>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Senior Usikret</t>
  </si>
  <si>
    <t>SpareBank 1 Næringskreditt</t>
  </si>
  <si>
    <t>Etter nedskrivning av obligasjonene kan utstederen skrive opp obligasjonene og betale obligasjonsrente i henhold til de til enhver tid gjeldende regler for slik oppskrivning og rentebetaling.</t>
  </si>
  <si>
    <t>Delkonsolidert nivå</t>
  </si>
  <si>
    <t>Tier 1</t>
  </si>
  <si>
    <t>Portefølje</t>
  </si>
  <si>
    <t>Estimert mislighold</t>
  </si>
  <si>
    <t>Faktisk mislighold</t>
  </si>
  <si>
    <t>Massemarked med pant i fast eiendom</t>
  </si>
  <si>
    <t>Estimert tapsgrad</t>
  </si>
  <si>
    <t>Faktisk tapsgrad</t>
  </si>
  <si>
    <t>Uvektet IRB Misligholdsnivå - PD per misligholdsklasse</t>
  </si>
  <si>
    <t>IRB Misligholdsnivå - PD per misligholdsklasse</t>
  </si>
  <si>
    <t>Uvektet IRB Misligholdsnivå - PD-modeller</t>
  </si>
  <si>
    <t>IRB Misligholdsnivå - PD-modeller</t>
  </si>
  <si>
    <t>IRB Tapsgrad for misligholdte lån - LGD</t>
  </si>
  <si>
    <t xml:space="preserve"> IRB Tapsgrad for misligholdte lån - LGD (uvektet) </t>
  </si>
  <si>
    <t>Regnskapshuset SR AS</t>
  </si>
  <si>
    <t>SR-Boligkreditt AS</t>
  </si>
  <si>
    <t>kjernekapitalinstumenter som ikke kommer til fradrag i ansvarlig kapital vektes 250 % i beregningsgrunnlaget.</t>
  </si>
  <si>
    <t>NO0010731904</t>
  </si>
  <si>
    <t>11.03.2020 Regulatorisk call Callkurs 100</t>
  </si>
  <si>
    <t xml:space="preserve">Skal stå tilbake for utstederens alminnelige ikke-subordinerte gjeld, dog slik at obligasjonene med renter skal ha prioritet likt med annen Tilleggskapital og skal dekkes foran utstederens kjernekapital </t>
  </si>
  <si>
    <t>1) Bokført verdi av aksjene i de respektive selskapene inkludert indirekte eierandeler erstattes av SpareBank 1 SR-Bank sin andel av selskapene sine poster i balansen.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</si>
  <si>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</si>
  <si>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</si>
  <si>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</si>
  <si>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>NO0010704109</t>
  </si>
  <si>
    <t>NO0010745920</t>
  </si>
  <si>
    <t>NO0010746191</t>
  </si>
  <si>
    <t>1) Eierandelen i BN Bank inkluderer indirekte eierandeler.</t>
  </si>
  <si>
    <t>1) Eierandelen i SpareBank 1 Boligkreditt inkluderer indirekte eierandeler.</t>
  </si>
  <si>
    <r>
      <t xml:space="preserve">SpareBank 1 SR-Bank ASA eier 24,2 % av BN Bank </t>
    </r>
    <r>
      <rPr>
        <b/>
        <vertAlign val="superscript"/>
        <sz val="9"/>
        <rFont val="Calibri"/>
        <family val="2"/>
        <scheme val="minor"/>
      </rPr>
      <t>1)</t>
    </r>
  </si>
  <si>
    <t>Datterselskap som rapporterer etter IRB metode</t>
  </si>
  <si>
    <t xml:space="preserve">Kredittrisiko- og motpartsrisiko  </t>
  </si>
  <si>
    <t xml:space="preserve"> herav kjernekapitaldekning</t>
  </si>
  <si>
    <t xml:space="preserve"> herav tilleggskapitaldekning</t>
  </si>
  <si>
    <t>EUR 50</t>
  </si>
  <si>
    <t>Verdi 
31.12.2015</t>
  </si>
  <si>
    <t>Visa Norge IFS</t>
  </si>
  <si>
    <t>3 mnd Nibor + 1,80 % p.a.</t>
  </si>
  <si>
    <t>9,35 % p.a. til 9.12.2019, deretter 3 mnd Nibor + 5,75 % p.a.</t>
  </si>
  <si>
    <t>3 mnd Nibor + 4,75 % p.a. til 9.12.2019, deretter Nibor + 5,75 % p.a.</t>
  </si>
  <si>
    <t>3 mnd NIBOR + 4,75% til 09.12.19, deretter Nibor+ 5,75%</t>
  </si>
  <si>
    <t>Obligasjoner med fortrinnsrett</t>
  </si>
  <si>
    <t xml:space="preserve">SpareBank 1 SR-Bank har ingen sikkerhetsstillelser som medfører redusert engasjementsbeløp. </t>
  </si>
  <si>
    <t>Utlån til kunder</t>
  </si>
  <si>
    <t xml:space="preserve"> Ansvarlig lånekapital og fondsobligasjoner</t>
  </si>
  <si>
    <t>Ufordelt (merverdi fastrente utlån)</t>
  </si>
  <si>
    <t xml:space="preserve">Misligholdsklasse (PD-intervall) </t>
  </si>
  <si>
    <t xml:space="preserve"> Samlet engasjementsbeløp og andelen som er sikret med pant i fast eiendom fordelt på engasjementskategorier (IRB)</t>
  </si>
  <si>
    <t>Ansvarlig lånekapital og fondsobligasjoner</t>
  </si>
  <si>
    <t>Sum massemarked med pant i fast eiendom</t>
  </si>
  <si>
    <t xml:space="preserve">Foretak   </t>
  </si>
  <si>
    <t>Finansielle investeringer til virkelig verdi over resultatet</t>
  </si>
  <si>
    <t>Sum strategiske investeringer tilgjengelig for salg</t>
  </si>
  <si>
    <t xml:space="preserve">Sammensetningen av ansvarlig kapital </t>
  </si>
  <si>
    <t>Delårsresultat</t>
  </si>
  <si>
    <t>Uvektet kjernekapitaldekning</t>
  </si>
  <si>
    <t>Egenkapital posisjoner</t>
  </si>
  <si>
    <t>XS1334772255</t>
  </si>
  <si>
    <t xml:space="preserve"> Tier 2</t>
  </si>
  <si>
    <t>EUR 50 mill</t>
  </si>
  <si>
    <t>Nei</t>
  </si>
  <si>
    <t>4,00 % til 21.12.17, deretter 6 mnd EURIBOR + 1,725 %</t>
  </si>
  <si>
    <t>NO0010767643</t>
  </si>
  <si>
    <t xml:space="preserve">(-) Mottatt godkjent løpende margin i form av kontanter som motregnes mot endring i markedsverdi 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</si>
  <si>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</si>
  <si>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</si>
  <si>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</si>
  <si>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</si>
  <si>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</si>
  <si>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</si>
  <si>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CCP-element  av kundeclearede engasjementer i form av eksponeringer i derivater (markedsverdi) 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</si>
  <si>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</si>
  <si>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</si>
  <si>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</si>
  <si>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</si>
  <si>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</si>
  <si>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</si>
  <si>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</si>
  <si>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</si>
  <si>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</si>
  <si>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</si>
  <si>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</si>
  <si>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</si>
  <si>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</si>
  <si>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</si>
  <si>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</si>
  <si>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</si>
  <si>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</si>
  <si>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</si>
  <si>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</si>
  <si>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</si>
  <si>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Kjernekapital etter overgangsregler </t>
  </si>
  <si>
    <t xml:space="preserve">Uvektet kjernekapitalandel etter overgangsregler </t>
  </si>
  <si>
    <t xml:space="preserve">Kapital </t>
  </si>
  <si>
    <t>HitecVision Asset Solutions LP</t>
  </si>
  <si>
    <t xml:space="preserve">Strategiske investeringer til virkelig verdi over resultat </t>
  </si>
  <si>
    <t>Verdi 
31.12.2016</t>
  </si>
  <si>
    <t>Verdiendring 
i 2016 (i %)</t>
  </si>
  <si>
    <t>Netto konsernkonti valuta</t>
  </si>
  <si>
    <t>År</t>
  </si>
  <si>
    <t>Gjennomsnitt</t>
  </si>
  <si>
    <t xml:space="preserve">Estimert mislighold </t>
  </si>
  <si>
    <t xml:space="preserve">Faktisk mislighold </t>
  </si>
  <si>
    <t xml:space="preserve"> IRB Tapsgrad for misligholdte lån - LGD (EAD-vektet) </t>
  </si>
  <si>
    <t>EAD-vektet IRB Misligholdsnivå - PD-modeller</t>
  </si>
  <si>
    <t xml:space="preserve">Endring i virkelig verdi fra inngående balanse resultatføres som inntekt fra finansielle investeringer.  </t>
  </si>
  <si>
    <t xml:space="preserve">Massemarked </t>
  </si>
  <si>
    <t>Forventet tap</t>
  </si>
  <si>
    <t>Faktisk tap</t>
  </si>
  <si>
    <t xml:space="preserve">IRB Forventet tap (EL) og faktisk netto regnskapsført tap </t>
  </si>
  <si>
    <t xml:space="preserve">Spesialiserte foretak* </t>
  </si>
  <si>
    <t xml:space="preserve">* SpareBank 1 SR-Bank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</si>
  <si>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</si>
  <si>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</si>
  <si>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</si>
  <si>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</si>
  <si>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</si>
  <si>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</si>
  <si>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</si>
  <si>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</si>
  <si>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</si>
  <si>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</si>
  <si>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</si>
  <si>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</si>
  <si>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</si>
  <si>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</si>
  <si>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</si>
  <si>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Verdipapiriserings-engasjementer</t>
  </si>
  <si>
    <t>Vekter for kapitalkrav</t>
  </si>
  <si>
    <t>Motsyklisk kapitalbuffersats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</si>
  <si>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</si>
  <si>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</si>
  <si>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</si>
  <si>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</si>
  <si>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</si>
  <si>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Engasjements-beløp for SA</t>
  </si>
  <si>
    <t>Engasjements-beløp for IRB</t>
  </si>
  <si>
    <t>Overholdelse av krav om motsyklisk kapitalbuffer</t>
  </si>
  <si>
    <t>I konsernet foretas en forholdsmessig konsolidering.</t>
  </si>
  <si>
    <r>
      <t xml:space="preserve">BN Bank ASA </t>
    </r>
    <r>
      <rPr>
        <vertAlign val="superscript"/>
        <sz val="9"/>
        <rFont val="Calibri"/>
        <family val="2"/>
        <scheme val="minor"/>
      </rPr>
      <t>1)</t>
    </r>
  </si>
  <si>
    <t>SpareBank 1 Kredittkort AS</t>
  </si>
  <si>
    <t>SpareBank 1 Næringskreditt AS og SpareBank 1 Kredittkort AS bruker standardmetoden i sin kapitaldekningsrapportering.</t>
  </si>
  <si>
    <t xml:space="preserve">SpareBank 1 SR-Bank ASA sin andel i SpareBank 1 Kredittkort </t>
  </si>
  <si>
    <t xml:space="preserve">2) I enkelte av de tilknyttede selskapene foretas det en omallokering basert på solgte utlån ved årsslutt som medfører at eierandelen endres pr 31.12. Den bokførte verdien av disse selskapene   </t>
  </si>
  <si>
    <t>Norsk rett</t>
  </si>
  <si>
    <t>NOK 625 mill</t>
  </si>
  <si>
    <t>NO0010792476</t>
  </si>
  <si>
    <t>NO0010799323</t>
  </si>
  <si>
    <t>NOK 150 mill</t>
  </si>
  <si>
    <t>3 mnd NIBOR + 1,52%</t>
  </si>
  <si>
    <t>3 mnd NIBOR + 3,20%</t>
  </si>
  <si>
    <t>Innenfor maksimalt disponeringsbeløp iht CRDIV/CRR-forskriften § 6</t>
  </si>
  <si>
    <t>Hybridkapital</t>
  </si>
  <si>
    <t>Hybridkapital som ikke kan medregnes i ren kjernekapital</t>
  </si>
  <si>
    <t xml:space="preserve">Herav fondsobligasjoner som kvalifiserer som annen godkjent kjernekapital  </t>
  </si>
  <si>
    <t xml:space="preserve">Hybridkapital som kvalifiserer som annen godkjent kjernekapital </t>
  </si>
  <si>
    <t xml:space="preserve">    SR-Boligkreditt</t>
  </si>
  <si>
    <t>Investeringer i tilknyttede selskaper blir bokført etter egenkapitalmetoden i konsernet og etter kostmetoden i morbanken.</t>
  </si>
  <si>
    <t>Investeringer i felleskontrollert virksomhet blir bokført etter egenkapitalmetoden i konsernet og etter kostmetoden i morbanken.</t>
  </si>
  <si>
    <t>prosent. Kravet består av 4,5 prosent i minstekrav, i tillegg til øvrige bufferkrav hvorav kravet til bevaringsbuffer er 2,5 prosent, systemrisikobuffer</t>
  </si>
  <si>
    <t>NO0010802382</t>
  </si>
  <si>
    <t>NOK 300 mill</t>
  </si>
  <si>
    <t>3 mnd NIBOR + 1,45%</t>
  </si>
  <si>
    <t>Pr 31.12.2017</t>
  </si>
  <si>
    <t xml:space="preserve">SpareBank 1 Boligkreditt AS, SpareBank 1 Næringskreditt AS, BN Bank AS og SpareBank 1 Kredittkort AS. </t>
  </si>
  <si>
    <t>Kapitaldekning i prosent 31.12.2017</t>
  </si>
  <si>
    <t xml:space="preserve"> 31.12.2017</t>
  </si>
  <si>
    <t>SpareBank 1 Betaling</t>
  </si>
  <si>
    <t>Visa</t>
  </si>
  <si>
    <t>3,0 prosent og motsyklisk buffer 2,0 prosent. Videre har Finanstilsynet fastsatt et individuelt Pilar 2-krav på 2,0 prosent.</t>
  </si>
  <si>
    <r>
      <t xml:space="preserve">Hybridkapital </t>
    </r>
    <r>
      <rPr>
        <vertAlign val="superscript"/>
        <sz val="9"/>
        <rFont val="Calibri"/>
        <family val="2"/>
        <scheme val="minor"/>
      </rPr>
      <t>1)</t>
    </r>
  </si>
  <si>
    <t xml:space="preserve">Motsykliskbuffer 2,0 % </t>
  </si>
  <si>
    <t>Systemrisikobuffer 3,0 %</t>
  </si>
  <si>
    <t>Stater og sentralbanker</t>
  </si>
  <si>
    <t>Lokale og regionale myndigheter, offentlige foretak</t>
  </si>
  <si>
    <t>Verdiendring 
i 2017 (i %)</t>
  </si>
  <si>
    <t>Verdi 
31.12.2017</t>
  </si>
  <si>
    <t xml:space="preserve">Foretak SMB </t>
  </si>
  <si>
    <t>Monner AS</t>
  </si>
  <si>
    <t>SR PE Feeder IV AS</t>
  </si>
  <si>
    <t>Optimarin AS</t>
  </si>
  <si>
    <t>Offshore Merchant Partners Asset Yield Fund LP</t>
  </si>
  <si>
    <t>SpareBank 1 Markets</t>
  </si>
  <si>
    <t>Verdi
 2017</t>
  </si>
  <si>
    <t xml:space="preserve">mål for maksimalt potensielt tap ved et parallellskift i rentekurven på ett prosentpoeng. </t>
  </si>
  <si>
    <t>Rammen er totalt 85 mill kroner fordelt på 50 mill kroner og 35 mill kroner på totalbalansen for henholdsvis Treasury og SR-Bank Markets.</t>
  </si>
  <si>
    <t xml:space="preserve">Den kommersielle risikoen kvantifiseres og overvåkes kontinuerlig. </t>
  </si>
  <si>
    <t xml:space="preserve">
Kapitaldekning under de til enhver tid gjeldende minstekrav Finanstilsynet eller annen kompetent offentlig myndighet kan instruere nedskrivning med endelig virkning.
Nedskrivningen skal skje i samsvar med de til enhver tid gjeldende regler og regulering samt forvaltningspraksis for nedskrivning (pt gitt i Beregningsforskriften og Finanstilsynets rundskriv 14/2011).</t>
  </si>
  <si>
    <t>Ja</t>
  </si>
  <si>
    <t>Ref. pkt 24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</si>
  <si>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</si>
  <si>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NO0010811318</t>
  </si>
  <si>
    <t>3mN +310</t>
  </si>
  <si>
    <t>baserer seg på resultatandelen i 2017 og det er denne resultatandelen som benyttes ved utbytteutbetaling.</t>
  </si>
  <si>
    <t>NOK 300</t>
  </si>
  <si>
    <t>NOK 625</t>
  </si>
  <si>
    <t>3 mnd Nibor + 1,45 % p.a.</t>
  </si>
  <si>
    <t>3 mnd Nibor + 1,52 % p.a.</t>
  </si>
  <si>
    <t>6 mnd Euribor + 1,725 % p.a.</t>
  </si>
  <si>
    <t>NOK 472 mill</t>
  </si>
  <si>
    <t>2017                                                                       Engasjementskategori</t>
  </si>
  <si>
    <t>Egenkapital-amortisert kost</t>
  </si>
  <si>
    <t>Pr 31.12.2018</t>
  </si>
  <si>
    <t xml:space="preserve">FinStart Nordic AS </t>
  </si>
  <si>
    <t>FinStart Nordic AS</t>
  </si>
  <si>
    <r>
      <t xml:space="preserve">Eierandel i prosent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 31.12.2017</t>
    </r>
  </si>
  <si>
    <r>
      <t xml:space="preserve">Risikovektet balanse </t>
    </r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31.12.2017</t>
    </r>
  </si>
  <si>
    <r>
      <t xml:space="preserve">Eierandel i prosent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 31.12.2018</t>
    </r>
  </si>
  <si>
    <r>
      <t xml:space="preserve">Risikovektet balanse </t>
    </r>
    <r>
      <rPr>
        <b/>
        <vertAlign val="superscript"/>
        <sz val="9"/>
        <rFont val="Calibri"/>
        <family val="2"/>
        <scheme val="minor"/>
      </rPr>
      <t>2)</t>
    </r>
    <r>
      <rPr>
        <b/>
        <sz val="9"/>
        <rFont val="Calibri"/>
        <family val="2"/>
        <scheme val="minor"/>
      </rPr>
      <t xml:space="preserve"> 31.12.2018</t>
    </r>
  </si>
  <si>
    <t>Kapitaldekning i prosent 31.12.2018</t>
  </si>
  <si>
    <t xml:space="preserve"> 31.12.2018</t>
  </si>
  <si>
    <t>Verdiendring 
i 2018 (i %)</t>
  </si>
  <si>
    <t>Verdi 
31.12.2018</t>
  </si>
  <si>
    <t>Verdi
 2018</t>
  </si>
  <si>
    <r>
      <t xml:space="preserve">Risikovektet balanse  2017 </t>
    </r>
    <r>
      <rPr>
        <vertAlign val="superscript"/>
        <sz val="9"/>
        <rFont val="Calibri"/>
        <family val="2"/>
        <scheme val="minor"/>
      </rPr>
      <t>1)</t>
    </r>
  </si>
  <si>
    <r>
      <t xml:space="preserve">Risikovektet balanse  2018 </t>
    </r>
    <r>
      <rPr>
        <b/>
        <vertAlign val="superscript"/>
        <sz val="9"/>
        <rFont val="Calibri"/>
        <family val="2"/>
        <scheme val="minor"/>
      </rPr>
      <t>1)</t>
    </r>
  </si>
  <si>
    <t>Standardtabell for offentliggjøring av opplysninger om foretaks overholdelse av krav om motsyklisk kapitalbuffer per 31.12.2018</t>
  </si>
  <si>
    <t>Bjergsted Terrasse AS</t>
  </si>
  <si>
    <t>31.12.2017 (Etter IAS 39)</t>
  </si>
  <si>
    <t>31.12.2018 (Etter IFRS 9)</t>
  </si>
  <si>
    <t>Trinn 3</t>
  </si>
  <si>
    <t>2018 (Etter IFRS 9)</t>
  </si>
  <si>
    <t>2017 (Etter IAS39)</t>
  </si>
  <si>
    <t>Nedskrivninger på utlån</t>
  </si>
  <si>
    <t>Nedskrivninger på finansielle forpliktelser</t>
  </si>
  <si>
    <t>Fiske/ fiskeoppdrett</t>
  </si>
  <si>
    <t>Jordbruk/ skogbruk</t>
  </si>
  <si>
    <t xml:space="preserve">Energi, olje og gass </t>
  </si>
  <si>
    <t>Bygg og anlegg</t>
  </si>
  <si>
    <t>Kraft og vannforsyning</t>
  </si>
  <si>
    <t>Eiendom</t>
  </si>
  <si>
    <t>Shipping og øvrig transport</t>
  </si>
  <si>
    <t>Fradrag ren kjernekapital for ikke vesentlige investeringer i finansinstitusjoner</t>
  </si>
  <si>
    <t>Verdijustering som følge av kravene om forsvarlig verdsettelse</t>
  </si>
  <si>
    <t>NOK 700</t>
  </si>
  <si>
    <t>HitecVision Private Equity IV LP</t>
  </si>
  <si>
    <t>Boost AI AS</t>
  </si>
  <si>
    <t>Trinn 1</t>
  </si>
  <si>
    <t>Trinn 2</t>
  </si>
  <si>
    <t>Varehandel, hotell og restaurantvirksomh.</t>
  </si>
  <si>
    <t>Sum Næring</t>
  </si>
  <si>
    <t>Sum Personkunder</t>
  </si>
  <si>
    <t>Total balanseført nedskrivning utlån</t>
  </si>
  <si>
    <t xml:space="preserve">Trinn 1 </t>
  </si>
  <si>
    <t>Total</t>
  </si>
  <si>
    <t>Balanse 01.01.2018</t>
  </si>
  <si>
    <t>Endringer 01.01 - 31.12.2018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</si>
  <si>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</si>
  <si>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</si>
  <si>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</si>
  <si>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</si>
  <si>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</si>
  <si>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</si>
  <si>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Endring pga modifikasjoner som ikke har resultert i fraregning</t>
  </si>
  <si>
    <t>Periodens konstaterte tap</t>
  </si>
  <si>
    <t>Periodens konstaterte tap hvor det tidligere er nedskrevet</t>
  </si>
  <si>
    <t xml:space="preserve">Endringer i modell/risikoparametre </t>
  </si>
  <si>
    <t>Andre bevegelser</t>
  </si>
  <si>
    <t>Balanse 31.12.2018</t>
  </si>
  <si>
    <r>
      <t>SpareBank 1 Kredittkort</t>
    </r>
    <r>
      <rPr>
        <b/>
        <vertAlign val="superscript"/>
        <sz val="9"/>
        <rFont val="Calibri"/>
        <family val="2"/>
        <scheme val="minor"/>
      </rPr>
      <t xml:space="preserve"> </t>
    </r>
  </si>
  <si>
    <t>Av totalt 2 951 mill kroner i ansvarlig lånekapital teller 798 mill kroner som kjernekapital og 2 097 mill kroner som tidsbegrenset ansvarlig kapital.</t>
  </si>
  <si>
    <t>Nedskrivninger på utlån og finansielle forpliktelser</t>
  </si>
  <si>
    <t>01.01.2018</t>
  </si>
  <si>
    <t>Endring nedskrivning på utlån</t>
  </si>
  <si>
    <t>Endring nedskrivning på finansielle forpliktelser</t>
  </si>
  <si>
    <t>Total 
31.12.2018</t>
  </si>
  <si>
    <t>Nedskrivninger etter amortisert kost - Bedriftsmarked</t>
  </si>
  <si>
    <t>Nedskrivninger etter amortisert kost - Privatmarked</t>
  </si>
  <si>
    <t>Boliglån til virkelig verdi over utvidet resultat</t>
  </si>
  <si>
    <t>Sum nedskrivninger på utlån og finansielle forpliktelser</t>
  </si>
  <si>
    <t>Presentert som:</t>
  </si>
  <si>
    <t>Finansielle forpliktelser - nedskrivninger på garantier, ubenyttet kreditt, lånetilsagn</t>
  </si>
  <si>
    <t>NO0010833486</t>
  </si>
  <si>
    <t>NOK 682 mill</t>
  </si>
  <si>
    <t>NOK 700 mill</t>
  </si>
  <si>
    <t>NOK 400 mill</t>
  </si>
  <si>
    <t>3 mnd NIBOR + 3,50%</t>
  </si>
  <si>
    <t>3 mnd NIBOR + 2.10 %</t>
  </si>
  <si>
    <t>3 mnd NIBOR + 3.75 %</t>
  </si>
  <si>
    <t>full fleksibilitet</t>
  </si>
  <si>
    <t>Om kapitaldekning faller under 8,0 % eller kjernekapital under 5,125 %</t>
  </si>
  <si>
    <t>NO0010826696</t>
  </si>
  <si>
    <t>NO0010835408</t>
  </si>
  <si>
    <t>NO0010833908</t>
  </si>
  <si>
    <t>3mN +225</t>
  </si>
  <si>
    <t>3mN +360</t>
  </si>
  <si>
    <t>3mN +450</t>
  </si>
  <si>
    <t>3mN +153</t>
  </si>
  <si>
    <t>3mN +167</t>
  </si>
  <si>
    <t>3mN +180</t>
  </si>
  <si>
    <r>
      <t xml:space="preserve"> SpareBank 1 SR-Bank ASA eier 4,81 % av SpareBank 1 Boligkreditt </t>
    </r>
    <r>
      <rPr>
        <b/>
        <vertAlign val="superscript"/>
        <sz val="9"/>
        <rFont val="Calibri"/>
        <family val="2"/>
        <scheme val="minor"/>
      </rPr>
      <t>1)</t>
    </r>
  </si>
  <si>
    <t>Stå tilbake for all annen gjeld og skal, med mindre annet er avtalt eller fremkommer av offentlige reguleringer, ha prioritet likt med annen hybridkapital
- Instrumenter i kolonne L har bedre prioritet</t>
  </si>
  <si>
    <t>NO0010834930</t>
  </si>
  <si>
    <t>25.10.2023
Regulatorisk call
Callkurs 100</t>
  </si>
  <si>
    <t xml:space="preserve"> - Når dekningen av Ren Kjernekapital faller under 5,125 prosent på Utsteders selskapsnivå eller på konsolidert nivå, regnet både for (i)Utsteder alene og (ii)den gruppe der Utsteder er Deltagende Foretak. - Finanstilsynet eller annen kompetent offentlig myndighet kan instruere nedskrivning med endelig virkning.</t>
  </si>
  <si>
    <t xml:space="preserve"> SpareBank 1 SR-Bank ASA Balanse etter regnskap 31.12.2018</t>
  </si>
  <si>
    <t>SpareBank 1 SR-Bank ASA Balanse etter kapitaldekning 31.12.2018</t>
  </si>
  <si>
    <t>3) BN Bank foretar en proporsjonal konsolidering av selskapene SB1 Boligkreditt og SB1 Kredittkort i sin kapitaldekning, regnskapsmessig bruker BN Bank kostmetoden.</t>
  </si>
  <si>
    <t>3)</t>
  </si>
  <si>
    <r>
      <t xml:space="preserve">1)  </t>
    </r>
    <r>
      <rPr>
        <sz val="9"/>
        <rFont val="Calibri"/>
        <family val="2"/>
        <scheme val="minor"/>
      </rPr>
      <t>Inkludert indirekte eierandeler, fra og med 1. kvartal 2018 har vi kun indirekte eierandeler i BN Bank.</t>
    </r>
  </si>
  <si>
    <t>Samlet minstekrav for SpareBank 1 SR Bank til ren kjernekapitaldekning inkludert motsyklisk kapitalbuffer og Pilar 2 påslag var pr 31.12.2018 14,0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</si>
  <si>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</si>
  <si>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</si>
  <si>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t>2018 (IFRS 9)</t>
  </si>
  <si>
    <t>2017 (IAS 39)</t>
  </si>
  <si>
    <t xml:space="preserve">
Beløp i mill kroner</t>
  </si>
  <si>
    <t>Risikoklasse</t>
  </si>
  <si>
    <t>Brutto engasjementsbeløp på balansen</t>
  </si>
  <si>
    <t>Brutto engasjementsbeløp utenom balansen</t>
  </si>
  <si>
    <t>Vektet gjennomsnittlig PD</t>
  </si>
  <si>
    <t>Vektet gjennomsnittlig LGD</t>
  </si>
  <si>
    <t>RWA</t>
  </si>
  <si>
    <t>Gjennomsnittlig risikovekt</t>
  </si>
  <si>
    <t>SMB</t>
  </si>
  <si>
    <t xml:space="preserve">I </t>
  </si>
  <si>
    <t>Subtotal</t>
  </si>
  <si>
    <t>Øvrig foretak</t>
  </si>
  <si>
    <t>Massemarked pant i fast eiendom</t>
  </si>
  <si>
    <t>Total (all portfolios)</t>
  </si>
  <si>
    <t>Kredittkvalitet for eksponeringer etter IRB metode</t>
  </si>
  <si>
    <t>Balanseførte nedskrivninger på utlån, trinnvis fordelt per næring.</t>
  </si>
  <si>
    <t>Balanseførte nedskrivninger på utlån og finansielle forpliktelser</t>
  </si>
  <si>
    <t>Balanseførte nedskrivinger på utlån og finansielle forpliktelser, trinnvis fordelt på geografiske områder,</t>
  </si>
  <si>
    <t>Nedskrivining 2017 utgående balanse var etter IAS 39, mens nedskrivning 01.01.2018 er etter IFRS 9. Forskjellen skyldes endring som følge av ny måling.</t>
  </si>
  <si>
    <t>2008-2018</t>
  </si>
  <si>
    <t>2007-2017</t>
  </si>
  <si>
    <t xml:space="preserve">Internt estimert EAD-vektet tapsgrad for misligholdte lån mot massemarked med pant i fast eiendom (uten regulatoriske minimumskrav) var 12,5 % i 2017 og 14,3 % i årene 2007-2017. </t>
  </si>
  <si>
    <t xml:space="preserve">Internt estimert uvektet tapsgrad for misligholdte lån mot massemarked med pant i fast eiendom (uten regulatoriske minimumskrav) var 11,8 % i 2017 og 13,9 % i årene 2007-2017. </t>
  </si>
  <si>
    <t xml:space="preserve">Validering av tapsgrad for 2018 var under utarbeidelse ved publisering av rapporten. </t>
  </si>
  <si>
    <t>Merk at validering av tapsgrad er endret fra rapportering per realisasjonsår til rapportering per misligholdsår.</t>
  </si>
  <si>
    <t>Fra og med 2019 klassifiseres aksjer til virkelig verdi over resultatet.</t>
  </si>
  <si>
    <t>Beløp i mill. kroner</t>
  </si>
  <si>
    <t>NO0010832421</t>
  </si>
  <si>
    <t xml:space="preserve">Dette arbeidet vil fullføres samtidig med tilpasning til ny Basel standard. </t>
  </si>
  <si>
    <t>Balanseførte nedskrivinger på utlån og finansielle forpliktelser, trinnvis fordelt på geografiske områder</t>
  </si>
  <si>
    <t xml:space="preserve">Det er i 2018 implementert ny rapporteringsmetodikk for eksponeringer etter IRB metode. </t>
  </si>
  <si>
    <t xml:space="preserve"> Engasjementsbeløp for hver engasjementstype fordelt på geografiske områder før fradrag for nedskrivninger</t>
  </si>
  <si>
    <t xml:space="preserve"> Samlet engasjementsbeløp er definert som brutto utlån til kunder + garantier + ubenyttet kreditt i konsernet, </t>
  </si>
  <si>
    <t>Balanseførte nedskrivninger på utlån, trinnfordelt per næring</t>
  </si>
  <si>
    <t xml:space="preserve"> Investeringer (egenkapitalposisjoner utenfor handelsportefølje) fordelt etter formål</t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</si>
  <si>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</si>
  <si>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</si>
  <si>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 Forholdet mellom ansvarlig kapital i konsernregnskapet og den ansvarlige kapitalen som beregnes for kapitaldekningsformål</t>
  </si>
  <si>
    <t xml:space="preserve"> Samlet engasjementsbeløp fordelt på engasjementstype</t>
  </si>
  <si>
    <t>etter eventuell nedskrivning og uten hensyn til eventuell sikkerhetsstillelse og engasjementenes gjennomsnittlige størrelse i løpet av perioden.</t>
  </si>
  <si>
    <t>Samlet engasjementsbeløp fordelt på engasjementstype</t>
  </si>
  <si>
    <t>Offentliggjøring av godtgjørelse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</si>
  <si>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</si>
  <si>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</si>
  <si>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</si>
  <si>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</si>
  <si>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</si>
  <si>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Ansatte som er ansvarlig for uavhengig kontrollfunksjon</t>
  </si>
  <si>
    <t>Tillitsvalgte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</si>
</sst>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#,##0.0"/>
    <numFmt numFmtId="173" formatCode="dd/mm/yyyy;@"/>
    <numFmt numFmtId="174" formatCode="_ * #,##0_ ;_ * \-#,##0_ ;_ * &quot;-&quot;??_ ;_ @_ "/>
    <numFmt numFmtId="175" formatCode="dd/mm/yy;@"/>
    <numFmt numFmtId="176" formatCode="_-* #,##0_-;\-* #,##0_-;_-* &quot;-&quot;??_-;_-@_-"/>
    <numFmt numFmtId="177" formatCode="#,##0.000"/>
    <numFmt numFmtId="178" formatCode="dd\/mm\/yyyy"/>
  </numFmts>
  <fonts count="60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i/>
      <vertAlign val="superscript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10"/>
      <color rgb="FFFF0000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singleAccounting"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0"/>
      <color rgb="FFFF0000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6"/>
      <color rgb="FF44546A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</borders>
  <cellStyleXfs count="23">
    <xf numFmtId="0" fontId="0" fillId="0" borderId="0"/>
    <xf numFmtId="169" fontId="6" fillId="0" borderId="0" applyFill="0" applyBorder="0">
      <alignment horizontal="right" vertical="top"/>
    </xf>
    <xf numFmtId="0" fontId="7" fillId="0" borderId="0">
      <alignment horizontal="center" wrapText="1"/>
    </xf>
    <xf numFmtId="165" fontId="6" fillId="0" borderId="0" applyFill="0" applyBorder="0" applyAlignment="0" applyProtection="0">
      <alignment horizontal="right" vertical="top"/>
    </xf>
    <xf numFmtId="167" fontId="5" fillId="0" borderId="0"/>
    <xf numFmtId="0" fontId="6" fillId="0" borderId="0" applyFill="0" applyBorder="0">
      <alignment horizontal="left" vertical="top"/>
    </xf>
    <xf numFmtId="168" fontId="4" fillId="0" borderId="0"/>
    <xf numFmtId="0" fontId="8" fillId="0" borderId="0"/>
    <xf numFmtId="0" fontId="6" fillId="0" borderId="0"/>
    <xf numFmtId="0" fontId="8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6" borderId="12" applyNumberFormat="0" applyFont="0" applyBorder="0">
      <alignment horizontal="center" vertical="center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1" fillId="0" borderId="0"/>
    <xf numFmtId="0" fontId="52" fillId="0" borderId="0"/>
    <xf numFmtId="0" fontId="53" fillId="0" borderId="0"/>
    <xf numFmtId="0" fontId="53" fillId="0" borderId="0"/>
    <xf numFmtId="166" fontId="55" fillId="0" borderId="0" applyFont="0" applyFill="0" applyBorder="0" applyAlignment="0" applyProtection="0"/>
  </cellStyleXfs>
  <cellXfs count="874">
    <xf numFmtId="0" fontId="0" fillId="0" borderId="0" xfId="0"/>
    <xf numFmtId="0" fontId="10" fillId="2" borderId="5" xfId="0" applyFont="1" applyFill="1" applyBorder="1"/>
    <xf numFmtId="14" fontId="11" fillId="2" borderId="5" xfId="0" applyNumberFormat="1" applyFont="1" applyFill="1" applyBorder="1"/>
    <xf numFmtId="14" fontId="10" fillId="2" borderId="5" xfId="0" applyNumberFormat="1" applyFont="1" applyFill="1" applyBorder="1"/>
    <xf numFmtId="0" fontId="10" fillId="0" borderId="0" xfId="5" applyFont="1" applyFill="1">
      <alignment horizontal="left" vertical="top"/>
    </xf>
    <xf numFmtId="164" fontId="10" fillId="0" borderId="0" xfId="1" applyNumberFormat="1" applyFont="1" applyFill="1" applyAlignment="1">
      <alignment vertical="top"/>
    </xf>
    <xf numFmtId="0" fontId="10" fillId="0" borderId="0" xfId="5" applyFont="1" applyFill="1" applyAlignment="1">
      <alignment horizontal="left" vertical="top"/>
    </xf>
    <xf numFmtId="0" fontId="11" fillId="0" borderId="6" xfId="5" applyFont="1" applyFill="1" applyBorder="1" applyAlignment="1">
      <alignment horizontal="left" vertical="top"/>
    </xf>
    <xf numFmtId="164" fontId="11" fillId="0" borderId="6" xfId="1" applyNumberFormat="1" applyFont="1" applyFill="1" applyBorder="1" applyAlignment="1">
      <alignment vertical="top"/>
    </xf>
    <xf numFmtId="164" fontId="10" fillId="0" borderId="6" xfId="1" applyNumberFormat="1" applyFont="1" applyFill="1" applyBorder="1" applyAlignment="1">
      <alignment vertical="top"/>
    </xf>
    <xf numFmtId="0" fontId="11" fillId="0" borderId="0" xfId="5" applyFont="1" applyFill="1">
      <alignment horizontal="left" vertical="top"/>
    </xf>
    <xf numFmtId="0" fontId="10" fillId="0" borderId="0" xfId="5" applyFont="1" applyFill="1" applyBorder="1" applyAlignment="1">
      <alignment horizontal="left" vertical="top"/>
    </xf>
    <xf numFmtId="164" fontId="10" fillId="0" borderId="0" xfId="1" applyNumberFormat="1" applyFont="1" applyFill="1" applyBorder="1" applyAlignment="1">
      <alignment vertical="top"/>
    </xf>
    <xf numFmtId="0" fontId="11" fillId="0" borderId="0" xfId="5" applyFont="1" applyFill="1" applyBorder="1" applyAlignment="1">
      <alignment horizontal="left" vertical="top"/>
    </xf>
    <xf numFmtId="0" fontId="11" fillId="2" borderId="0" xfId="0" applyFont="1" applyFill="1" applyBorder="1"/>
    <xf numFmtId="0" fontId="10" fillId="2" borderId="0" xfId="0" applyFont="1" applyFill="1" applyBorder="1"/>
    <xf numFmtId="0" fontId="11" fillId="0" borderId="5" xfId="5" applyFont="1" applyFill="1" applyBorder="1">
      <alignment horizontal="left" vertical="top"/>
    </xf>
    <xf numFmtId="14" fontId="10" fillId="3" borderId="5" xfId="0" applyNumberFormat="1" applyFont="1" applyFill="1" applyBorder="1"/>
    <xf numFmtId="0" fontId="10" fillId="2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0" fontId="10" fillId="2" borderId="4" xfId="0" applyFont="1" applyFill="1" applyBorder="1"/>
    <xf numFmtId="3" fontId="10" fillId="2" borderId="4" xfId="0" applyNumberFormat="1" applyFont="1" applyFill="1" applyBorder="1"/>
    <xf numFmtId="0" fontId="11" fillId="2" borderId="0" xfId="0" applyFont="1" applyFill="1"/>
    <xf numFmtId="0" fontId="10" fillId="0" borderId="0" xfId="5" applyFont="1" applyFill="1" applyAlignment="1">
      <alignment horizontal="center" vertical="top"/>
    </xf>
    <xf numFmtId="169" fontId="10" fillId="0" borderId="0" xfId="1" applyFont="1" applyFill="1" applyAlignment="1">
      <alignment vertical="top"/>
    </xf>
    <xf numFmtId="10" fontId="10" fillId="0" borderId="0" xfId="1" applyNumberFormat="1" applyFont="1" applyFill="1" applyAlignment="1">
      <alignment vertical="top"/>
    </xf>
    <xf numFmtId="0" fontId="10" fillId="0" borderId="0" xfId="0" applyFont="1"/>
    <xf numFmtId="168" fontId="10" fillId="2" borderId="0" xfId="6" applyFont="1" applyFill="1"/>
    <xf numFmtId="167" fontId="10" fillId="2" borderId="0" xfId="4" applyFont="1" applyFill="1" applyBorder="1"/>
    <xf numFmtId="168" fontId="10" fillId="2" borderId="0" xfId="6" applyFont="1" applyFill="1" applyBorder="1"/>
    <xf numFmtId="168" fontId="11" fillId="2" borderId="0" xfId="6" applyFont="1" applyFill="1" applyBorder="1"/>
    <xf numFmtId="168" fontId="11" fillId="0" borderId="0" xfId="6" applyFont="1" applyFill="1" applyBorder="1" applyAlignment="1">
      <alignment horizontal="right"/>
    </xf>
    <xf numFmtId="168" fontId="10" fillId="0" borderId="0" xfId="6" applyFont="1" applyFill="1" applyBorder="1"/>
    <xf numFmtId="168" fontId="10" fillId="0" borderId="0" xfId="6" applyFont="1" applyFill="1" applyBorder="1" applyAlignment="1">
      <alignment horizontal="right"/>
    </xf>
    <xf numFmtId="167" fontId="11" fillId="0" borderId="0" xfId="4" applyFont="1" applyFill="1" applyBorder="1" applyAlignment="1">
      <alignment horizontal="left"/>
    </xf>
    <xf numFmtId="167" fontId="11" fillId="0" borderId="0" xfId="8" applyNumberFormat="1" applyFont="1" applyFill="1" applyBorder="1" applyAlignment="1"/>
    <xf numFmtId="0" fontId="11" fillId="0" borderId="0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1" fillId="0" borderId="0" xfId="5" applyNumberFormat="1" applyFont="1" applyFill="1" applyBorder="1" applyAlignment="1">
      <alignment horizontal="left" vertical="top"/>
    </xf>
    <xf numFmtId="0" fontId="10" fillId="0" borderId="0" xfId="5" applyFont="1" applyFill="1" applyBorder="1">
      <alignment horizontal="left" vertical="top"/>
    </xf>
    <xf numFmtId="0" fontId="10" fillId="0" borderId="0" xfId="5" applyFont="1" applyFill="1" applyBorder="1" applyAlignment="1">
      <alignment horizontal="right" vertical="top" wrapText="1"/>
    </xf>
    <xf numFmtId="0" fontId="10" fillId="2" borderId="0" xfId="5" applyNumberFormat="1" applyFont="1" applyFill="1" applyBorder="1">
      <alignment horizontal="left" vertical="top"/>
    </xf>
    <xf numFmtId="0" fontId="10" fillId="0" borderId="0" xfId="1" applyNumberFormat="1" applyFont="1" applyFill="1" applyBorder="1" applyAlignment="1">
      <alignment vertical="top"/>
    </xf>
    <xf numFmtId="0" fontId="11" fillId="0" borderId="0" xfId="5" applyNumberFormat="1" applyFont="1" applyFill="1" applyBorder="1">
      <alignment horizontal="left" vertical="top"/>
    </xf>
    <xf numFmtId="0" fontId="11" fillId="0" borderId="0" xfId="5" applyFont="1" applyFill="1" applyBorder="1">
      <alignment horizontal="left" vertical="top"/>
    </xf>
    <xf numFmtId="0" fontId="10" fillId="0" borderId="0" xfId="5" applyFont="1" applyFill="1" applyBorder="1" applyAlignment="1">
      <alignment horizontal="left" vertical="top" wrapText="1"/>
    </xf>
    <xf numFmtId="0" fontId="10" fillId="0" borderId="0" xfId="5" applyNumberFormat="1" applyFont="1" applyFill="1" applyBorder="1">
      <alignment horizontal="left" vertical="top"/>
    </xf>
    <xf numFmtId="0" fontId="11" fillId="0" borderId="0" xfId="5" quotePrefix="1" applyNumberFormat="1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0" fontId="10" fillId="0" borderId="0" xfId="5" applyNumberFormat="1" applyFont="1" applyFill="1" applyBorder="1" applyAlignment="1">
      <alignment horizontal="left" vertical="top"/>
    </xf>
    <xf numFmtId="168" fontId="10" fillId="0" borderId="0" xfId="6" applyFont="1" applyFill="1" applyBorder="1" applyAlignment="1">
      <alignment vertical="top"/>
    </xf>
    <xf numFmtId="167" fontId="10" fillId="0" borderId="0" xfId="5" applyNumberFormat="1" applyFont="1" applyFill="1" applyBorder="1">
      <alignment horizontal="left" vertical="top"/>
    </xf>
    <xf numFmtId="167" fontId="11" fillId="0" borderId="0" xfId="5" applyNumberFormat="1" applyFont="1" applyFill="1" applyBorder="1">
      <alignment horizontal="left" vertical="top"/>
    </xf>
    <xf numFmtId="0" fontId="10" fillId="0" borderId="0" xfId="0" applyFont="1" applyFill="1" applyBorder="1"/>
    <xf numFmtId="168" fontId="10" fillId="0" borderId="0" xfId="6" applyFont="1" applyFill="1"/>
    <xf numFmtId="0" fontId="13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right" wrapText="1"/>
    </xf>
    <xf numFmtId="0" fontId="10" fillId="2" borderId="0" xfId="0" applyFont="1" applyFill="1" applyAlignment="1"/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wrapText="1"/>
    </xf>
    <xf numFmtId="14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wrapText="1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wrapText="1"/>
    </xf>
    <xf numFmtId="3" fontId="11" fillId="2" borderId="0" xfId="0" applyNumberFormat="1" applyFont="1" applyFill="1" applyBorder="1" applyAlignment="1">
      <alignment wrapText="1"/>
    </xf>
    <xf numFmtId="3" fontId="10" fillId="2" borderId="0" xfId="0" applyNumberFormat="1" applyFont="1" applyFill="1" applyAlignment="1"/>
    <xf numFmtId="3" fontId="10" fillId="2" borderId="0" xfId="0" applyNumberFormat="1" applyFont="1" applyFill="1"/>
    <xf numFmtId="0" fontId="10" fillId="2" borderId="0" xfId="0" applyFont="1" applyFill="1" applyBorder="1" applyAlignment="1"/>
    <xf numFmtId="3" fontId="10" fillId="2" borderId="0" xfId="0" applyNumberFormat="1" applyFont="1" applyFill="1" applyBorder="1" applyAlignment="1"/>
    <xf numFmtId="0" fontId="11" fillId="2" borderId="6" xfId="0" applyFont="1" applyFill="1" applyBorder="1" applyAlignment="1"/>
    <xf numFmtId="3" fontId="11" fillId="2" borderId="0" xfId="0" applyNumberFormat="1" applyFont="1" applyFill="1" applyBorder="1" applyAlignment="1"/>
    <xf numFmtId="0" fontId="13" fillId="2" borderId="0" xfId="0" applyFont="1" applyFill="1"/>
    <xf numFmtId="0" fontId="11" fillId="2" borderId="0" xfId="0" applyFont="1" applyFill="1" applyBorder="1" applyAlignment="1">
      <alignment wrapText="1"/>
    </xf>
    <xf numFmtId="0" fontId="11" fillId="2" borderId="5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0" xfId="0" applyFont="1" applyFill="1" applyBorder="1" applyAlignment="1"/>
    <xf numFmtId="9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0" fontId="11" fillId="2" borderId="6" xfId="0" applyFont="1" applyFill="1" applyBorder="1"/>
    <xf numFmtId="3" fontId="11" fillId="2" borderId="6" xfId="0" applyNumberFormat="1" applyFont="1" applyFill="1" applyBorder="1" applyAlignment="1"/>
    <xf numFmtId="9" fontId="10" fillId="2" borderId="6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/>
    <xf numFmtId="0" fontId="10" fillId="3" borderId="0" xfId="0" applyFont="1" applyFill="1" applyBorder="1" applyAlignment="1">
      <alignment horizontal="left"/>
    </xf>
    <xf numFmtId="0" fontId="10" fillId="3" borderId="0" xfId="0" applyFont="1" applyFill="1" applyBorder="1" applyAlignment="1"/>
    <xf numFmtId="9" fontId="10" fillId="3" borderId="0" xfId="0" applyNumberFormat="1" applyFont="1" applyFill="1" applyBorder="1" applyAlignment="1">
      <alignment horizontal="right"/>
    </xf>
    <xf numFmtId="14" fontId="11" fillId="2" borderId="5" xfId="0" applyNumberFormat="1" applyFont="1" applyFill="1" applyBorder="1" applyAlignment="1">
      <alignment horizontal="right" wrapText="1"/>
    </xf>
    <xf numFmtId="14" fontId="10" fillId="2" borderId="5" xfId="0" applyNumberFormat="1" applyFont="1" applyFill="1" applyBorder="1" applyAlignment="1">
      <alignment horizontal="right" wrapText="1"/>
    </xf>
    <xf numFmtId="2" fontId="10" fillId="2" borderId="4" xfId="0" applyNumberFormat="1" applyFont="1" applyFill="1" applyBorder="1"/>
    <xf numFmtId="0" fontId="12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right" vertical="top"/>
    </xf>
    <xf numFmtId="0" fontId="10" fillId="2" borderId="0" xfId="0" applyFont="1" applyFill="1" applyBorder="1" applyAlignment="1">
      <alignment horizontal="right" vertical="top"/>
    </xf>
    <xf numFmtId="14" fontId="11" fillId="2" borderId="5" xfId="0" applyNumberFormat="1" applyFont="1" applyFill="1" applyBorder="1" applyAlignment="1">
      <alignment horizontal="right" vertical="top"/>
    </xf>
    <xf numFmtId="14" fontId="10" fillId="2" borderId="5" xfId="0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0" fillId="2" borderId="0" xfId="0" applyFont="1" applyFill="1" applyAlignment="1">
      <alignment vertical="top" wrapText="1"/>
    </xf>
    <xf numFmtId="0" fontId="11" fillId="2" borderId="5" xfId="0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left"/>
    </xf>
    <xf numFmtId="0" fontId="10" fillId="2" borderId="0" xfId="0" applyFont="1" applyFill="1" applyAlignment="1">
      <alignment horizontal="right"/>
    </xf>
    <xf numFmtId="3" fontId="11" fillId="2" borderId="0" xfId="11" applyNumberFormat="1" applyFont="1" applyFill="1" applyBorder="1" applyAlignment="1">
      <alignment horizontal="right" vertical="top" wrapText="1"/>
    </xf>
    <xf numFmtId="168" fontId="11" fillId="2" borderId="0" xfId="6" applyFont="1" applyFill="1"/>
    <xf numFmtId="168" fontId="10" fillId="0" borderId="0" xfId="6" applyFont="1" applyFill="1" applyAlignment="1">
      <alignment horizontal="right"/>
    </xf>
    <xf numFmtId="167" fontId="11" fillId="0" borderId="1" xfId="8" applyNumberFormat="1" applyFont="1" applyFill="1" applyBorder="1" applyAlignment="1"/>
    <xf numFmtId="168" fontId="11" fillId="0" borderId="1" xfId="6" applyFont="1" applyFill="1" applyBorder="1" applyAlignment="1">
      <alignment horizontal="right"/>
    </xf>
    <xf numFmtId="0" fontId="10" fillId="0" borderId="1" xfId="2" applyFont="1" applyFill="1" applyBorder="1" applyAlignment="1">
      <alignment horizontal="right"/>
    </xf>
    <xf numFmtId="164" fontId="11" fillId="0" borderId="0" xfId="4" applyNumberFormat="1" applyFont="1" applyFill="1" applyBorder="1"/>
    <xf numFmtId="0" fontId="10" fillId="0" borderId="0" xfId="5" applyFont="1" applyFill="1" applyAlignment="1">
      <alignment horizontal="right" vertical="top" wrapText="1"/>
    </xf>
    <xf numFmtId="169" fontId="10" fillId="0" borderId="0" xfId="1" applyFont="1" applyFill="1">
      <alignment horizontal="right" vertical="top"/>
    </xf>
    <xf numFmtId="164" fontId="10" fillId="0" borderId="0" xfId="5" applyNumberFormat="1" applyFont="1" applyFill="1">
      <alignment horizontal="left" vertical="top"/>
    </xf>
    <xf numFmtId="169" fontId="10" fillId="0" borderId="0" xfId="1" applyFont="1" applyFill="1" applyAlignment="1">
      <alignment horizontal="left" vertical="top"/>
    </xf>
    <xf numFmtId="164" fontId="11" fillId="0" borderId="3" xfId="5" applyNumberFormat="1" applyFont="1" applyFill="1" applyBorder="1">
      <alignment horizontal="left" vertical="top"/>
    </xf>
    <xf numFmtId="169" fontId="10" fillId="0" borderId="3" xfId="1" applyFont="1" applyFill="1" applyBorder="1" applyAlignment="1">
      <alignment horizontal="left" vertical="top"/>
    </xf>
    <xf numFmtId="0" fontId="11" fillId="0" borderId="3" xfId="5" applyFont="1" applyFill="1" applyBorder="1">
      <alignment horizontal="left" vertical="top"/>
    </xf>
    <xf numFmtId="0" fontId="10" fillId="0" borderId="3" xfId="5" applyFont="1" applyFill="1" applyBorder="1" applyAlignment="1">
      <alignment horizontal="left" vertical="top" wrapText="1"/>
    </xf>
    <xf numFmtId="0" fontId="10" fillId="0" borderId="0" xfId="5" applyFont="1" applyFill="1" applyAlignment="1">
      <alignment horizontal="left" vertical="top" wrapText="1"/>
    </xf>
    <xf numFmtId="164" fontId="10" fillId="0" borderId="0" xfId="5" applyNumberFormat="1" applyFont="1" applyFill="1" applyAlignment="1">
      <alignment horizontal="left" vertical="top"/>
    </xf>
    <xf numFmtId="169" fontId="15" fillId="0" borderId="0" xfId="1" applyFont="1" applyFill="1" applyAlignment="1">
      <alignment horizontal="left" vertical="top"/>
    </xf>
    <xf numFmtId="168" fontId="10" fillId="0" borderId="0" xfId="6" applyFont="1" applyFill="1" applyAlignment="1">
      <alignment vertical="top"/>
    </xf>
    <xf numFmtId="164" fontId="10" fillId="0" borderId="0" xfId="5" applyNumberFormat="1" applyFont="1" applyFill="1" applyBorder="1">
      <alignment horizontal="left" vertical="top"/>
    </xf>
    <xf numFmtId="164" fontId="10" fillId="0" borderId="1" xfId="5" applyNumberFormat="1" applyFont="1" applyFill="1" applyBorder="1">
      <alignment horizontal="left" vertical="top"/>
    </xf>
    <xf numFmtId="169" fontId="10" fillId="0" borderId="1" xfId="1" applyFont="1" applyFill="1" applyBorder="1" applyAlignment="1">
      <alignment horizontal="left" vertical="top"/>
    </xf>
    <xf numFmtId="0" fontId="10" fillId="0" borderId="1" xfId="5" applyFont="1" applyFill="1" applyBorder="1">
      <alignment horizontal="left" vertical="top"/>
    </xf>
    <xf numFmtId="167" fontId="10" fillId="0" borderId="1" xfId="5" applyNumberFormat="1" applyFont="1" applyFill="1" applyBorder="1">
      <alignment horizontal="left" vertical="top"/>
    </xf>
    <xf numFmtId="164" fontId="11" fillId="0" borderId="1" xfId="5" applyNumberFormat="1" applyFont="1" applyFill="1" applyBorder="1">
      <alignment horizontal="left" vertical="top"/>
    </xf>
    <xf numFmtId="167" fontId="11" fillId="0" borderId="1" xfId="5" applyNumberFormat="1" applyFont="1" applyFill="1" applyBorder="1">
      <alignment horizontal="left" vertical="top"/>
    </xf>
    <xf numFmtId="0" fontId="11" fillId="0" borderId="0" xfId="5" applyFont="1" applyFill="1" applyAlignment="1">
      <alignment horizontal="left" vertical="top"/>
    </xf>
    <xf numFmtId="169" fontId="11" fillId="0" borderId="3" xfId="1" applyFont="1" applyFill="1" applyBorder="1" applyAlignment="1">
      <alignment horizontal="left" vertical="top"/>
    </xf>
    <xf numFmtId="0" fontId="11" fillId="0" borderId="3" xfId="5" applyFont="1" applyFill="1" applyBorder="1" applyAlignment="1">
      <alignment horizontal="left" vertical="top" wrapText="1"/>
    </xf>
    <xf numFmtId="0" fontId="10" fillId="0" borderId="0" xfId="0" applyFont="1" applyFill="1"/>
    <xf numFmtId="168" fontId="19" fillId="0" borderId="0" xfId="6" applyFont="1" applyFill="1"/>
    <xf numFmtId="168" fontId="11" fillId="0" borderId="0" xfId="6" applyFont="1" applyFill="1" applyAlignment="1">
      <alignment horizontal="center"/>
    </xf>
    <xf numFmtId="168" fontId="11" fillId="0" borderId="0" xfId="6" applyFont="1" applyFill="1"/>
    <xf numFmtId="0" fontId="11" fillId="2" borderId="5" xfId="0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/>
    </xf>
    <xf numFmtId="170" fontId="10" fillId="2" borderId="0" xfId="10" applyNumberFormat="1" applyFont="1" applyFill="1"/>
    <xf numFmtId="4" fontId="10" fillId="2" borderId="0" xfId="0" applyNumberFormat="1" applyFont="1" applyFill="1"/>
    <xf numFmtId="0" fontId="10" fillId="2" borderId="0" xfId="0" applyFont="1" applyFill="1" applyAlignment="1">
      <alignment horizontal="left" vertical="top" wrapText="1"/>
    </xf>
    <xf numFmtId="0" fontId="11" fillId="0" borderId="5" xfId="0" applyFont="1" applyFill="1" applyBorder="1" applyAlignment="1">
      <alignment horizontal="right" wrapText="1"/>
    </xf>
    <xf numFmtId="3" fontId="11" fillId="2" borderId="0" xfId="11" applyNumberFormat="1" applyFont="1" applyFill="1" applyBorder="1" applyAlignment="1"/>
    <xf numFmtId="0" fontId="11" fillId="2" borderId="5" xfId="0" applyFont="1" applyFill="1" applyBorder="1" applyAlignment="1">
      <alignment horizontal="right" vertical="top" wrapText="1"/>
    </xf>
    <xf numFmtId="3" fontId="10" fillId="2" borderId="0" xfId="11" applyNumberFormat="1" applyFont="1" applyFill="1" applyBorder="1" applyAlignment="1"/>
    <xf numFmtId="0" fontId="10" fillId="2" borderId="0" xfId="0" quotePrefix="1" applyFont="1" applyFill="1"/>
    <xf numFmtId="0" fontId="10" fillId="2" borderId="0" xfId="5" applyFont="1" applyFill="1" applyAlignment="1">
      <alignment horizontal="left" vertical="top"/>
    </xf>
    <xf numFmtId="0" fontId="11" fillId="2" borderId="0" xfId="5" applyFont="1" applyFill="1" applyBorder="1" applyAlignment="1">
      <alignment horizontal="left" vertical="top"/>
    </xf>
    <xf numFmtId="3" fontId="11" fillId="2" borderId="0" xfId="1" applyNumberFormat="1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vertical="top"/>
    </xf>
    <xf numFmtId="0" fontId="10" fillId="2" borderId="7" xfId="5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right"/>
    </xf>
    <xf numFmtId="0" fontId="11" fillId="2" borderId="1" xfId="0" applyFont="1" applyFill="1" applyBorder="1"/>
    <xf numFmtId="0" fontId="10" fillId="2" borderId="0" xfId="0" applyFont="1" applyFill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horizontal="right"/>
    </xf>
    <xf numFmtId="3" fontId="10" fillId="2" borderId="0" xfId="1" applyNumberFormat="1" applyFont="1" applyFill="1">
      <alignment horizontal="right" vertical="top"/>
    </xf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right" vertical="top" wrapText="1"/>
    </xf>
    <xf numFmtId="3" fontId="10" fillId="2" borderId="0" xfId="0" quotePrefix="1" applyNumberFormat="1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horizontal="right" vertical="top" wrapText="1"/>
    </xf>
    <xf numFmtId="3" fontId="11" fillId="2" borderId="1" xfId="0" applyNumberFormat="1" applyFont="1" applyFill="1" applyBorder="1" applyAlignment="1">
      <alignment horizontal="right" vertical="top" wrapText="1"/>
    </xf>
    <xf numFmtId="3" fontId="10" fillId="3" borderId="0" xfId="5" applyNumberFormat="1" applyFont="1" applyFill="1" applyAlignment="1">
      <alignment horizontal="right" vertical="top"/>
    </xf>
    <xf numFmtId="3" fontId="10" fillId="3" borderId="0" xfId="0" quotePrefix="1" applyNumberFormat="1" applyFont="1" applyFill="1" applyBorder="1" applyAlignment="1">
      <alignment horizontal="right" vertical="top" wrapText="1"/>
    </xf>
    <xf numFmtId="3" fontId="10" fillId="3" borderId="0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vertical="top" wrapText="1"/>
    </xf>
    <xf numFmtId="3" fontId="10" fillId="3" borderId="1" xfId="11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/>
    <xf numFmtId="3" fontId="11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0" xfId="11" applyNumberFormat="1" applyFont="1" applyFill="1" applyBorder="1" applyAlignment="1">
      <alignment horizontal="right"/>
    </xf>
    <xf numFmtId="3" fontId="11" fillId="2" borderId="6" xfId="11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center" vertical="top" wrapText="1"/>
    </xf>
    <xf numFmtId="3" fontId="10" fillId="2" borderId="0" xfId="0" applyNumberFormat="1" applyFont="1" applyFill="1" applyBorder="1" applyAlignment="1">
      <alignment horizontal="right" wrapText="1"/>
    </xf>
    <xf numFmtId="0" fontId="13" fillId="2" borderId="0" xfId="0" applyFont="1" applyFill="1" applyBorder="1"/>
    <xf numFmtId="0" fontId="10" fillId="2" borderId="2" xfId="0" applyFont="1" applyFill="1" applyBorder="1"/>
    <xf numFmtId="0" fontId="11" fillId="2" borderId="5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/>
    </xf>
    <xf numFmtId="170" fontId="10" fillId="2" borderId="0" xfId="0" applyNumberFormat="1" applyFont="1" applyFill="1" applyBorder="1" applyAlignment="1">
      <alignment horizontal="right"/>
    </xf>
    <xf numFmtId="0" fontId="11" fillId="2" borderId="6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center"/>
    </xf>
    <xf numFmtId="3" fontId="11" fillId="2" borderId="6" xfId="0" applyNumberFormat="1" applyFont="1" applyFill="1" applyBorder="1"/>
    <xf numFmtId="170" fontId="11" fillId="2" borderId="6" xfId="0" applyNumberFormat="1" applyFont="1" applyFill="1" applyBorder="1"/>
    <xf numFmtId="3" fontId="14" fillId="2" borderId="6" xfId="0" applyNumberFormat="1" applyFont="1" applyFill="1" applyBorder="1" applyAlignment="1"/>
    <xf numFmtId="170" fontId="11" fillId="2" borderId="6" xfId="0" applyNumberFormat="1" applyFont="1" applyFill="1" applyBorder="1" applyAlignment="1"/>
    <xf numFmtId="170" fontId="11" fillId="2" borderId="6" xfId="10" applyNumberFormat="1" applyFont="1" applyFill="1" applyBorder="1" applyAlignment="1"/>
    <xf numFmtId="0" fontId="13" fillId="2" borderId="0" xfId="12" applyFont="1" applyFill="1"/>
    <xf numFmtId="0" fontId="10" fillId="2" borderId="0" xfId="12" applyFont="1" applyFill="1"/>
    <xf numFmtId="0" fontId="10" fillId="2" borderId="0" xfId="12" applyFont="1" applyFill="1" applyBorder="1"/>
    <xf numFmtId="0" fontId="10" fillId="2" borderId="0" xfId="12" applyFont="1" applyFill="1" applyBorder="1" applyAlignment="1">
      <alignment horizontal="left" vertical="top"/>
    </xf>
    <xf numFmtId="0" fontId="11" fillId="2" borderId="0" xfId="12" applyFont="1" applyFill="1" applyBorder="1" applyAlignment="1">
      <alignment horizontal="left" vertical="top"/>
    </xf>
    <xf numFmtId="3" fontId="11" fillId="2" borderId="0" xfId="12" applyNumberFormat="1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9" fontId="11" fillId="2" borderId="0" xfId="10" applyFont="1" applyFill="1" applyBorder="1" applyAlignment="1">
      <alignment horizontal="right" vertical="top" wrapText="1"/>
    </xf>
    <xf numFmtId="14" fontId="11" fillId="2" borderId="0" xfId="0" applyNumberFormat="1" applyFont="1" applyFill="1"/>
    <xf numFmtId="0" fontId="11" fillId="2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top" wrapText="1"/>
    </xf>
    <xf numFmtId="0" fontId="16" fillId="2" borderId="0" xfId="0" applyFont="1" applyFill="1"/>
    <xf numFmtId="9" fontId="10" fillId="2" borderId="0" xfId="10" applyFont="1" applyFill="1" applyBorder="1" applyAlignment="1">
      <alignment horizontal="right" wrapText="1"/>
    </xf>
    <xf numFmtId="3" fontId="10" fillId="2" borderId="0" xfId="10" applyNumberFormat="1" applyFont="1" applyFill="1"/>
    <xf numFmtId="0" fontId="10" fillId="2" borderId="6" xfId="0" applyFont="1" applyFill="1" applyBorder="1" applyAlignment="1">
      <alignment horizontal="left"/>
    </xf>
    <xf numFmtId="3" fontId="10" fillId="2" borderId="6" xfId="0" applyNumberFormat="1" applyFont="1" applyFill="1" applyBorder="1" applyAlignment="1">
      <alignment horizontal="right" wrapText="1"/>
    </xf>
    <xf numFmtId="0" fontId="10" fillId="2" borderId="6" xfId="0" applyFont="1" applyFill="1" applyBorder="1"/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top" wrapText="1"/>
    </xf>
    <xf numFmtId="3" fontId="11" fillId="2" borderId="5" xfId="0" applyNumberFormat="1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center" wrapText="1"/>
    </xf>
    <xf numFmtId="170" fontId="11" fillId="2" borderId="6" xfId="10" applyNumberFormat="1" applyFont="1" applyFill="1" applyBorder="1"/>
    <xf numFmtId="171" fontId="10" fillId="2" borderId="0" xfId="11" applyNumberFormat="1" applyFont="1" applyFill="1" applyBorder="1" applyAlignment="1"/>
    <xf numFmtId="10" fontId="10" fillId="2" borderId="0" xfId="11" applyNumberFormat="1" applyFont="1" applyFill="1" applyBorder="1" applyAlignment="1"/>
    <xf numFmtId="0" fontId="13" fillId="2" borderId="2" xfId="0" applyFont="1" applyFill="1" applyBorder="1"/>
    <xf numFmtId="0" fontId="11" fillId="2" borderId="0" xfId="0" applyFont="1" applyFill="1" applyBorder="1" applyAlignment="1">
      <alignment vertical="top"/>
    </xf>
    <xf numFmtId="0" fontId="10" fillId="2" borderId="0" xfId="9" applyFont="1" applyFill="1"/>
    <xf numFmtId="0" fontId="10" fillId="0" borderId="0" xfId="7" applyFont="1" applyFill="1"/>
    <xf numFmtId="0" fontId="11" fillId="2" borderId="6" xfId="0" applyFont="1" applyFill="1" applyBorder="1" applyAlignment="1">
      <alignment vertical="top"/>
    </xf>
    <xf numFmtId="0" fontId="11" fillId="2" borderId="6" xfId="7" applyFont="1" applyFill="1" applyBorder="1" applyAlignment="1">
      <alignment horizontal="justify"/>
    </xf>
    <xf numFmtId="0" fontId="11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4" fontId="11" fillId="2" borderId="0" xfId="0" applyNumberFormat="1" applyFont="1" applyFill="1" applyBorder="1" applyAlignment="1">
      <alignment horizontal="right" vertical="top"/>
    </xf>
    <xf numFmtId="0" fontId="10" fillId="3" borderId="0" xfId="11" applyNumberFormat="1" applyFont="1" applyFill="1" applyBorder="1" applyAlignment="1">
      <alignment horizontal="right" wrapText="1"/>
    </xf>
    <xf numFmtId="3" fontId="10" fillId="3" borderId="0" xfId="11" applyNumberFormat="1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right" wrapText="1"/>
    </xf>
    <xf numFmtId="3" fontId="10" fillId="3" borderId="6" xfId="0" applyNumberFormat="1" applyFont="1" applyFill="1" applyBorder="1"/>
    <xf numFmtId="3" fontId="11" fillId="2" borderId="5" xfId="0" applyNumberFormat="1" applyFont="1" applyFill="1" applyBorder="1" applyAlignment="1">
      <alignment horizontal="right" wrapText="1"/>
    </xf>
    <xf numFmtId="3" fontId="10" fillId="2" borderId="5" xfId="0" applyNumberFormat="1" applyFont="1" applyFill="1" applyBorder="1" applyAlignment="1">
      <alignment horizontal="right" wrapText="1"/>
    </xf>
    <xf numFmtId="171" fontId="10" fillId="2" borderId="0" xfId="11" applyNumberFormat="1" applyFont="1" applyFill="1"/>
    <xf numFmtId="171" fontId="11" fillId="2" borderId="6" xfId="11" applyNumberFormat="1" applyFont="1" applyFill="1" applyBorder="1" applyAlignment="1">
      <alignment horizontal="right" vertical="top" wrapText="1"/>
    </xf>
    <xf numFmtId="171" fontId="10" fillId="2" borderId="6" xfId="11" applyNumberFormat="1" applyFont="1" applyFill="1" applyBorder="1" applyAlignment="1">
      <alignment horizontal="right" vertical="top" wrapText="1"/>
    </xf>
    <xf numFmtId="14" fontId="11" fillId="0" borderId="5" xfId="0" applyNumberFormat="1" applyFont="1" applyBorder="1" applyAlignment="1">
      <alignment horizontal="right"/>
    </xf>
    <xf numFmtId="14" fontId="10" fillId="0" borderId="5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1" xfId="0" applyFont="1" applyBorder="1"/>
    <xf numFmtId="0" fontId="10" fillId="2" borderId="0" xfId="0" applyFont="1" applyFill="1"/>
    <xf numFmtId="0" fontId="17" fillId="4" borderId="8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18" fillId="4" borderId="0" xfId="0" applyFont="1" applyFill="1" applyAlignment="1">
      <alignment horizontal="right"/>
    </xf>
    <xf numFmtId="0" fontId="10" fillId="2" borderId="0" xfId="0" applyFont="1" applyFill="1"/>
    <xf numFmtId="0" fontId="10" fillId="2" borderId="5" xfId="0" applyFont="1" applyFill="1" applyBorder="1" applyAlignment="1">
      <alignment horizontal="left"/>
    </xf>
    <xf numFmtId="0" fontId="21" fillId="3" borderId="0" xfId="0" applyFont="1" applyFill="1"/>
    <xf numFmtId="0" fontId="19" fillId="3" borderId="0" xfId="0" applyFont="1" applyFill="1" applyAlignment="1">
      <alignment horizontal="right"/>
    </xf>
    <xf numFmtId="0" fontId="19" fillId="3" borderId="0" xfId="0" applyFont="1" applyFill="1"/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right"/>
    </xf>
    <xf numFmtId="0" fontId="19" fillId="5" borderId="0" xfId="0" applyFont="1" applyFill="1" applyAlignment="1">
      <alignment horizontal="right"/>
    </xf>
    <xf numFmtId="0" fontId="21" fillId="5" borderId="0" xfId="0" applyFont="1" applyFill="1"/>
    <xf numFmtId="0" fontId="21" fillId="3" borderId="0" xfId="0" applyNumberFormat="1" applyFont="1" applyFill="1"/>
    <xf numFmtId="0" fontId="21" fillId="5" borderId="0" xfId="0" applyFont="1" applyFill="1" applyAlignment="1">
      <alignment horizontal="right"/>
    </xf>
    <xf numFmtId="0" fontId="23" fillId="2" borderId="0" xfId="0" applyFont="1" applyFill="1"/>
    <xf numFmtId="0" fontId="19" fillId="2" borderId="0" xfId="0" applyFont="1" applyFill="1"/>
    <xf numFmtId="0" fontId="10" fillId="2" borderId="0" xfId="0" applyFont="1" applyFill="1"/>
    <xf numFmtId="3" fontId="10" fillId="3" borderId="4" xfId="0" applyNumberFormat="1" applyFont="1" applyFill="1" applyBorder="1"/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wrapText="1"/>
    </xf>
    <xf numFmtId="0" fontId="10" fillId="2" borderId="0" xfId="0" applyFont="1" applyFill="1"/>
    <xf numFmtId="0" fontId="13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right" wrapText="1"/>
    </xf>
    <xf numFmtId="0" fontId="10" fillId="3" borderId="5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 wrapText="1"/>
    </xf>
    <xf numFmtId="14" fontId="10" fillId="3" borderId="5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wrapText="1"/>
    </xf>
    <xf numFmtId="0" fontId="10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 wrapText="1"/>
    </xf>
    <xf numFmtId="3" fontId="10" fillId="3" borderId="4" xfId="0" applyNumberFormat="1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3" fontId="10" fillId="3" borderId="0" xfId="0" applyNumberFormat="1" applyFont="1" applyFill="1" applyAlignment="1"/>
    <xf numFmtId="3" fontId="10" fillId="3" borderId="0" xfId="0" applyNumberFormat="1" applyFont="1" applyFill="1" applyBorder="1" applyAlignment="1"/>
    <xf numFmtId="0" fontId="11" fillId="3" borderId="6" xfId="0" applyFont="1" applyFill="1" applyBorder="1" applyAlignment="1"/>
    <xf numFmtId="0" fontId="10" fillId="3" borderId="6" xfId="0" applyFont="1" applyFill="1" applyBorder="1" applyAlignment="1"/>
    <xf numFmtId="0" fontId="10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horizontal="left" vertical="top" wrapText="1"/>
    </xf>
    <xf numFmtId="0" fontId="11" fillId="2" borderId="5" xfId="0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left"/>
    </xf>
    <xf numFmtId="170" fontId="10" fillId="2" borderId="0" xfId="11" applyNumberFormat="1" applyFont="1" applyFill="1" applyBorder="1" applyAlignment="1"/>
    <xf numFmtId="3" fontId="10" fillId="2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167" fontId="10" fillId="0" borderId="0" xfId="8" applyNumberFormat="1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/>
    </xf>
    <xf numFmtId="171" fontId="11" fillId="2" borderId="0" xfId="11" applyNumberFormat="1" applyFont="1" applyFill="1" applyBorder="1"/>
    <xf numFmtId="171" fontId="11" fillId="2" borderId="6" xfId="11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vertical="top" wrapText="1"/>
    </xf>
    <xf numFmtId="0" fontId="4" fillId="0" borderId="0" xfId="0" applyFont="1" applyFill="1"/>
    <xf numFmtId="167" fontId="4" fillId="0" borderId="0" xfId="8" applyNumberFormat="1" applyFont="1" applyFill="1" applyAlignment="1">
      <alignment vertical="top"/>
    </xf>
    <xf numFmtId="0" fontId="4" fillId="0" borderId="0" xfId="5" applyFont="1" applyFill="1">
      <alignment horizontal="left" vertical="top"/>
    </xf>
    <xf numFmtId="0" fontId="4" fillId="0" borderId="0" xfId="5" applyFont="1" applyFill="1" applyAlignment="1">
      <alignment horizontal="left" vertical="top" wrapText="1"/>
    </xf>
    <xf numFmtId="169" fontId="4" fillId="0" borderId="0" xfId="1" applyFont="1" applyFill="1">
      <alignment horizontal="right" vertical="top"/>
    </xf>
    <xf numFmtId="3" fontId="10" fillId="0" borderId="0" xfId="0" applyNumberFormat="1" applyFont="1" applyBorder="1"/>
    <xf numFmtId="0" fontId="11" fillId="0" borderId="10" xfId="0" applyFont="1" applyBorder="1"/>
    <xf numFmtId="0" fontId="11" fillId="2" borderId="5" xfId="0" applyFont="1" applyFill="1" applyBorder="1" applyAlignment="1">
      <alignment horizontal="right" wrapText="1"/>
    </xf>
    <xf numFmtId="0" fontId="13" fillId="0" borderId="0" xfId="0" applyFont="1" applyFill="1" applyAlignment="1">
      <alignment horizontal="right" vertical="top" wrapText="1"/>
    </xf>
    <xf numFmtId="3" fontId="11" fillId="3" borderId="6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right" vertical="top" wrapText="1"/>
    </xf>
    <xf numFmtId="0" fontId="10" fillId="2" borderId="0" xfId="0" applyFont="1" applyFill="1"/>
    <xf numFmtId="0" fontId="10" fillId="2" borderId="0" xfId="0" applyFont="1" applyFill="1"/>
    <xf numFmtId="0" fontId="11" fillId="3" borderId="5" xfId="0" applyFont="1" applyFill="1" applyBorder="1" applyAlignment="1">
      <alignment horizontal="left"/>
    </xf>
    <xf numFmtId="0" fontId="10" fillId="3" borderId="5" xfId="0" applyFont="1" applyFill="1" applyBorder="1" applyAlignment="1"/>
    <xf numFmtId="3" fontId="11" fillId="3" borderId="6" xfId="11" applyNumberFormat="1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right"/>
    </xf>
    <xf numFmtId="14" fontId="11" fillId="0" borderId="0" xfId="0" applyNumberFormat="1" applyFont="1" applyFill="1" applyAlignment="1">
      <alignment horizontal="left"/>
    </xf>
    <xf numFmtId="3" fontId="10" fillId="2" borderId="6" xfId="0" applyNumberFormat="1" applyFont="1" applyFill="1" applyBorder="1" applyAlignment="1"/>
    <xf numFmtId="0" fontId="12" fillId="3" borderId="0" xfId="0" applyFont="1" applyFill="1" applyBorder="1" applyAlignment="1">
      <alignment horizontal="left"/>
    </xf>
    <xf numFmtId="2" fontId="10" fillId="3" borderId="0" xfId="0" applyNumberFormat="1" applyFont="1" applyFill="1"/>
    <xf numFmtId="172" fontId="10" fillId="3" borderId="0" xfId="0" applyNumberFormat="1" applyFont="1" applyFill="1"/>
    <xf numFmtId="3" fontId="10" fillId="3" borderId="6" xfId="0" applyNumberFormat="1" applyFont="1" applyFill="1" applyBorder="1" applyAlignment="1"/>
    <xf numFmtId="172" fontId="10" fillId="3" borderId="4" xfId="0" applyNumberFormat="1" applyFont="1" applyFill="1" applyBorder="1"/>
    <xf numFmtId="0" fontId="10" fillId="3" borderId="4" xfId="0" applyFont="1" applyFill="1" applyBorder="1"/>
    <xf numFmtId="3" fontId="10" fillId="3" borderId="0" xfId="0" applyNumberFormat="1" applyFont="1" applyFill="1" applyBorder="1"/>
    <xf numFmtId="3" fontId="10" fillId="3" borderId="0" xfId="7" applyNumberFormat="1" applyFont="1" applyFill="1"/>
    <xf numFmtId="3" fontId="10" fillId="0" borderId="10" xfId="0" applyNumberFormat="1" applyFont="1" applyBorder="1"/>
    <xf numFmtId="0" fontId="10" fillId="2" borderId="0" xfId="0" applyFont="1" applyFill="1" applyBorder="1" applyAlignment="1">
      <alignment horizontal="left" vertical="top"/>
    </xf>
    <xf numFmtId="0" fontId="10" fillId="3" borderId="0" xfId="0" applyFont="1" applyFill="1"/>
    <xf numFmtId="3" fontId="11" fillId="3" borderId="0" xfId="0" applyNumberFormat="1" applyFont="1" applyFill="1" applyBorder="1" applyAlignment="1">
      <alignment horizontal="right" wrapText="1"/>
    </xf>
    <xf numFmtId="3" fontId="10" fillId="3" borderId="0" xfId="0" applyNumberFormat="1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left" wrapText="1"/>
    </xf>
    <xf numFmtId="3" fontId="11" fillId="2" borderId="0" xfId="13" applyNumberFormat="1" applyFont="1" applyFill="1" applyBorder="1" applyAlignment="1"/>
    <xf numFmtId="3" fontId="11" fillId="2" borderId="6" xfId="13" applyNumberFormat="1" applyFont="1" applyFill="1" applyBorder="1" applyAlignment="1"/>
    <xf numFmtId="170" fontId="10" fillId="3" borderId="0" xfId="10" applyNumberFormat="1" applyFont="1" applyFill="1" applyBorder="1" applyAlignment="1"/>
    <xf numFmtId="170" fontId="10" fillId="2" borderId="0" xfId="10" applyNumberFormat="1" applyFont="1" applyFill="1" applyBorder="1" applyAlignment="1"/>
    <xf numFmtId="1" fontId="10" fillId="2" borderId="0" xfId="5" applyNumberFormat="1" applyFont="1" applyFill="1" applyBorder="1" applyAlignment="1"/>
    <xf numFmtId="0" fontId="12" fillId="3" borderId="0" xfId="0" applyFont="1" applyFill="1"/>
    <xf numFmtId="0" fontId="10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/>
    </xf>
    <xf numFmtId="170" fontId="11" fillId="2" borderId="0" xfId="0" applyNumberFormat="1" applyFont="1" applyFill="1" applyBorder="1"/>
    <xf numFmtId="3" fontId="11" fillId="0" borderId="6" xfId="11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right" vertical="top" wrapText="1"/>
    </xf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27" fillId="3" borderId="0" xfId="0" applyFont="1" applyFill="1" applyBorder="1" applyAlignment="1"/>
    <xf numFmtId="0" fontId="0" fillId="3" borderId="0" xfId="0" applyFont="1" applyFill="1" applyBorder="1" applyAlignment="1"/>
    <xf numFmtId="0" fontId="29" fillId="3" borderId="0" xfId="0" applyFont="1" applyFill="1" applyBorder="1" applyAlignment="1">
      <alignment vertical="center"/>
    </xf>
    <xf numFmtId="0" fontId="10" fillId="3" borderId="0" xfId="0" quotePrefix="1" applyFont="1" applyFill="1" applyBorder="1" applyAlignment="1">
      <alignment horizontal="right" wrapText="1"/>
    </xf>
    <xf numFmtId="0" fontId="13" fillId="3" borderId="13" xfId="0" applyFont="1" applyFill="1" applyBorder="1" applyAlignment="1">
      <alignment horizontal="right"/>
    </xf>
    <xf numFmtId="0" fontId="30" fillId="3" borderId="13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top"/>
    </xf>
    <xf numFmtId="0" fontId="32" fillId="3" borderId="0" xfId="0" applyFont="1" applyFill="1" applyBorder="1" applyAlignment="1">
      <alignment wrapText="1"/>
    </xf>
    <xf numFmtId="10" fontId="10" fillId="3" borderId="0" xfId="0" applyNumberFormat="1" applyFont="1" applyFill="1" applyBorder="1"/>
    <xf numFmtId="0" fontId="30" fillId="3" borderId="13" xfId="0" applyFont="1" applyFill="1" applyBorder="1" applyAlignment="1">
      <alignment horizontal="right" vertical="center"/>
    </xf>
    <xf numFmtId="0" fontId="32" fillId="3" borderId="13" xfId="0" applyFont="1" applyFill="1" applyBorder="1"/>
    <xf numFmtId="0" fontId="10" fillId="3" borderId="0" xfId="0" applyFont="1" applyFill="1" applyBorder="1" applyAlignment="1">
      <alignment horizontal="right" vertical="top" wrapText="1"/>
    </xf>
    <xf numFmtId="0" fontId="10" fillId="3" borderId="0" xfId="0" applyFont="1" applyFill="1" applyBorder="1" applyAlignment="1">
      <alignment horizontal="right" vertical="top"/>
    </xf>
    <xf numFmtId="0" fontId="32" fillId="3" borderId="0" xfId="0" applyFont="1" applyFill="1" applyBorder="1" applyAlignment="1">
      <alignment horizontal="right" wrapText="1"/>
    </xf>
    <xf numFmtId="0" fontId="11" fillId="3" borderId="13" xfId="0" applyFont="1" applyFill="1" applyBorder="1" applyAlignment="1">
      <alignment horizontal="left"/>
    </xf>
    <xf numFmtId="0" fontId="32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0" fontId="33" fillId="3" borderId="0" xfId="0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wrapText="1"/>
    </xf>
    <xf numFmtId="0" fontId="33" fillId="3" borderId="0" xfId="0" applyFont="1" applyFill="1" applyBorder="1" applyAlignment="1">
      <alignment horizontal="right"/>
    </xf>
    <xf numFmtId="0" fontId="28" fillId="3" borderId="0" xfId="0" applyFont="1" applyFill="1"/>
    <xf numFmtId="3" fontId="10" fillId="3" borderId="0" xfId="5" applyNumberFormat="1" applyFont="1" applyFill="1" applyBorder="1">
      <alignment horizontal="left" vertical="top"/>
    </xf>
    <xf numFmtId="3" fontId="10" fillId="3" borderId="0" xfId="1" applyNumberFormat="1" applyFont="1" applyFill="1" applyBorder="1">
      <alignment horizontal="right" vertical="top"/>
    </xf>
    <xf numFmtId="3" fontId="10" fillId="3" borderId="0" xfId="5" applyNumberFormat="1" applyFont="1" applyFill="1" applyBorder="1" applyAlignment="1">
      <alignment horizontal="left" vertical="top"/>
    </xf>
    <xf numFmtId="3" fontId="13" fillId="3" borderId="0" xfId="5" applyNumberFormat="1" applyFont="1" applyFill="1" applyBorder="1">
      <alignment horizontal="left" vertical="top"/>
    </xf>
    <xf numFmtId="0" fontId="34" fillId="3" borderId="0" xfId="0" applyFont="1" applyFill="1" applyBorder="1"/>
    <xf numFmtId="3" fontId="11" fillId="3" borderId="0" xfId="5" applyNumberFormat="1" applyFont="1" applyFill="1" applyBorder="1" applyAlignment="1">
      <alignment horizontal="left" vertical="top"/>
    </xf>
    <xf numFmtId="3" fontId="11" fillId="3" borderId="0" xfId="1" applyNumberFormat="1" applyFont="1" applyFill="1" applyBorder="1" applyAlignment="1">
      <alignment horizontal="right" vertical="top"/>
    </xf>
    <xf numFmtId="0" fontId="32" fillId="3" borderId="13" xfId="0" applyFont="1" applyFill="1" applyBorder="1" applyAlignment="1">
      <alignment wrapText="1"/>
    </xf>
    <xf numFmtId="3" fontId="10" fillId="3" borderId="0" xfId="1" applyNumberFormat="1" applyFont="1" applyFill="1" applyBorder="1" applyAlignment="1">
      <alignment vertical="top"/>
    </xf>
    <xf numFmtId="3" fontId="11" fillId="3" borderId="0" xfId="1" applyNumberFormat="1" applyFont="1" applyFill="1" applyBorder="1" applyAlignment="1">
      <alignment vertical="top"/>
    </xf>
    <xf numFmtId="0" fontId="34" fillId="3" borderId="0" xfId="0" applyFont="1" applyFill="1" applyBorder="1" applyAlignment="1"/>
    <xf numFmtId="0" fontId="32" fillId="3" borderId="13" xfId="0" applyFont="1" applyFill="1" applyBorder="1" applyAlignment="1">
      <alignment horizontal="right" wrapText="1"/>
    </xf>
    <xf numFmtId="3" fontId="10" fillId="3" borderId="0" xfId="1" applyNumberFormat="1" applyFont="1" applyFill="1" applyBorder="1" applyAlignment="1">
      <alignment horizontal="right" vertical="top"/>
    </xf>
    <xf numFmtId="171" fontId="11" fillId="2" borderId="6" xfId="11" applyNumberFormat="1" applyFont="1" applyFill="1" applyBorder="1"/>
    <xf numFmtId="171" fontId="32" fillId="3" borderId="13" xfId="11" applyNumberFormat="1" applyFont="1" applyFill="1" applyBorder="1" applyAlignment="1">
      <alignment wrapText="1"/>
    </xf>
    <xf numFmtId="0" fontId="33" fillId="3" borderId="0" xfId="0" applyFont="1" applyFill="1"/>
    <xf numFmtId="3" fontId="10" fillId="3" borderId="0" xfId="0" applyNumberFormat="1" applyFont="1" applyFill="1" applyBorder="1" applyAlignment="1">
      <alignment vertical="top"/>
    </xf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horizontal="right"/>
    </xf>
    <xf numFmtId="3" fontId="10" fillId="3" borderId="0" xfId="1" applyNumberFormat="1" applyFont="1" applyFill="1" applyBorder="1" applyAlignment="1">
      <alignment horizontal="right"/>
    </xf>
    <xf numFmtId="3" fontId="10" fillId="3" borderId="0" xfId="1" applyNumberFormat="1" applyFont="1" applyFill="1" applyBorder="1" applyAlignment="1"/>
    <xf numFmtId="171" fontId="11" fillId="2" borderId="6" xfId="11" applyNumberFormat="1" applyFont="1" applyFill="1" applyBorder="1" applyAlignment="1"/>
    <xf numFmtId="3" fontId="11" fillId="3" borderId="14" xfId="1" applyNumberFormat="1" applyFont="1" applyFill="1" applyBorder="1">
      <alignment horizontal="right" vertical="top"/>
    </xf>
    <xf numFmtId="3" fontId="11" fillId="3" borderId="13" xfId="1" applyNumberFormat="1" applyFont="1" applyFill="1" applyBorder="1">
      <alignment horizontal="right" vertical="top"/>
    </xf>
    <xf numFmtId="3" fontId="11" fillId="3" borderId="13" xfId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14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right" vertical="top" wrapText="1"/>
    </xf>
    <xf numFmtId="0" fontId="10" fillId="3" borderId="0" xfId="0" applyFont="1" applyFill="1" applyAlignment="1">
      <alignment vertical="top" wrapText="1"/>
    </xf>
    <xf numFmtId="0" fontId="10" fillId="3" borderId="13" xfId="0" applyFont="1" applyFill="1" applyBorder="1"/>
    <xf numFmtId="0" fontId="10" fillId="3" borderId="13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left" wrapText="1"/>
    </xf>
    <xf numFmtId="0" fontId="30" fillId="3" borderId="13" xfId="0" applyFont="1" applyFill="1" applyBorder="1" applyAlignment="1"/>
    <xf numFmtId="14" fontId="10" fillId="3" borderId="0" xfId="0" applyNumberFormat="1" applyFont="1" applyFill="1" applyBorder="1" applyAlignment="1">
      <alignment horizontal="right"/>
    </xf>
    <xf numFmtId="14" fontId="10" fillId="3" borderId="0" xfId="0" applyNumberFormat="1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0" fillId="0" borderId="0" xfId="5" applyNumberFormat="1" applyFont="1" applyFill="1" applyBorder="1" applyAlignment="1">
      <alignment horizontal="right" vertical="top"/>
    </xf>
    <xf numFmtId="0" fontId="35" fillId="0" borderId="0" xfId="0" applyFont="1" applyAlignment="1">
      <alignment horizontal="justify"/>
    </xf>
    <xf numFmtId="0" fontId="36" fillId="0" borderId="15" xfId="0" applyFont="1" applyBorder="1" applyAlignment="1">
      <alignment horizontal="right" vertical="top"/>
    </xf>
    <xf numFmtId="0" fontId="36" fillId="0" borderId="15" xfId="0" applyFont="1" applyBorder="1" applyAlignment="1">
      <alignment vertical="top"/>
    </xf>
    <xf numFmtId="0" fontId="36" fillId="0" borderId="0" xfId="0" applyFont="1" applyBorder="1" applyAlignment="1">
      <alignment horizontal="right" vertical="top" wrapText="1"/>
    </xf>
    <xf numFmtId="0" fontId="37" fillId="0" borderId="0" xfId="0" applyFont="1" applyBorder="1" applyAlignment="1">
      <alignment vertical="center" wrapText="1"/>
    </xf>
    <xf numFmtId="170" fontId="37" fillId="0" borderId="0" xfId="0" applyNumberFormat="1" applyFont="1" applyBorder="1" applyAlignment="1">
      <alignment vertical="center" wrapText="1"/>
    </xf>
    <xf numFmtId="170" fontId="37" fillId="0" borderId="0" xfId="0" applyNumberFormat="1" applyFont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170" fontId="37" fillId="0" borderId="0" xfId="0" applyNumberFormat="1" applyFont="1" applyAlignment="1">
      <alignment vertical="center" wrapText="1"/>
    </xf>
    <xf numFmtId="170" fontId="10" fillId="2" borderId="0" xfId="10" applyNumberFormat="1" applyFont="1" applyFill="1" applyAlignment="1">
      <alignment vertical="center"/>
    </xf>
    <xf numFmtId="9" fontId="11" fillId="2" borderId="0" xfId="15" applyFont="1" applyFill="1" applyBorder="1" applyAlignment="1">
      <alignment horizontal="right" vertical="top" wrapText="1"/>
    </xf>
    <xf numFmtId="0" fontId="11" fillId="2" borderId="0" xfId="12" applyFont="1" applyFill="1"/>
    <xf numFmtId="0" fontId="36" fillId="0" borderId="0" xfId="12" applyFont="1" applyBorder="1" applyAlignment="1">
      <alignment horizontal="right" vertical="top" wrapText="1"/>
    </xf>
    <xf numFmtId="0" fontId="36" fillId="0" borderId="15" xfId="12" applyFont="1" applyBorder="1" applyAlignment="1">
      <alignment vertical="top"/>
    </xf>
    <xf numFmtId="0" fontId="36" fillId="0" borderId="15" xfId="12" applyFont="1" applyBorder="1" applyAlignment="1">
      <alignment horizontal="right" vertical="top"/>
    </xf>
    <xf numFmtId="0" fontId="37" fillId="0" borderId="0" xfId="12" applyFont="1" applyBorder="1" applyAlignment="1">
      <alignment vertical="center" wrapText="1"/>
    </xf>
    <xf numFmtId="0" fontId="37" fillId="0" borderId="0" xfId="12" applyFont="1" applyAlignment="1">
      <alignment vertical="center" wrapText="1"/>
    </xf>
    <xf numFmtId="0" fontId="21" fillId="0" borderId="0" xfId="0" applyFont="1" applyFill="1"/>
    <xf numFmtId="0" fontId="21" fillId="0" borderId="0" xfId="0" applyFont="1" applyFill="1" applyAlignment="1">
      <alignment horizontal="right"/>
    </xf>
    <xf numFmtId="2" fontId="10" fillId="3" borderId="4" xfId="0" applyNumberFormat="1" applyFont="1" applyFill="1" applyBorder="1"/>
    <xf numFmtId="14" fontId="10" fillId="2" borderId="5" xfId="0" applyNumberFormat="1" applyFont="1" applyFill="1" applyBorder="1" applyAlignment="1">
      <alignment horizontal="right"/>
    </xf>
    <xf numFmtId="171" fontId="10" fillId="3" borderId="0" xfId="11" applyNumberFormat="1" applyFont="1" applyFill="1" applyBorder="1" applyAlignment="1">
      <alignment horizontal="right"/>
    </xf>
    <xf numFmtId="0" fontId="38" fillId="0" borderId="0" xfId="0" applyFont="1" applyAlignment="1">
      <alignment horizontal="left" vertical="center" indent="3"/>
    </xf>
    <xf numFmtId="0" fontId="38" fillId="3" borderId="0" xfId="0" applyFont="1" applyFill="1" applyAlignment="1">
      <alignment vertical="center"/>
    </xf>
    <xf numFmtId="0" fontId="38" fillId="3" borderId="0" xfId="0" applyFont="1" applyFill="1" applyAlignment="1">
      <alignment horizontal="left" vertical="center" indent="3"/>
    </xf>
    <xf numFmtId="0" fontId="10" fillId="0" borderId="1" xfId="5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0" fillId="2" borderId="11" xfId="0" applyFont="1" applyFill="1" applyBorder="1"/>
    <xf numFmtId="0" fontId="10" fillId="3" borderId="5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left"/>
    </xf>
    <xf numFmtId="9" fontId="10" fillId="2" borderId="4" xfId="0" applyNumberFormat="1" applyFont="1" applyFill="1" applyBorder="1" applyAlignment="1">
      <alignment horizontal="right" wrapText="1"/>
    </xf>
    <xf numFmtId="3" fontId="10" fillId="2" borderId="4" xfId="0" applyNumberFormat="1" applyFont="1" applyFill="1" applyBorder="1" applyAlignment="1">
      <alignment horizontal="right" wrapText="1"/>
    </xf>
    <xf numFmtId="3" fontId="11" fillId="0" borderId="6" xfId="13" applyNumberFormat="1" applyFont="1" applyFill="1" applyBorder="1" applyAlignment="1"/>
    <xf numFmtId="3" fontId="11" fillId="2" borderId="14" xfId="0" applyNumberFormat="1" applyFont="1" applyFill="1" applyBorder="1" applyAlignment="1">
      <alignment horizontal="right"/>
    </xf>
    <xf numFmtId="0" fontId="36" fillId="0" borderId="10" xfId="12" applyFont="1" applyBorder="1" applyAlignment="1">
      <alignment vertical="center"/>
    </xf>
    <xf numFmtId="0" fontId="36" fillId="0" borderId="10" xfId="12" applyFont="1" applyBorder="1" applyAlignment="1">
      <alignment vertical="center" wrapText="1"/>
    </xf>
    <xf numFmtId="10" fontId="37" fillId="0" borderId="0" xfId="16" applyNumberFormat="1" applyFont="1" applyBorder="1" applyAlignment="1">
      <alignment vertical="center" wrapText="1"/>
    </xf>
    <xf numFmtId="10" fontId="37" fillId="0" borderId="0" xfId="16" applyNumberFormat="1" applyFont="1" applyAlignment="1">
      <alignment horizontal="right" vertical="center" wrapText="1"/>
    </xf>
    <xf numFmtId="10" fontId="37" fillId="0" borderId="0" xfId="16" applyNumberFormat="1" applyFont="1" applyAlignment="1">
      <alignment vertical="center" wrapText="1"/>
    </xf>
    <xf numFmtId="10" fontId="10" fillId="2" borderId="0" xfId="16" applyNumberFormat="1" applyFont="1" applyFill="1" applyAlignment="1">
      <alignment vertical="center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right" wrapText="1"/>
    </xf>
    <xf numFmtId="0" fontId="10" fillId="3" borderId="0" xfId="0" applyFont="1" applyFill="1"/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10" fillId="2" borderId="0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32" fillId="3" borderId="0" xfId="0" applyFont="1" applyFill="1" applyBorder="1"/>
    <xf numFmtId="0" fontId="11" fillId="0" borderId="17" xfId="5" applyFont="1" applyFill="1" applyBorder="1">
      <alignment horizontal="left" vertical="top"/>
    </xf>
    <xf numFmtId="164" fontId="10" fillId="0" borderId="17" xfId="1" applyNumberFormat="1" applyFont="1" applyFill="1" applyBorder="1" applyAlignment="1">
      <alignment vertical="top"/>
    </xf>
    <xf numFmtId="0" fontId="11" fillId="2" borderId="17" xfId="0" applyFont="1" applyFill="1" applyBorder="1"/>
    <xf numFmtId="3" fontId="11" fillId="2" borderId="17" xfId="0" applyNumberFormat="1" applyFont="1" applyFill="1" applyBorder="1" applyAlignment="1">
      <alignment horizontal="right"/>
    </xf>
    <xf numFmtId="164" fontId="24" fillId="0" borderId="0" xfId="1" applyNumberFormat="1" applyFont="1" applyFill="1" applyBorder="1" applyAlignment="1">
      <alignment vertical="top"/>
    </xf>
    <xf numFmtId="3" fontId="11" fillId="3" borderId="17" xfId="0" applyNumberFormat="1" applyFont="1" applyFill="1" applyBorder="1" applyAlignment="1">
      <alignment horizontal="right"/>
    </xf>
    <xf numFmtId="3" fontId="10" fillId="3" borderId="14" xfId="1" applyNumberFormat="1" applyFont="1" applyFill="1" applyBorder="1">
      <alignment horizontal="right" vertical="top"/>
    </xf>
    <xf numFmtId="0" fontId="10" fillId="3" borderId="0" xfId="0" applyFont="1" applyFill="1"/>
    <xf numFmtId="0" fontId="10" fillId="3" borderId="0" xfId="0" applyFont="1" applyFill="1"/>
    <xf numFmtId="3" fontId="32" fillId="3" borderId="13" xfId="0" applyNumberFormat="1" applyFont="1" applyFill="1" applyBorder="1" applyAlignment="1">
      <alignment horizontal="right" wrapText="1"/>
    </xf>
    <xf numFmtId="1" fontId="40" fillId="2" borderId="0" xfId="5" applyNumberFormat="1" applyFont="1" applyFill="1" applyAlignment="1"/>
    <xf numFmtId="0" fontId="41" fillId="2" borderId="0" xfId="0" applyFont="1" applyFill="1" applyAlignment="1"/>
    <xf numFmtId="0" fontId="10" fillId="3" borderId="0" xfId="0" applyFont="1" applyFill="1"/>
    <xf numFmtId="0" fontId="10" fillId="3" borderId="0" xfId="0" applyFont="1" applyFill="1"/>
    <xf numFmtId="0" fontId="34" fillId="0" borderId="0" xfId="0" applyFont="1" applyFill="1" applyBorder="1"/>
    <xf numFmtId="0" fontId="28" fillId="2" borderId="0" xfId="0" applyFont="1" applyFill="1" applyAlignment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0" fontId="10" fillId="3" borderId="0" xfId="0" applyFont="1" applyFill="1"/>
    <xf numFmtId="0" fontId="36" fillId="0" borderId="15" xfId="0" applyFont="1" applyBorder="1" applyAlignment="1">
      <alignment wrapText="1"/>
    </xf>
    <xf numFmtId="0" fontId="11" fillId="2" borderId="5" xfId="0" applyFont="1" applyFill="1" applyBorder="1" applyAlignment="1">
      <alignment horizontal="left" wrapText="1"/>
    </xf>
    <xf numFmtId="3" fontId="10" fillId="0" borderId="0" xfId="13" applyNumberFormat="1" applyFont="1" applyFill="1" applyBorder="1" applyAlignment="1"/>
    <xf numFmtId="3" fontId="10" fillId="2" borderId="0" xfId="13" applyNumberFormat="1" applyFont="1" applyFill="1" applyBorder="1" applyAlignment="1"/>
    <xf numFmtId="171" fontId="10" fillId="2" borderId="0" xfId="11" applyNumberFormat="1" applyFont="1" applyFill="1" applyBorder="1" applyAlignment="1">
      <alignment horizontal="left" vertical="top"/>
    </xf>
    <xf numFmtId="171" fontId="10" fillId="2" borderId="0" xfId="11" applyNumberFormat="1" applyFont="1" applyFill="1" applyAlignment="1">
      <alignment vertical="top"/>
    </xf>
    <xf numFmtId="3" fontId="10" fillId="2" borderId="0" xfId="11" applyNumberFormat="1" applyFont="1" applyFill="1" applyBorder="1" applyAlignment="1">
      <alignment horizontal="right" vertical="top" wrapText="1"/>
    </xf>
    <xf numFmtId="171" fontId="10" fillId="2" borderId="7" xfId="11" applyNumberFormat="1" applyFont="1" applyFill="1" applyBorder="1" applyAlignment="1">
      <alignment vertical="top"/>
    </xf>
    <xf numFmtId="0" fontId="42" fillId="0" borderId="0" xfId="0" applyFont="1" applyBorder="1" applyAlignment="1"/>
    <xf numFmtId="0" fontId="36" fillId="0" borderId="15" xfId="0" applyFont="1" applyBorder="1" applyAlignment="1">
      <alignment horizontal="right" wrapText="1"/>
    </xf>
    <xf numFmtId="0" fontId="10" fillId="0" borderId="0" xfId="0" applyFont="1" applyAlignment="1">
      <alignment horizontal="left"/>
    </xf>
    <xf numFmtId="10" fontId="19" fillId="0" borderId="0" xfId="0" applyNumberFormat="1" applyFont="1"/>
    <xf numFmtId="0" fontId="19" fillId="0" borderId="0" xfId="0" applyFont="1"/>
    <xf numFmtId="0" fontId="13" fillId="0" borderId="0" xfId="0" applyFont="1" applyAlignment="1">
      <alignment horizontal="justify"/>
    </xf>
    <xf numFmtId="10" fontId="23" fillId="0" borderId="0" xfId="0" applyNumberFormat="1" applyFont="1"/>
    <xf numFmtId="0" fontId="23" fillId="0" borderId="0" xfId="0" applyFont="1"/>
    <xf numFmtId="10" fontId="33" fillId="0" borderId="0" xfId="10" applyNumberFormat="1" applyFont="1" applyAlignment="1">
      <alignment vertical="center"/>
    </xf>
    <xf numFmtId="10" fontId="36" fillId="0" borderId="18" xfId="16" applyNumberFormat="1" applyFont="1" applyBorder="1" applyAlignment="1">
      <alignment vertical="center" wrapText="1"/>
    </xf>
    <xf numFmtId="10" fontId="36" fillId="0" borderId="18" xfId="16" applyNumberFormat="1" applyFont="1" applyBorder="1" applyAlignment="1">
      <alignment horizontal="right" vertical="center" wrapText="1"/>
    </xf>
    <xf numFmtId="10" fontId="11" fillId="2" borderId="18" xfId="16" applyNumberFormat="1" applyFont="1" applyFill="1" applyBorder="1" applyAlignment="1">
      <alignment vertical="center"/>
    </xf>
    <xf numFmtId="0" fontId="43" fillId="5" borderId="0" xfId="17" applyFill="1" applyAlignment="1">
      <alignment horizontal="right"/>
    </xf>
    <xf numFmtId="0" fontId="43" fillId="3" borderId="0" xfId="17" applyFill="1" applyAlignment="1">
      <alignment horizontal="right"/>
    </xf>
    <xf numFmtId="0" fontId="43" fillId="0" borderId="0" xfId="17" applyFill="1" applyAlignment="1">
      <alignment horizontal="right"/>
    </xf>
    <xf numFmtId="0" fontId="44" fillId="0" borderId="0" xfId="0" applyFont="1" applyBorder="1" applyAlignment="1"/>
    <xf numFmtId="0" fontId="11" fillId="0" borderId="15" xfId="0" applyFont="1" applyBorder="1" applyAlignment="1">
      <alignment wrapText="1"/>
    </xf>
    <xf numFmtId="10" fontId="10" fillId="0" borderId="0" xfId="0" applyNumberFormat="1" applyFont="1"/>
    <xf numFmtId="0" fontId="11" fillId="0" borderId="15" xfId="0" applyFont="1" applyBorder="1" applyAlignment="1">
      <alignment horizontal="right" wrapText="1"/>
    </xf>
    <xf numFmtId="0" fontId="19" fillId="0" borderId="0" xfId="0" applyFont="1" applyFill="1"/>
    <xf numFmtId="10" fontId="37" fillId="3" borderId="0" xfId="10" applyNumberFormat="1" applyFont="1" applyFill="1"/>
    <xf numFmtId="174" fontId="37" fillId="3" borderId="0" xfId="11" applyNumberFormat="1" applyFont="1" applyFill="1"/>
    <xf numFmtId="0" fontId="0" fillId="0" borderId="0" xfId="0" applyFill="1"/>
    <xf numFmtId="0" fontId="2" fillId="0" borderId="0" xfId="12"/>
    <xf numFmtId="0" fontId="37" fillId="3" borderId="0" xfId="12" applyFont="1" applyFill="1" applyAlignment="1">
      <alignment horizontal="left"/>
    </xf>
    <xf numFmtId="14" fontId="45" fillId="3" borderId="0" xfId="12" quotePrefix="1" applyNumberFormat="1" applyFont="1" applyFill="1" applyAlignment="1">
      <alignment horizontal="left" vertical="center"/>
    </xf>
    <xf numFmtId="0" fontId="45" fillId="3" borderId="0" xfId="12" applyFont="1" applyFill="1" applyAlignment="1"/>
    <xf numFmtId="0" fontId="37" fillId="3" borderId="0" xfId="12" applyFont="1" applyFill="1" applyAlignment="1"/>
    <xf numFmtId="0" fontId="37" fillId="3" borderId="0" xfId="12" applyFont="1" applyFill="1"/>
    <xf numFmtId="0" fontId="45" fillId="3" borderId="0" xfId="12" applyFont="1" applyFill="1" applyBorder="1" applyAlignment="1"/>
    <xf numFmtId="0" fontId="45" fillId="3" borderId="0" xfId="12" applyFont="1" applyFill="1" applyBorder="1" applyAlignment="1">
      <alignment wrapText="1"/>
    </xf>
    <xf numFmtId="0" fontId="32" fillId="3" borderId="13" xfId="12" applyFont="1" applyFill="1" applyBorder="1" applyAlignment="1">
      <alignment wrapText="1"/>
    </xf>
    <xf numFmtId="0" fontId="33" fillId="3" borderId="19" xfId="12" applyFont="1" applyFill="1" applyBorder="1" applyAlignment="1">
      <alignment wrapText="1"/>
    </xf>
    <xf numFmtId="0" fontId="33" fillId="3" borderId="21" xfId="12" applyFont="1" applyFill="1" applyBorder="1" applyAlignment="1">
      <alignment wrapText="1"/>
    </xf>
    <xf numFmtId="0" fontId="33" fillId="3" borderId="13" xfId="12" applyFont="1" applyFill="1" applyBorder="1" applyAlignment="1">
      <alignment wrapText="1"/>
    </xf>
    <xf numFmtId="0" fontId="32" fillId="3" borderId="19" xfId="12" applyFont="1" applyFill="1" applyBorder="1" applyAlignment="1">
      <alignment wrapText="1"/>
    </xf>
    <xf numFmtId="0" fontId="32" fillId="3" borderId="21" xfId="12" applyFont="1" applyFill="1" applyBorder="1" applyAlignment="1">
      <alignment wrapText="1"/>
    </xf>
    <xf numFmtId="0" fontId="37" fillId="3" borderId="0" xfId="12" applyFont="1" applyFill="1" applyBorder="1" applyAlignment="1">
      <alignment horizontal="left" vertical="center"/>
    </xf>
    <xf numFmtId="0" fontId="2" fillId="0" borderId="20" xfId="12" applyBorder="1"/>
    <xf numFmtId="0" fontId="2" fillId="0" borderId="0" xfId="12" applyBorder="1"/>
    <xf numFmtId="0" fontId="45" fillId="3" borderId="0" xfId="12" applyFont="1" applyFill="1" applyAlignment="1">
      <alignment horizontal="left" vertical="center"/>
    </xf>
    <xf numFmtId="0" fontId="25" fillId="0" borderId="20" xfId="12" applyFont="1" applyBorder="1"/>
    <xf numFmtId="0" fontId="25" fillId="0" borderId="0" xfId="12" applyFont="1"/>
    <xf numFmtId="0" fontId="37" fillId="3" borderId="0" xfId="12" applyFont="1" applyFill="1" applyAlignment="1">
      <alignment horizontal="left" vertical="center"/>
    </xf>
    <xf numFmtId="0" fontId="37" fillId="3" borderId="0" xfId="12" applyFont="1" applyFill="1" applyAlignment="1">
      <alignment horizontal="right"/>
    </xf>
    <xf numFmtId="0" fontId="32" fillId="3" borderId="13" xfId="12" applyFont="1" applyFill="1" applyBorder="1" applyAlignment="1"/>
    <xf numFmtId="3" fontId="37" fillId="3" borderId="0" xfId="12" applyNumberFormat="1" applyFont="1" applyFill="1"/>
    <xf numFmtId="0" fontId="32" fillId="3" borderId="0" xfId="12" applyFont="1" applyFill="1" applyBorder="1" applyAlignment="1"/>
    <xf numFmtId="0" fontId="19" fillId="2" borderId="0" xfId="12" applyFont="1" applyFill="1"/>
    <xf numFmtId="0" fontId="19" fillId="5" borderId="0" xfId="12" applyFont="1" applyFill="1"/>
    <xf numFmtId="0" fontId="19" fillId="0" borderId="0" xfId="12" applyFont="1" applyFill="1"/>
    <xf numFmtId="0" fontId="11" fillId="3" borderId="5" xfId="0" applyFont="1" applyFill="1" applyBorder="1" applyAlignment="1">
      <alignment horizontal="right" wrapText="1"/>
    </xf>
    <xf numFmtId="0" fontId="10" fillId="3" borderId="0" xfId="0" applyFont="1" applyFill="1"/>
    <xf numFmtId="0" fontId="10" fillId="2" borderId="0" xfId="0" applyFont="1" applyFill="1" applyBorder="1" applyAlignment="1">
      <alignment horizontal="left"/>
    </xf>
    <xf numFmtId="10" fontId="10" fillId="3" borderId="0" xfId="0" applyNumberFormat="1" applyFont="1" applyFill="1"/>
    <xf numFmtId="10" fontId="10" fillId="3" borderId="0" xfId="1" applyNumberFormat="1" applyFont="1" applyFill="1" applyAlignment="1">
      <alignment vertical="top"/>
    </xf>
    <xf numFmtId="0" fontId="10" fillId="3" borderId="0" xfId="0" applyFont="1" applyFill="1"/>
    <xf numFmtId="3" fontId="13" fillId="3" borderId="0" xfId="1" applyNumberFormat="1" applyFont="1" applyFill="1" applyBorder="1">
      <alignment horizontal="right" vertical="top"/>
    </xf>
    <xf numFmtId="3" fontId="13" fillId="3" borderId="0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/>
    <xf numFmtId="3" fontId="10" fillId="0" borderId="0" xfId="5" applyNumberFormat="1" applyFont="1" applyFill="1" applyBorder="1">
      <alignment horizontal="left" vertical="top"/>
    </xf>
    <xf numFmtId="0" fontId="10" fillId="3" borderId="0" xfId="0" applyFont="1" applyFill="1"/>
    <xf numFmtId="0" fontId="10" fillId="3" borderId="0" xfId="0" applyFont="1" applyFill="1" applyBorder="1" applyAlignment="1">
      <alignment horizontal="left" wrapText="1"/>
    </xf>
    <xf numFmtId="0" fontId="10" fillId="3" borderId="0" xfId="0" applyFont="1" applyFill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 wrapText="1"/>
    </xf>
    <xf numFmtId="0" fontId="10" fillId="3" borderId="0" xfId="0" applyFont="1" applyFill="1"/>
    <xf numFmtId="171" fontId="11" fillId="3" borderId="0" xfId="11" applyNumberFormat="1" applyFont="1" applyFill="1" applyBorder="1"/>
    <xf numFmtId="3" fontId="10" fillId="0" borderId="0" xfId="1" applyNumberFormat="1" applyFont="1" applyFill="1" applyBorder="1">
      <alignment horizontal="right" vertical="top"/>
    </xf>
    <xf numFmtId="3" fontId="10" fillId="0" borderId="0" xfId="1" applyNumberFormat="1" applyFont="1" applyFill="1" applyBorder="1" applyAlignment="1">
      <alignment horizontal="right" vertical="top"/>
    </xf>
    <xf numFmtId="169" fontId="4" fillId="0" borderId="0" xfId="3" applyNumberFormat="1" applyFont="1" applyFill="1">
      <alignment horizontal="right" vertical="top"/>
    </xf>
    <xf numFmtId="171" fontId="11" fillId="2" borderId="1" xfId="11" applyNumberFormat="1" applyFont="1" applyFill="1" applyBorder="1"/>
    <xf numFmtId="3" fontId="10" fillId="0" borderId="16" xfId="11" applyNumberFormat="1" applyFont="1" applyFill="1" applyBorder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/>
    </xf>
    <xf numFmtId="0" fontId="11" fillId="3" borderId="5" xfId="0" applyFont="1" applyFill="1" applyBorder="1" applyAlignment="1">
      <alignment horizontal="right" wrapText="1"/>
    </xf>
    <xf numFmtId="0" fontId="10" fillId="3" borderId="0" xfId="0" applyFont="1" applyFill="1"/>
    <xf numFmtId="0" fontId="11" fillId="2" borderId="5" xfId="0" applyFont="1" applyFill="1" applyBorder="1" applyAlignment="1">
      <alignment horizontal="left" wrapText="1"/>
    </xf>
    <xf numFmtId="3" fontId="28" fillId="3" borderId="0" xfId="0" applyNumberFormat="1" applyFont="1" applyFill="1" applyBorder="1" applyAlignment="1">
      <alignment wrapText="1"/>
    </xf>
    <xf numFmtId="3" fontId="28" fillId="3" borderId="4" xfId="0" applyNumberFormat="1" applyFont="1" applyFill="1" applyBorder="1" applyAlignment="1">
      <alignment wrapText="1"/>
    </xf>
    <xf numFmtId="3" fontId="46" fillId="3" borderId="0" xfId="0" applyNumberFormat="1" applyFont="1" applyFill="1" applyBorder="1" applyAlignment="1">
      <alignment wrapText="1"/>
    </xf>
    <xf numFmtId="3" fontId="28" fillId="3" borderId="0" xfId="0" applyNumberFormat="1" applyFont="1" applyFill="1" applyAlignment="1"/>
    <xf numFmtId="3" fontId="46" fillId="3" borderId="6" xfId="0" applyNumberFormat="1" applyFont="1" applyFill="1" applyBorder="1" applyAlignment="1"/>
    <xf numFmtId="3" fontId="28" fillId="3" borderId="6" xfId="0" applyNumberFormat="1" applyFont="1" applyFill="1" applyBorder="1" applyAlignment="1"/>
    <xf numFmtId="0" fontId="11" fillId="3" borderId="0" xfId="0" applyFont="1" applyFill="1" applyBorder="1" applyAlignment="1">
      <alignment wrapText="1"/>
    </xf>
    <xf numFmtId="3" fontId="28" fillId="3" borderId="0" xfId="11" applyNumberFormat="1" applyFont="1" applyFill="1" applyBorder="1" applyAlignment="1">
      <alignment horizontal="right" wrapText="1"/>
    </xf>
    <xf numFmtId="3" fontId="28" fillId="3" borderId="0" xfId="0" applyNumberFormat="1" applyFont="1" applyFill="1" applyBorder="1" applyAlignment="1">
      <alignment horizontal="right"/>
    </xf>
    <xf numFmtId="3" fontId="28" fillId="2" borderId="0" xfId="11" applyNumberFormat="1" applyFont="1" applyFill="1" applyBorder="1" applyAlignment="1">
      <alignment horizontal="right"/>
    </xf>
    <xf numFmtId="0" fontId="46" fillId="0" borderId="0" xfId="5" applyFont="1" applyFill="1">
      <alignment horizontal="left" vertical="top"/>
    </xf>
    <xf numFmtId="3" fontId="33" fillId="3" borderId="0" xfId="0" applyNumberFormat="1" applyFont="1" applyFill="1" applyBorder="1" applyAlignment="1">
      <alignment horizontal="right"/>
    </xf>
    <xf numFmtId="3" fontId="33" fillId="2" borderId="0" xfId="0" applyNumberFormat="1" applyFont="1" applyFill="1"/>
    <xf numFmtId="3" fontId="33" fillId="3" borderId="1" xfId="0" applyNumberFormat="1" applyFont="1" applyFill="1" applyBorder="1" applyAlignment="1">
      <alignment horizontal="right"/>
    </xf>
    <xf numFmtId="14" fontId="11" fillId="0" borderId="0" xfId="12" applyNumberFormat="1" applyFont="1" applyFill="1" applyAlignment="1">
      <alignment horizontal="left"/>
    </xf>
    <xf numFmtId="9" fontId="10" fillId="0" borderId="0" xfId="0" applyNumberFormat="1" applyFont="1" applyFill="1" applyBorder="1" applyAlignment="1">
      <alignment horizontal="right"/>
    </xf>
    <xf numFmtId="164" fontId="11" fillId="0" borderId="0" xfId="1" applyNumberFormat="1" applyFont="1" applyFill="1" applyAlignment="1">
      <alignment vertical="top"/>
    </xf>
    <xf numFmtId="164" fontId="11" fillId="0" borderId="17" xfId="1" applyNumberFormat="1" applyFont="1" applyFill="1" applyBorder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4" fontId="11" fillId="3" borderId="5" xfId="0" applyNumberFormat="1" applyFont="1" applyFill="1" applyBorder="1"/>
    <xf numFmtId="3" fontId="11" fillId="3" borderId="0" xfId="0" applyNumberFormat="1" applyFont="1" applyFill="1"/>
    <xf numFmtId="3" fontId="11" fillId="3" borderId="4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169" fontId="11" fillId="0" borderId="0" xfId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10" fontId="11" fillId="3" borderId="0" xfId="1" applyNumberFormat="1" applyFont="1" applyFill="1" applyAlignment="1">
      <alignment vertical="top"/>
    </xf>
    <xf numFmtId="0" fontId="11" fillId="0" borderId="1" xfId="2" applyFont="1" applyFill="1" applyBorder="1" applyAlignment="1">
      <alignment horizontal="right"/>
    </xf>
    <xf numFmtId="169" fontId="11" fillId="0" borderId="0" xfId="1" applyFont="1" applyFill="1">
      <alignment horizontal="right" vertical="top"/>
    </xf>
    <xf numFmtId="3" fontId="32" fillId="0" borderId="0" xfId="0" applyNumberFormat="1" applyFont="1" applyBorder="1"/>
    <xf numFmtId="3" fontId="32" fillId="0" borderId="1" xfId="0" applyNumberFormat="1" applyFont="1" applyBorder="1"/>
    <xf numFmtId="3" fontId="32" fillId="0" borderId="10" xfId="0" applyNumberFormat="1" applyFont="1" applyBorder="1"/>
    <xf numFmtId="3" fontId="10" fillId="0" borderId="1" xfId="0" applyNumberFormat="1" applyFont="1" applyBorder="1"/>
    <xf numFmtId="3" fontId="33" fillId="3" borderId="0" xfId="0" applyNumberFormat="1" applyFont="1" applyFill="1"/>
    <xf numFmtId="3" fontId="33" fillId="3" borderId="0" xfId="0" applyNumberFormat="1" applyFont="1" applyFill="1" applyBorder="1"/>
    <xf numFmtId="3" fontId="33" fillId="3" borderId="0" xfId="7" applyNumberFormat="1" applyFont="1" applyFill="1"/>
    <xf numFmtId="3" fontId="32" fillId="2" borderId="6" xfId="7" applyNumberFormat="1" applyFont="1" applyFill="1" applyBorder="1"/>
    <xf numFmtId="3" fontId="32" fillId="2" borderId="6" xfId="0" applyNumberFormat="1" applyFont="1" applyFill="1" applyBorder="1"/>
    <xf numFmtId="3" fontId="33" fillId="2" borderId="0" xfId="0" applyNumberFormat="1" applyFont="1" applyFill="1" applyBorder="1"/>
    <xf numFmtId="3" fontId="32" fillId="2" borderId="11" xfId="0" applyNumberFormat="1" applyFont="1" applyFill="1" applyBorder="1"/>
    <xf numFmtId="0" fontId="33" fillId="3" borderId="4" xfId="0" applyFont="1" applyFill="1" applyBorder="1"/>
    <xf numFmtId="2" fontId="33" fillId="3" borderId="4" xfId="0" applyNumberFormat="1" applyFont="1" applyFill="1" applyBorder="1"/>
    <xf numFmtId="2" fontId="33" fillId="3" borderId="0" xfId="0" applyNumberFormat="1" applyFont="1" applyFill="1"/>
    <xf numFmtId="14" fontId="32" fillId="3" borderId="5" xfId="0" applyNumberFormat="1" applyFont="1" applyFill="1" applyBorder="1" applyAlignment="1">
      <alignment horizontal="right"/>
    </xf>
    <xf numFmtId="3" fontId="33" fillId="3" borderId="0" xfId="0" applyNumberFormat="1" applyFont="1" applyFill="1" applyBorder="1" applyAlignment="1">
      <alignment wrapText="1"/>
    </xf>
    <xf numFmtId="3" fontId="33" fillId="3" borderId="4" xfId="0" applyNumberFormat="1" applyFont="1" applyFill="1" applyBorder="1" applyAlignment="1">
      <alignment wrapText="1"/>
    </xf>
    <xf numFmtId="3" fontId="32" fillId="3" borderId="0" xfId="0" applyNumberFormat="1" applyFont="1" applyFill="1" applyBorder="1" applyAlignment="1">
      <alignment wrapText="1"/>
    </xf>
    <xf numFmtId="3" fontId="33" fillId="3" borderId="0" xfId="0" applyNumberFormat="1" applyFont="1" applyFill="1" applyAlignment="1"/>
    <xf numFmtId="3" fontId="32" fillId="3" borderId="6" xfId="0" applyNumberFormat="1" applyFont="1" applyFill="1" applyBorder="1" applyAlignment="1"/>
    <xf numFmtId="3" fontId="33" fillId="0" borderId="0" xfId="0" applyNumberFormat="1" applyFont="1" applyFill="1" applyAlignment="1">
      <alignment horizontal="right"/>
    </xf>
    <xf numFmtId="3" fontId="33" fillId="0" borderId="3" xfId="0" applyNumberFormat="1" applyFont="1" applyFill="1" applyBorder="1" applyAlignment="1">
      <alignment horizontal="right"/>
    </xf>
    <xf numFmtId="169" fontId="33" fillId="0" borderId="0" xfId="1" applyFont="1" applyFill="1">
      <alignment horizontal="right" vertical="top"/>
    </xf>
    <xf numFmtId="169" fontId="49" fillId="0" borderId="0" xfId="1" applyFont="1" applyFill="1" applyAlignment="1">
      <alignment horizontal="right" vertical="top"/>
    </xf>
    <xf numFmtId="169" fontId="50" fillId="0" borderId="0" xfId="1" applyFont="1" applyFill="1" applyAlignment="1">
      <alignment horizontal="right" vertical="top"/>
    </xf>
    <xf numFmtId="3" fontId="33" fillId="0" borderId="1" xfId="0" applyNumberFormat="1" applyFont="1" applyFill="1" applyBorder="1" applyAlignment="1">
      <alignment horizontal="right"/>
    </xf>
    <xf numFmtId="0" fontId="33" fillId="0" borderId="0" xfId="5" applyFont="1" applyFill="1">
      <alignment horizontal="left" vertical="top"/>
    </xf>
    <xf numFmtId="3" fontId="10" fillId="3" borderId="1" xfId="0" applyNumberFormat="1" applyFont="1" applyFill="1" applyBorder="1" applyAlignment="1">
      <alignment horizontal="right"/>
    </xf>
    <xf numFmtId="171" fontId="11" fillId="2" borderId="0" xfId="11" applyNumberFormat="1" applyFont="1" applyFill="1" applyBorder="1" applyAlignment="1"/>
    <xf numFmtId="0" fontId="10" fillId="0" borderId="0" xfId="0" applyFont="1" applyFill="1"/>
    <xf numFmtId="3" fontId="10" fillId="0" borderId="14" xfId="11" applyNumberFormat="1" applyFont="1" applyFill="1" applyBorder="1" applyAlignment="1">
      <alignment horizontal="right" vertical="top" wrapText="1"/>
    </xf>
    <xf numFmtId="3" fontId="11" fillId="3" borderId="0" xfId="0" applyNumberFormat="1" applyFont="1" applyFill="1" applyBorder="1" applyAlignment="1">
      <alignment wrapText="1"/>
    </xf>
    <xf numFmtId="3" fontId="11" fillId="0" borderId="3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169" fontId="24" fillId="0" borderId="0" xfId="3" applyNumberFormat="1" applyFont="1" applyFill="1">
      <alignment horizontal="right" vertical="top"/>
    </xf>
    <xf numFmtId="169" fontId="46" fillId="0" borderId="0" xfId="1" applyFont="1" applyFill="1">
      <alignment horizontal="right" vertical="top"/>
    </xf>
    <xf numFmtId="169" fontId="47" fillId="0" borderId="0" xfId="1" applyFont="1" applyFill="1" applyAlignment="1">
      <alignment horizontal="right" vertical="top"/>
    </xf>
    <xf numFmtId="169" fontId="48" fillId="0" borderId="0" xfId="1" applyFont="1" applyFill="1" applyAlignment="1">
      <alignment horizontal="right" vertical="top"/>
    </xf>
    <xf numFmtId="3" fontId="11" fillId="0" borderId="1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 wrapText="1"/>
    </xf>
    <xf numFmtId="170" fontId="11" fillId="2" borderId="0" xfId="11" applyNumberFormat="1" applyFont="1" applyFill="1" applyBorder="1" applyAlignment="1"/>
    <xf numFmtId="14" fontId="11" fillId="2" borderId="5" xfId="0" applyNumberFormat="1" applyFont="1" applyFill="1" applyBorder="1" applyAlignment="1">
      <alignment horizontal="right"/>
    </xf>
    <xf numFmtId="3" fontId="11" fillId="3" borderId="13" xfId="0" applyNumberFormat="1" applyFont="1" applyFill="1" applyBorder="1" applyAlignment="1">
      <alignment horizontal="right" wrapText="1"/>
    </xf>
    <xf numFmtId="10" fontId="11" fillId="3" borderId="0" xfId="0" applyNumberFormat="1" applyFont="1" applyFill="1"/>
    <xf numFmtId="3" fontId="37" fillId="3" borderId="0" xfId="12" applyNumberFormat="1" applyFont="1" applyFill="1" applyAlignment="1">
      <alignment horizontal="right"/>
    </xf>
    <xf numFmtId="3" fontId="37" fillId="3" borderId="20" xfId="12" applyNumberFormat="1" applyFont="1" applyFill="1" applyBorder="1"/>
    <xf numFmtId="3" fontId="37" fillId="3" borderId="20" xfId="11" applyNumberFormat="1" applyFont="1" applyFill="1" applyBorder="1"/>
    <xf numFmtId="10" fontId="37" fillId="3" borderId="22" xfId="10" applyNumberFormat="1" applyFont="1" applyFill="1" applyBorder="1"/>
    <xf numFmtId="10" fontId="37" fillId="3" borderId="0" xfId="12" applyNumberFormat="1" applyFont="1" applyFill="1" applyBorder="1"/>
    <xf numFmtId="3" fontId="36" fillId="3" borderId="20" xfId="12" applyNumberFormat="1" applyFont="1" applyFill="1" applyBorder="1" applyAlignment="1">
      <alignment horizontal="right"/>
    </xf>
    <xf numFmtId="174" fontId="36" fillId="3" borderId="22" xfId="12" applyNumberFormat="1" applyFont="1" applyFill="1" applyBorder="1" applyAlignment="1">
      <alignment horizontal="right"/>
    </xf>
    <xf numFmtId="10" fontId="36" fillId="3" borderId="0" xfId="10" applyNumberFormat="1" applyFont="1" applyFill="1" applyBorder="1" applyAlignment="1">
      <alignment horizontal="right"/>
    </xf>
    <xf numFmtId="3" fontId="37" fillId="3" borderId="20" xfId="11" applyNumberFormat="1" applyFont="1" applyFill="1" applyBorder="1" applyAlignment="1">
      <alignment horizontal="right"/>
    </xf>
    <xf numFmtId="3" fontId="11" fillId="3" borderId="6" xfId="0" applyNumberFormat="1" applyFont="1" applyFill="1" applyBorder="1"/>
    <xf numFmtId="3" fontId="10" fillId="0" borderId="0" xfId="0" applyNumberFormat="1" applyFont="1" applyFill="1"/>
    <xf numFmtId="0" fontId="10" fillId="3" borderId="0" xfId="0" applyFont="1" applyFill="1"/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0" fontId="25" fillId="7" borderId="0" xfId="0" applyFont="1" applyFill="1" applyAlignment="1">
      <alignment horizontal="center" vertical="center"/>
    </xf>
    <xf numFmtId="0" fontId="10" fillId="0" borderId="0" xfId="0" applyFont="1" applyFill="1"/>
    <xf numFmtId="3" fontId="33" fillId="0" borderId="0" xfId="0" applyNumberFormat="1" applyFont="1" applyFill="1" applyBorder="1"/>
    <xf numFmtId="3" fontId="10" fillId="0" borderId="0" xfId="0" applyNumberFormat="1" applyFont="1" applyFill="1" applyBorder="1"/>
    <xf numFmtId="0" fontId="10" fillId="3" borderId="0" xfId="0" applyFont="1" applyFill="1" applyBorder="1" applyAlignment="1">
      <alignment horizontal="left" wrapText="1"/>
    </xf>
    <xf numFmtId="0" fontId="10" fillId="3" borderId="0" xfId="0" applyFont="1" applyFill="1"/>
    <xf numFmtId="0" fontId="33" fillId="3" borderId="0" xfId="0" applyFont="1" applyFill="1" applyBorder="1"/>
    <xf numFmtId="3" fontId="13" fillId="3" borderId="0" xfId="1" applyNumberFormat="1" applyFont="1" applyFill="1" applyBorder="1" applyAlignment="1">
      <alignment horizontal="right" vertical="top"/>
    </xf>
    <xf numFmtId="177" fontId="32" fillId="3" borderId="0" xfId="0" applyNumberFormat="1" applyFont="1" applyFill="1" applyBorder="1" applyAlignment="1">
      <alignment wrapText="1"/>
    </xf>
    <xf numFmtId="0" fontId="10" fillId="3" borderId="1" xfId="0" applyFont="1" applyFill="1" applyBorder="1"/>
    <xf numFmtId="171" fontId="11" fillId="3" borderId="0" xfId="11" applyNumberFormat="1" applyFont="1" applyFill="1"/>
    <xf numFmtId="0" fontId="11" fillId="3" borderId="5" xfId="0" applyFont="1" applyFill="1" applyBorder="1" applyAlignment="1">
      <alignment horizontal="right"/>
    </xf>
    <xf numFmtId="0" fontId="11" fillId="3" borderId="1" xfId="0" applyFont="1" applyFill="1" applyBorder="1"/>
    <xf numFmtId="3" fontId="11" fillId="3" borderId="11" xfId="0" applyNumberFormat="1" applyFont="1" applyFill="1" applyBorder="1" applyAlignment="1">
      <alignment horizontal="right"/>
    </xf>
    <xf numFmtId="0" fontId="13" fillId="3" borderId="0" xfId="0" applyFont="1" applyFill="1" applyBorder="1" applyAlignment="1">
      <alignment horizontal="left"/>
    </xf>
    <xf numFmtId="3" fontId="10" fillId="3" borderId="0" xfId="1" applyNumberFormat="1" applyFont="1" applyFill="1">
      <alignment horizontal="right" vertical="top"/>
    </xf>
    <xf numFmtId="3" fontId="10" fillId="3" borderId="1" xfId="1" applyNumberFormat="1" applyFont="1" applyFill="1" applyBorder="1">
      <alignment horizontal="right" vertical="top"/>
    </xf>
    <xf numFmtId="3" fontId="46" fillId="3" borderId="0" xfId="0" applyNumberFormat="1" applyFont="1" applyFill="1" applyBorder="1" applyAlignment="1">
      <alignment horizontal="right"/>
    </xf>
    <xf numFmtId="0" fontId="32" fillId="3" borderId="5" xfId="0" applyFont="1" applyFill="1" applyBorder="1" applyAlignment="1">
      <alignment horizontal="left" vertical="top" wrapText="1"/>
    </xf>
    <xf numFmtId="0" fontId="32" fillId="3" borderId="5" xfId="0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left" wrapText="1"/>
    </xf>
    <xf numFmtId="0" fontId="33" fillId="3" borderId="1" xfId="0" applyFont="1" applyFill="1" applyBorder="1"/>
    <xf numFmtId="0" fontId="34" fillId="3" borderId="0" xfId="0" applyFont="1" applyFill="1" applyBorder="1" applyAlignment="1">
      <alignment horizontal="left"/>
    </xf>
    <xf numFmtId="3" fontId="33" fillId="3" borderId="0" xfId="0" applyNumberFormat="1" applyFont="1" applyFill="1" applyBorder="1" applyAlignment="1">
      <alignment horizontal="left"/>
    </xf>
    <xf numFmtId="3" fontId="33" fillId="3" borderId="0" xfId="0" applyNumberFormat="1" applyFont="1" applyFill="1" applyAlignment="1">
      <alignment horizontal="left"/>
    </xf>
    <xf numFmtId="3" fontId="33" fillId="3" borderId="0" xfId="1" applyNumberFormat="1" applyFont="1" applyFill="1">
      <alignment horizontal="right" vertical="top"/>
    </xf>
    <xf numFmtId="3" fontId="33" fillId="3" borderId="1" xfId="1" applyNumberFormat="1" applyFont="1" applyFill="1" applyBorder="1">
      <alignment horizontal="right" vertical="top"/>
    </xf>
    <xf numFmtId="3" fontId="10" fillId="3" borderId="6" xfId="11" applyNumberFormat="1" applyFont="1" applyFill="1" applyBorder="1" applyAlignment="1">
      <alignment horizontal="right" wrapText="1"/>
    </xf>
    <xf numFmtId="0" fontId="11" fillId="3" borderId="5" xfId="0" applyFont="1" applyFill="1" applyBorder="1" applyAlignment="1"/>
    <xf numFmtId="3" fontId="10" fillId="0" borderId="3" xfId="0" applyNumberFormat="1" applyFont="1" applyFill="1" applyBorder="1" applyAlignment="1">
      <alignment horizontal="right"/>
    </xf>
    <xf numFmtId="3" fontId="10" fillId="2" borderId="6" xfId="0" applyNumberFormat="1" applyFont="1" applyFill="1" applyBorder="1" applyAlignment="1">
      <alignment horizontal="right"/>
    </xf>
    <xf numFmtId="3" fontId="10" fillId="0" borderId="6" xfId="13" applyNumberFormat="1" applyFont="1" applyFill="1" applyBorder="1" applyAlignment="1"/>
    <xf numFmtId="3" fontId="10" fillId="2" borderId="6" xfId="13" applyNumberFormat="1" applyFont="1" applyFill="1" applyBorder="1" applyAlignment="1"/>
    <xf numFmtId="0" fontId="10" fillId="2" borderId="0" xfId="5" applyFont="1" applyFill="1" applyBorder="1" applyAlignment="1">
      <alignment horizontal="left" vertical="top"/>
    </xf>
    <xf numFmtId="171" fontId="10" fillId="2" borderId="0" xfId="11" applyNumberFormat="1" applyFont="1" applyFill="1" applyBorder="1"/>
    <xf numFmtId="171" fontId="10" fillId="2" borderId="1" xfId="11" applyNumberFormat="1" applyFont="1" applyFill="1" applyBorder="1"/>
    <xf numFmtId="171" fontId="10" fillId="2" borderId="6" xfId="11" applyNumberFormat="1" applyFont="1" applyFill="1" applyBorder="1" applyAlignment="1">
      <alignment horizontal="right"/>
    </xf>
    <xf numFmtId="171" fontId="10" fillId="2" borderId="6" xfId="11" applyNumberFormat="1" applyFont="1" applyFill="1" applyBorder="1" applyAlignment="1"/>
    <xf numFmtId="3" fontId="10" fillId="2" borderId="14" xfId="0" applyNumberFormat="1" applyFont="1" applyFill="1" applyBorder="1" applyAlignment="1">
      <alignment horizontal="right"/>
    </xf>
    <xf numFmtId="3" fontId="33" fillId="3" borderId="11" xfId="0" applyNumberFormat="1" applyFont="1" applyFill="1" applyBorder="1" applyAlignment="1">
      <alignment horizontal="right"/>
    </xf>
    <xf numFmtId="3" fontId="10" fillId="2" borderId="5" xfId="0" applyNumberFormat="1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right" vertical="top" wrapText="1"/>
    </xf>
    <xf numFmtId="3" fontId="10" fillId="2" borderId="6" xfId="0" applyNumberFormat="1" applyFont="1" applyFill="1" applyBorder="1"/>
    <xf numFmtId="170" fontId="10" fillId="2" borderId="6" xfId="10" applyNumberFormat="1" applyFont="1" applyFill="1" applyBorder="1"/>
    <xf numFmtId="3" fontId="10" fillId="2" borderId="6" xfId="7" applyNumberFormat="1" applyFont="1" applyFill="1" applyBorder="1"/>
    <xf numFmtId="3" fontId="10" fillId="2" borderId="11" xfId="0" applyNumberFormat="1" applyFont="1" applyFill="1" applyBorder="1"/>
    <xf numFmtId="0" fontId="10" fillId="2" borderId="6" xfId="0" applyFont="1" applyFill="1" applyBorder="1" applyAlignment="1"/>
    <xf numFmtId="3" fontId="10" fillId="3" borderId="6" xfId="0" applyNumberFormat="1" applyFont="1" applyFill="1" applyBorder="1" applyAlignment="1">
      <alignment horizontal="right"/>
    </xf>
    <xf numFmtId="3" fontId="14" fillId="0" borderId="4" xfId="18" applyNumberFormat="1" applyFont="1" applyFill="1" applyBorder="1" applyAlignment="1">
      <alignment horizontal="right"/>
    </xf>
    <xf numFmtId="3" fontId="56" fillId="0" borderId="0" xfId="18" applyNumberFormat="1" applyFont="1" applyFill="1" applyBorder="1" applyAlignment="1"/>
    <xf numFmtId="164" fontId="10" fillId="0" borderId="0" xfId="1" applyNumberFormat="1" applyFont="1" applyFill="1" applyBorder="1" applyAlignment="1">
      <alignment horizontal="right" vertical="center"/>
    </xf>
    <xf numFmtId="3" fontId="56" fillId="0" borderId="4" xfId="18" applyNumberFormat="1" applyFont="1" applyFill="1" applyBorder="1" applyAlignment="1"/>
    <xf numFmtId="164" fontId="10" fillId="0" borderId="4" xfId="1" applyNumberFormat="1" applyFont="1" applyFill="1" applyBorder="1" applyAlignment="1">
      <alignment horizontal="right" vertical="center"/>
    </xf>
    <xf numFmtId="3" fontId="14" fillId="0" borderId="6" xfId="18" applyNumberFormat="1" applyFont="1" applyFill="1" applyBorder="1" applyAlignment="1"/>
    <xf numFmtId="164" fontId="10" fillId="0" borderId="6" xfId="1" applyNumberFormat="1" applyFont="1" applyFill="1" applyBorder="1" applyAlignment="1">
      <alignment horizontal="right" vertical="center"/>
    </xf>
    <xf numFmtId="164" fontId="11" fillId="0" borderId="6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1" fillId="0" borderId="0" xfId="20" applyFont="1" applyFill="1" applyBorder="1" applyAlignment="1">
      <alignment horizontal="right" wrapText="1"/>
    </xf>
    <xf numFmtId="0" fontId="33" fillId="0" borderId="6" xfId="19" applyFont="1" applyFill="1" applyBorder="1" applyAlignment="1">
      <alignment wrapText="1"/>
    </xf>
    <xf numFmtId="0" fontId="33" fillId="0" borderId="0" xfId="19" applyFont="1" applyFill="1" applyAlignment="1">
      <alignment wrapText="1"/>
    </xf>
    <xf numFmtId="1" fontId="32" fillId="0" borderId="0" xfId="19" applyNumberFormat="1" applyFont="1" applyFill="1" applyBorder="1"/>
    <xf numFmtId="3" fontId="14" fillId="0" borderId="0" xfId="0" applyNumberFormat="1" applyFont="1" applyFill="1" applyAlignment="1">
      <alignment horizontal="right"/>
    </xf>
    <xf numFmtId="0" fontId="33" fillId="0" borderId="0" xfId="19" applyFont="1" applyFill="1" applyAlignment="1">
      <alignment horizontal="left" wrapText="1" indent="1"/>
    </xf>
    <xf numFmtId="0" fontId="33" fillId="0" borderId="0" xfId="19" applyFont="1" applyFill="1" applyAlignment="1"/>
    <xf numFmtId="0" fontId="32" fillId="0" borderId="6" xfId="19" applyFont="1" applyFill="1" applyBorder="1"/>
    <xf numFmtId="0" fontId="11" fillId="0" borderId="0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/>
    </xf>
    <xf numFmtId="3" fontId="10" fillId="0" borderId="0" xfId="1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top" wrapText="1"/>
    </xf>
    <xf numFmtId="0" fontId="11" fillId="0" borderId="6" xfId="0" applyFont="1" applyFill="1" applyBorder="1"/>
    <xf numFmtId="0" fontId="28" fillId="0" borderId="0" xfId="0" applyFont="1" applyFill="1"/>
    <xf numFmtId="0" fontId="11" fillId="0" borderId="0" xfId="21" applyFont="1" applyFill="1" applyAlignment="1">
      <alignment horizontal="left"/>
    </xf>
    <xf numFmtId="0" fontId="11" fillId="0" borderId="0" xfId="20" applyFont="1" applyFill="1" applyBorder="1" applyAlignment="1">
      <alignment vertical="top"/>
    </xf>
    <xf numFmtId="15" fontId="11" fillId="0" borderId="0" xfId="20" quotePrefix="1" applyNumberFormat="1" applyFont="1" applyFill="1" applyBorder="1" applyAlignment="1">
      <alignment horizontal="right"/>
    </xf>
    <xf numFmtId="167" fontId="10" fillId="0" borderId="0" xfId="5" applyNumberFormat="1" applyFont="1" applyFill="1" applyAlignment="1">
      <alignment horizontal="left"/>
    </xf>
    <xf numFmtId="167" fontId="10" fillId="0" borderId="0" xfId="5" quotePrefix="1" applyNumberFormat="1" applyFont="1" applyFill="1" applyAlignment="1">
      <alignment horizontal="left"/>
    </xf>
    <xf numFmtId="0" fontId="10" fillId="0" borderId="4" xfId="5" quotePrefix="1" applyFont="1" applyFill="1" applyBorder="1" applyAlignment="1">
      <alignment horizontal="left"/>
    </xf>
    <xf numFmtId="0" fontId="11" fillId="0" borderId="6" xfId="5" applyFont="1" applyFill="1" applyBorder="1" applyAlignment="1">
      <alignment horizontal="left"/>
    </xf>
    <xf numFmtId="3" fontId="56" fillId="0" borderId="0" xfId="0" applyNumberFormat="1" applyFont="1" applyFill="1" applyAlignment="1">
      <alignment horizontal="right"/>
    </xf>
    <xf numFmtId="0" fontId="10" fillId="0" borderId="0" xfId="5" applyFont="1" applyFill="1" applyBorder="1" applyAlignment="1">
      <alignment horizontal="left" vertical="center" indent="1"/>
    </xf>
    <xf numFmtId="0" fontId="10" fillId="0" borderId="4" xfId="5" applyFont="1" applyFill="1" applyBorder="1" applyAlignment="1">
      <alignment horizontal="left" vertical="center" indent="1"/>
    </xf>
    <xf numFmtId="0" fontId="11" fillId="0" borderId="6" xfId="5" applyFont="1" applyFill="1" applyBorder="1" applyAlignment="1">
      <alignment horizontal="left" vertical="center"/>
    </xf>
    <xf numFmtId="176" fontId="11" fillId="0" borderId="0" xfId="22" applyNumberFormat="1" applyFont="1" applyFill="1" applyBorder="1" applyAlignment="1">
      <alignment horizontal="right" wrapText="1"/>
    </xf>
    <xf numFmtId="0" fontId="14" fillId="0" borderId="4" xfId="0" applyFont="1" applyFill="1" applyBorder="1" applyAlignment="1">
      <alignment wrapText="1"/>
    </xf>
    <xf numFmtId="0" fontId="54" fillId="5" borderId="0" xfId="0" applyFont="1" applyFill="1" applyAlignment="1">
      <alignment horizontal="right"/>
    </xf>
    <xf numFmtId="0" fontId="54" fillId="0" borderId="0" xfId="0" applyFont="1" applyFill="1" applyAlignment="1">
      <alignment horizontal="right"/>
    </xf>
    <xf numFmtId="0" fontId="54" fillId="3" borderId="0" xfId="0" applyFont="1" applyFill="1"/>
    <xf numFmtId="0" fontId="10" fillId="0" borderId="0" xfId="0" applyFont="1" applyFill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/>
    </xf>
    <xf numFmtId="0" fontId="57" fillId="3" borderId="0" xfId="0" applyFont="1" applyFill="1"/>
    <xf numFmtId="0" fontId="21" fillId="3" borderId="0" xfId="0" applyFont="1" applyFill="1" applyBorder="1"/>
    <xf numFmtId="0" fontId="21" fillId="3" borderId="23" xfId="0" applyFont="1" applyFill="1" applyBorder="1" applyAlignment="1">
      <alignment wrapText="1"/>
    </xf>
    <xf numFmtId="0" fontId="21" fillId="3" borderId="23" xfId="0" applyFont="1" applyFill="1" applyBorder="1" applyAlignment="1">
      <alignment vertical="center" wrapText="1"/>
    </xf>
    <xf numFmtId="0" fontId="21" fillId="3" borderId="23" xfId="0" applyFont="1" applyFill="1" applyBorder="1"/>
    <xf numFmtId="0" fontId="21" fillId="3" borderId="23" xfId="0" quotePrefix="1" applyFont="1" applyFill="1" applyBorder="1"/>
    <xf numFmtId="176" fontId="21" fillId="3" borderId="24" xfId="11" applyNumberFormat="1" applyFont="1" applyFill="1" applyBorder="1"/>
    <xf numFmtId="176" fontId="21" fillId="3" borderId="25" xfId="11" applyNumberFormat="1" applyFont="1" applyFill="1" applyBorder="1"/>
    <xf numFmtId="166" fontId="21" fillId="3" borderId="25" xfId="11" applyFont="1" applyFill="1" applyBorder="1"/>
    <xf numFmtId="0" fontId="21" fillId="3" borderId="25" xfId="0" applyFont="1" applyFill="1" applyBorder="1"/>
    <xf numFmtId="0" fontId="21" fillId="3" borderId="25" xfId="0" applyNumberFormat="1" applyFont="1" applyFill="1" applyBorder="1"/>
    <xf numFmtId="43" fontId="21" fillId="3" borderId="25" xfId="11" applyNumberFormat="1" applyFont="1" applyFill="1" applyBorder="1"/>
    <xf numFmtId="43" fontId="21" fillId="3" borderId="25" xfId="0" applyNumberFormat="1" applyFont="1" applyFill="1" applyBorder="1"/>
    <xf numFmtId="2" fontId="21" fillId="3" borderId="25" xfId="0" applyNumberFormat="1" applyFont="1" applyFill="1" applyBorder="1"/>
    <xf numFmtId="170" fontId="21" fillId="3" borderId="25" xfId="10" applyNumberFormat="1" applyFont="1" applyFill="1" applyBorder="1"/>
    <xf numFmtId="176" fontId="21" fillId="3" borderId="26" xfId="11" applyNumberFormat="1" applyFont="1" applyFill="1" applyBorder="1"/>
    <xf numFmtId="176" fontId="21" fillId="3" borderId="27" xfId="11" applyNumberFormat="1" applyFont="1" applyFill="1" applyBorder="1"/>
    <xf numFmtId="43" fontId="21" fillId="3" borderId="27" xfId="11" applyNumberFormat="1" applyFont="1" applyFill="1" applyBorder="1"/>
    <xf numFmtId="166" fontId="21" fillId="3" borderId="27" xfId="11" applyFont="1" applyFill="1" applyBorder="1"/>
    <xf numFmtId="170" fontId="21" fillId="3" borderId="27" xfId="10" applyNumberFormat="1" applyFont="1" applyFill="1" applyBorder="1"/>
    <xf numFmtId="0" fontId="57" fillId="3" borderId="28" xfId="0" applyFont="1" applyFill="1" applyBorder="1"/>
    <xf numFmtId="176" fontId="57" fillId="3" borderId="29" xfId="0" applyNumberFormat="1" applyFont="1" applyFill="1" applyBorder="1"/>
    <xf numFmtId="176" fontId="57" fillId="3" borderId="30" xfId="11" applyNumberFormat="1" applyFont="1" applyFill="1" applyBorder="1"/>
    <xf numFmtId="0" fontId="57" fillId="3" borderId="30" xfId="0" applyFont="1" applyFill="1" applyBorder="1"/>
    <xf numFmtId="176" fontId="57" fillId="3" borderId="30" xfId="0" applyNumberFormat="1" applyFont="1" applyFill="1" applyBorder="1"/>
    <xf numFmtId="170" fontId="57" fillId="3" borderId="30" xfId="10" applyNumberFormat="1" applyFont="1" applyFill="1" applyBorder="1"/>
    <xf numFmtId="0" fontId="21" fillId="3" borderId="28" xfId="0" applyFont="1" applyFill="1" applyBorder="1" applyAlignment="1"/>
    <xf numFmtId="0" fontId="21" fillId="3" borderId="28" xfId="0" quotePrefix="1" applyFont="1" applyFill="1" applyBorder="1"/>
    <xf numFmtId="176" fontId="21" fillId="3" borderId="31" xfId="11" applyNumberFormat="1" applyFont="1" applyFill="1" applyBorder="1"/>
    <xf numFmtId="176" fontId="21" fillId="3" borderId="32" xfId="11" applyNumberFormat="1" applyFont="1" applyFill="1" applyBorder="1"/>
    <xf numFmtId="176" fontId="21" fillId="3" borderId="33" xfId="11" applyNumberFormat="1" applyFont="1" applyFill="1" applyBorder="1"/>
    <xf numFmtId="43" fontId="21" fillId="3" borderId="33" xfId="11" applyNumberFormat="1" applyFont="1" applyFill="1" applyBorder="1"/>
    <xf numFmtId="0" fontId="21" fillId="3" borderId="33" xfId="0" applyFont="1" applyFill="1" applyBorder="1"/>
    <xf numFmtId="0" fontId="21" fillId="3" borderId="23" xfId="0" applyFont="1" applyFill="1" applyBorder="1" applyAlignment="1"/>
    <xf numFmtId="176" fontId="21" fillId="3" borderId="34" xfId="11" applyNumberFormat="1" applyFont="1" applyFill="1" applyBorder="1"/>
    <xf numFmtId="176" fontId="21" fillId="3" borderId="35" xfId="11" applyNumberFormat="1" applyFont="1" applyFill="1" applyBorder="1"/>
    <xf numFmtId="0" fontId="57" fillId="3" borderId="28" xfId="0" applyFont="1" applyFill="1" applyBorder="1" applyAlignment="1"/>
    <xf numFmtId="176" fontId="57" fillId="3" borderId="29" xfId="11" applyNumberFormat="1" applyFont="1" applyFill="1" applyBorder="1"/>
    <xf numFmtId="176" fontId="57" fillId="3" borderId="36" xfId="11" applyNumberFormat="1" applyFont="1" applyFill="1" applyBorder="1"/>
    <xf numFmtId="170" fontId="21" fillId="3" borderId="30" xfId="10" applyNumberFormat="1" applyFont="1" applyFill="1" applyBorder="1"/>
    <xf numFmtId="176" fontId="19" fillId="3" borderId="33" xfId="11" applyNumberFormat="1" applyFont="1" applyFill="1" applyBorder="1"/>
    <xf numFmtId="176" fontId="19" fillId="3" borderId="25" xfId="11" applyNumberFormat="1" applyFont="1" applyFill="1" applyBorder="1"/>
    <xf numFmtId="0" fontId="21" fillId="3" borderId="37" xfId="0" applyFont="1" applyFill="1" applyBorder="1" applyAlignment="1"/>
    <xf numFmtId="0" fontId="21" fillId="3" borderId="37" xfId="0" applyFont="1" applyFill="1" applyBorder="1"/>
    <xf numFmtId="176" fontId="21" fillId="3" borderId="38" xfId="11" applyNumberFormat="1" applyFont="1" applyFill="1" applyBorder="1"/>
    <xf numFmtId="176" fontId="21" fillId="3" borderId="39" xfId="11" applyNumberFormat="1" applyFont="1" applyFill="1" applyBorder="1"/>
    <xf numFmtId="176" fontId="21" fillId="3" borderId="40" xfId="11" applyNumberFormat="1" applyFont="1" applyFill="1" applyBorder="1"/>
    <xf numFmtId="2" fontId="21" fillId="3" borderId="40" xfId="0" applyNumberFormat="1" applyFont="1" applyFill="1" applyBorder="1"/>
    <xf numFmtId="176" fontId="19" fillId="3" borderId="40" xfId="11" applyNumberFormat="1" applyFont="1" applyFill="1" applyBorder="1"/>
    <xf numFmtId="170" fontId="21" fillId="3" borderId="40" xfId="10" applyNumberFormat="1" applyFont="1" applyFill="1" applyBorder="1"/>
    <xf numFmtId="0" fontId="57" fillId="3" borderId="23" xfId="0" applyFont="1" applyFill="1" applyBorder="1" applyAlignment="1"/>
    <xf numFmtId="0" fontId="57" fillId="3" borderId="23" xfId="0" applyFont="1" applyFill="1" applyBorder="1"/>
    <xf numFmtId="176" fontId="57" fillId="3" borderId="41" xfId="11" applyNumberFormat="1" applyFont="1" applyFill="1" applyBorder="1"/>
    <xf numFmtId="166" fontId="21" fillId="3" borderId="40" xfId="11" applyFont="1" applyFill="1" applyBorder="1"/>
    <xf numFmtId="43" fontId="21" fillId="3" borderId="40" xfId="11" applyNumberFormat="1" applyFont="1" applyFill="1" applyBorder="1"/>
    <xf numFmtId="176" fontId="57" fillId="3" borderId="24" xfId="0" applyNumberFormat="1" applyFont="1" applyFill="1" applyBorder="1"/>
    <xf numFmtId="176" fontId="57" fillId="3" borderId="34" xfId="0" applyNumberFormat="1" applyFont="1" applyFill="1" applyBorder="1"/>
    <xf numFmtId="176" fontId="57" fillId="3" borderId="25" xfId="0" applyNumberFormat="1" applyFont="1" applyFill="1" applyBorder="1"/>
    <xf numFmtId="43" fontId="57" fillId="3" borderId="25" xfId="0" applyNumberFormat="1" applyFont="1" applyFill="1" applyBorder="1"/>
    <xf numFmtId="43" fontId="21" fillId="0" borderId="27" xfId="0" applyNumberFormat="1" applyFont="1" applyFill="1" applyBorder="1"/>
    <xf numFmtId="0" fontId="57" fillId="3" borderId="0" xfId="0" applyFont="1" applyFill="1" applyBorder="1" applyAlignment="1">
      <alignment horizontal="left"/>
    </xf>
    <xf numFmtId="0" fontId="13" fillId="0" borderId="0" xfId="0" applyFont="1" applyFill="1" applyAlignment="1">
      <alignment vertical="top"/>
    </xf>
    <xf numFmtId="0" fontId="10" fillId="3" borderId="0" xfId="0" applyFont="1" applyFill="1"/>
    <xf numFmtId="0" fontId="52" fillId="0" borderId="0" xfId="19"/>
    <xf numFmtId="0" fontId="10" fillId="3" borderId="0" xfId="0" applyFont="1" applyFill="1"/>
    <xf numFmtId="0" fontId="58" fillId="0" borderId="13" xfId="5" applyFont="1" applyFill="1" applyBorder="1">
      <alignment horizontal="left" vertical="top"/>
    </xf>
    <xf numFmtId="0" fontId="21" fillId="3" borderId="42" xfId="0" applyFont="1" applyFill="1" applyBorder="1" applyAlignment="1">
      <alignment vertical="center" wrapText="1"/>
    </xf>
    <xf numFmtId="0" fontId="57" fillId="3" borderId="43" xfId="0" applyFont="1" applyFill="1" applyBorder="1"/>
    <xf numFmtId="176" fontId="57" fillId="3" borderId="44" xfId="11" applyNumberFormat="1" applyFont="1" applyFill="1" applyBorder="1"/>
    <xf numFmtId="176" fontId="57" fillId="3" borderId="43" xfId="0" applyNumberFormat="1" applyFont="1" applyFill="1" applyBorder="1"/>
    <xf numFmtId="170" fontId="57" fillId="3" borderId="43" xfId="10" applyNumberFormat="1" applyFont="1" applyFill="1" applyBorder="1"/>
    <xf numFmtId="176" fontId="57" fillId="3" borderId="43" xfId="11" applyNumberFormat="1" applyFont="1" applyFill="1" applyBorder="1"/>
    <xf numFmtId="170" fontId="21" fillId="3" borderId="43" xfId="10" applyNumberFormat="1" applyFont="1" applyFill="1" applyBorder="1"/>
    <xf numFmtId="0" fontId="19" fillId="0" borderId="0" xfId="0" applyFont="1" applyFill="1" applyAlignment="1">
      <alignment horizontal="right"/>
    </xf>
    <xf numFmtId="0" fontId="10" fillId="3" borderId="0" xfId="0" applyFont="1" applyFill="1" applyBorder="1" applyAlignment="1">
      <alignment horizontal="left" wrapText="1"/>
    </xf>
    <xf numFmtId="0" fontId="59" fillId="2" borderId="0" xfId="0" applyFont="1" applyFill="1"/>
    <xf numFmtId="173" fontId="11" fillId="2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3" fontId="11" fillId="3" borderId="0" xfId="0" applyNumberFormat="1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wrapText="1"/>
    </xf>
    <xf numFmtId="0" fontId="10" fillId="3" borderId="0" xfId="0" applyFont="1" applyFill="1"/>
    <xf numFmtId="171" fontId="10" fillId="3" borderId="0" xfId="11" applyNumberFormat="1" applyFont="1" applyFill="1" applyBorder="1" applyAlignment="1">
      <alignment horizontal="left" wrapText="1"/>
    </xf>
    <xf numFmtId="167" fontId="11" fillId="0" borderId="1" xfId="4" applyFont="1" applyFill="1" applyBorder="1" applyAlignment="1">
      <alignment horizontal="left"/>
    </xf>
    <xf numFmtId="164" fontId="11" fillId="0" borderId="0" xfId="5" applyNumberFormat="1" applyFont="1" applyFill="1" applyAlignment="1">
      <alignment horizontal="left" vertical="top"/>
    </xf>
    <xf numFmtId="168" fontId="11" fillId="0" borderId="0" xfId="6" applyFont="1" applyFill="1" applyAlignment="1">
      <alignment horizontal="center"/>
    </xf>
    <xf numFmtId="0" fontId="10" fillId="0" borderId="0" xfId="0" applyFont="1" applyFill="1"/>
    <xf numFmtId="0" fontId="11" fillId="2" borderId="1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center" vertical="top" wrapText="1"/>
    </xf>
    <xf numFmtId="175" fontId="11" fillId="0" borderId="0" xfId="20" quotePrefix="1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10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center" wrapText="1"/>
    </xf>
    <xf numFmtId="49" fontId="10" fillId="2" borderId="0" xfId="0" quotePrefix="1" applyNumberFormat="1" applyFont="1" applyFill="1" applyBorder="1" applyAlignment="1">
      <alignment horizontal="left" vertical="top" wrapText="1"/>
    </xf>
    <xf numFmtId="49" fontId="10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horizontal="right" wrapText="1"/>
    </xf>
    <xf numFmtId="3" fontId="11" fillId="2" borderId="5" xfId="0" applyNumberFormat="1" applyFont="1" applyFill="1" applyBorder="1" applyAlignment="1">
      <alignment horizontal="right" wrapText="1"/>
    </xf>
    <xf numFmtId="169" fontId="24" fillId="0" borderId="0" xfId="1" applyFont="1" applyFill="1" applyAlignment="1">
      <alignment horizontal="center" vertical="top"/>
    </xf>
    <xf numFmtId="0" fontId="11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0" fillId="0" borderId="0" xfId="0" applyAlignment="1"/>
    <xf numFmtId="0" fontId="32" fillId="3" borderId="0" xfId="0" applyFont="1" applyFill="1" applyBorder="1"/>
    <xf numFmtId="0" fontId="45" fillId="3" borderId="0" xfId="12" applyFont="1" applyFill="1" applyBorder="1" applyAlignment="1">
      <alignment horizontal="center" wrapText="1"/>
    </xf>
    <xf numFmtId="0" fontId="45" fillId="3" borderId="0" xfId="12" applyFont="1" applyFill="1" applyBorder="1" applyAlignment="1">
      <alignment horizontal="center"/>
    </xf>
    <xf numFmtId="178" fontId="11" fillId="2" borderId="5" xfId="0" applyNumberFormat="1" applyFont="1" applyFill="1" applyBorder="1" applyAlignment="1">
      <alignment horizontal="right"/>
    </xf>
    <xf numFmtId="178" fontId="11" fillId="2" borderId="5" xfId="0" applyNumberFormat="1" applyFont="1" applyFill="1" applyBorder="1" applyAlignment="1">
      <alignment horizontal="right" vertical="top" wrapText="1"/>
    </xf>
    <xf numFmtId="0" fontId="11" fillId="3" borderId="4" xfId="0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vertical="top" wrapText="1"/>
    </xf>
    <xf numFmtId="3" fontId="10" fillId="3" borderId="4" xfId="0" applyNumberFormat="1" applyFont="1" applyFill="1" applyBorder="1" applyAlignment="1">
      <alignment vertical="top" wrapText="1"/>
    </xf>
    <xf numFmtId="3" fontId="11" fillId="3" borderId="4" xfId="0" applyNumberFormat="1" applyFont="1" applyFill="1" applyBorder="1" applyAlignment="1">
      <alignment vertical="top" wrapText="1"/>
    </xf>
  </cellXfs>
  <cellStyles count="23"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SheetHeader1" xfId="4" xr:uid="{00000000-0005-0000-0000-000003000000}"/>
    <cellStyle name="EYtext" xfId="5" xr:uid="{00000000-0005-0000-0000-000004000000}"/>
    <cellStyle name="greyed 2" xfId="14" xr:uid="{00000000-0005-0000-0000-000005000000}"/>
    <cellStyle name="Hyperkobling" xfId="17" builtinId="8"/>
    <cellStyle name="Komma" xfId="11" builtinId="3"/>
    <cellStyle name="Komma 2" xfId="13" xr:uid="{00000000-0005-0000-0000-000008000000}"/>
    <cellStyle name="Komma 2 2" xfId="22" xr:uid="{DD14034E-5729-447A-9B6B-3544BE262134}"/>
    <cellStyle name="Normal" xfId="0" builtinId="0"/>
    <cellStyle name="Normal 2" xfId="12" xr:uid="{00000000-0005-0000-0000-00000A000000}"/>
    <cellStyle name="Normal 3 3" xfId="21" xr:uid="{2659E545-534F-4D48-8291-72CAF117C2C1}"/>
    <cellStyle name="Normal 4 2 2" xfId="19" xr:uid="{CA7DAD77-7041-42F1-BE0A-360DFC19A35B}"/>
    <cellStyle name="Normal_Eksempelregnskap Sparebank 1 Gruppen 20051207" xfId="6" xr:uid="{00000000-0005-0000-0000-00000B000000}"/>
    <cellStyle name="Normal_Kopi av bearbeidet notemal pr 280907 begge grupper vs 4" xfId="20" xr:uid="{96BA124E-1451-4FA8-8EA2-8C2ADA8C113D}"/>
    <cellStyle name="Normal_Note 15" xfId="7" xr:uid="{00000000-0005-0000-0000-00000C000000}"/>
    <cellStyle name="Normal_Note 5 til 7" xfId="18" xr:uid="{01DD925E-ADC4-4C01-AE35-FEECC1274607}"/>
    <cellStyle name="Normal_Transaction Foundations Workbook" xfId="8" xr:uid="{00000000-0005-0000-0000-00000D000000}"/>
    <cellStyle name="Normal_Verdipapirnote og derivatnote" xfId="9" xr:uid="{00000000-0005-0000-0000-00000E000000}"/>
    <cellStyle name="Prosent" xfId="10" builtinId="5"/>
    <cellStyle name="Prosent 2" xfId="15" xr:uid="{00000000-0005-0000-0000-000010000000}"/>
    <cellStyle name="Prosent 3" xfId="16" xr:uid="{00000000-0005-0000-0000-00001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7"/>
  <sheetViews>
    <sheetView showGridLines="0" tabSelected="1" zoomScale="90" zoomScaleNormal="90" workbookViewId="0">
      <selection activeCell="D1" sqref="D1"/>
    </sheetView>
  </sheetViews>
  <sheetFormatPr baseColWidth="10" defaultColWidth="11" defaultRowHeight="12.75"/>
  <cols>
    <col min="1" max="1" width="9.625" style="252" customWidth="1"/>
    <col min="2" max="2" width="137" style="252" customWidth="1"/>
    <col min="3" max="3" width="17.25" style="252" customWidth="1"/>
    <col min="4" max="4" width="18.875" style="252" customWidth="1"/>
    <col min="5" max="8" width="11" style="515"/>
    <col min="65" max="16384" width="11" style="252"/>
  </cols>
  <sheetData>
    <row r="1" spans="1:4" ht="23.25">
      <c r="A1" s="243" t="s">
        <v>174</v>
      </c>
      <c r="B1" s="244"/>
      <c r="C1" s="244"/>
      <c r="D1" s="244"/>
    </row>
    <row r="2" spans="1:4">
      <c r="A2" s="245" t="s">
        <v>175</v>
      </c>
      <c r="B2" s="246" t="s">
        <v>176</v>
      </c>
      <c r="C2" s="247" t="s">
        <v>177</v>
      </c>
      <c r="D2" s="247" t="s">
        <v>178</v>
      </c>
    </row>
    <row r="3" spans="1:4" ht="15">
      <c r="A3" s="253"/>
      <c r="B3" s="250"/>
      <c r="C3" s="254"/>
      <c r="D3" s="254"/>
    </row>
    <row r="4" spans="1:4">
      <c r="A4" s="505">
        <v>1</v>
      </c>
      <c r="B4" s="256" t="s">
        <v>194</v>
      </c>
      <c r="C4" s="255">
        <v>47</v>
      </c>
      <c r="D4" s="255" t="s">
        <v>180</v>
      </c>
    </row>
    <row r="5" spans="1:4">
      <c r="A5" s="506">
        <v>2</v>
      </c>
      <c r="B5" s="250" t="s">
        <v>197</v>
      </c>
      <c r="C5" s="251">
        <v>48</v>
      </c>
      <c r="D5" s="251" t="s">
        <v>180</v>
      </c>
    </row>
    <row r="6" spans="1:4">
      <c r="A6" s="505">
        <v>3</v>
      </c>
      <c r="B6" s="256" t="s">
        <v>195</v>
      </c>
      <c r="C6" s="255">
        <v>48</v>
      </c>
      <c r="D6" s="255" t="s">
        <v>180</v>
      </c>
    </row>
    <row r="7" spans="1:4">
      <c r="A7" s="506">
        <v>4</v>
      </c>
      <c r="B7" s="250" t="s">
        <v>196</v>
      </c>
      <c r="C7" s="251">
        <v>49</v>
      </c>
      <c r="D7" s="251" t="s">
        <v>180</v>
      </c>
    </row>
    <row r="8" spans="1:4">
      <c r="A8" s="505">
        <v>5</v>
      </c>
      <c r="B8" s="256" t="s">
        <v>244</v>
      </c>
      <c r="C8" s="255">
        <v>50</v>
      </c>
      <c r="D8" s="255" t="s">
        <v>180</v>
      </c>
    </row>
    <row r="9" spans="1:4">
      <c r="A9" s="506">
        <v>6</v>
      </c>
      <c r="B9" s="252" t="s">
        <v>245</v>
      </c>
      <c r="C9" s="251">
        <v>51</v>
      </c>
      <c r="D9" s="251" t="s">
        <v>180</v>
      </c>
    </row>
    <row r="10" spans="1:4">
      <c r="A10" s="505">
        <v>7</v>
      </c>
      <c r="B10" s="256" t="s">
        <v>672</v>
      </c>
      <c r="C10" s="255">
        <v>51</v>
      </c>
      <c r="D10" s="255" t="s">
        <v>179</v>
      </c>
    </row>
    <row r="11" spans="1:4">
      <c r="A11" s="506">
        <v>8</v>
      </c>
      <c r="B11" s="250" t="s">
        <v>198</v>
      </c>
      <c r="C11" s="251">
        <v>52</v>
      </c>
      <c r="D11" s="251" t="s">
        <v>179</v>
      </c>
    </row>
    <row r="12" spans="1:4">
      <c r="A12" s="505">
        <v>9</v>
      </c>
      <c r="B12" s="256" t="s">
        <v>969</v>
      </c>
      <c r="C12" s="255">
        <v>52</v>
      </c>
      <c r="D12" s="255" t="s">
        <v>179</v>
      </c>
    </row>
    <row r="13" spans="1:4">
      <c r="A13" s="506">
        <v>10</v>
      </c>
      <c r="B13" s="257" t="s">
        <v>199</v>
      </c>
      <c r="C13" s="251">
        <v>53</v>
      </c>
      <c r="D13" s="251" t="s">
        <v>179</v>
      </c>
    </row>
    <row r="14" spans="1:4">
      <c r="A14" s="505">
        <v>11</v>
      </c>
      <c r="B14" s="256" t="s">
        <v>200</v>
      </c>
      <c r="C14" s="255">
        <v>54</v>
      </c>
      <c r="D14" s="255" t="s">
        <v>179</v>
      </c>
    </row>
    <row r="15" spans="1:4">
      <c r="A15" s="506">
        <v>12</v>
      </c>
      <c r="B15" s="250" t="s">
        <v>944</v>
      </c>
      <c r="C15" s="251">
        <v>54</v>
      </c>
      <c r="D15" s="251" t="s">
        <v>180</v>
      </c>
    </row>
    <row r="16" spans="1:4">
      <c r="A16" s="505">
        <v>13</v>
      </c>
      <c r="B16" s="256" t="s">
        <v>945</v>
      </c>
      <c r="C16" s="255">
        <v>55</v>
      </c>
      <c r="D16" s="255" t="s">
        <v>179</v>
      </c>
    </row>
    <row r="17" spans="1:64">
      <c r="A17" s="506">
        <v>14</v>
      </c>
      <c r="B17" s="250" t="s">
        <v>946</v>
      </c>
      <c r="C17" s="251">
        <v>55</v>
      </c>
      <c r="D17" s="254" t="s">
        <v>179</v>
      </c>
    </row>
    <row r="18" spans="1:64">
      <c r="A18" s="505">
        <v>15</v>
      </c>
      <c r="B18" s="256" t="s">
        <v>201</v>
      </c>
      <c r="C18" s="255">
        <v>56</v>
      </c>
      <c r="D18" s="258" t="s">
        <v>179</v>
      </c>
    </row>
    <row r="19" spans="1:64">
      <c r="A19" s="506">
        <v>16</v>
      </c>
      <c r="B19" s="250" t="s">
        <v>943</v>
      </c>
      <c r="C19" s="251">
        <v>57</v>
      </c>
      <c r="D19" s="254" t="s">
        <v>179</v>
      </c>
    </row>
    <row r="20" spans="1:64">
      <c r="A20" s="505">
        <v>17</v>
      </c>
      <c r="B20" s="256" t="s">
        <v>635</v>
      </c>
      <c r="C20" s="255">
        <v>60</v>
      </c>
      <c r="D20" s="258" t="s">
        <v>179</v>
      </c>
    </row>
    <row r="21" spans="1:64">
      <c r="A21" s="506">
        <v>18</v>
      </c>
      <c r="B21" s="541" t="s">
        <v>633</v>
      </c>
      <c r="C21" s="251">
        <v>61</v>
      </c>
      <c r="D21" s="254" t="s">
        <v>179</v>
      </c>
    </row>
    <row r="22" spans="1:64">
      <c r="A22" s="505">
        <v>19</v>
      </c>
      <c r="B22" s="542" t="s">
        <v>636</v>
      </c>
      <c r="C22" s="255">
        <v>63</v>
      </c>
      <c r="D22" s="258" t="s">
        <v>179</v>
      </c>
    </row>
    <row r="23" spans="1:64" s="512" customFormat="1">
      <c r="A23" s="507">
        <v>20</v>
      </c>
      <c r="B23" s="543" t="s">
        <v>733</v>
      </c>
      <c r="C23" s="823">
        <v>63</v>
      </c>
      <c r="D23" s="429" t="s">
        <v>179</v>
      </c>
      <c r="E23" s="515"/>
      <c r="F23" s="515"/>
      <c r="G23" s="515"/>
      <c r="H23" s="515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505">
        <v>21</v>
      </c>
      <c r="B24" s="256" t="s">
        <v>202</v>
      </c>
      <c r="C24" s="255">
        <v>64</v>
      </c>
      <c r="D24" s="258" t="s">
        <v>179</v>
      </c>
    </row>
    <row r="25" spans="1:64" s="512" customFormat="1">
      <c r="A25" s="507">
        <v>22</v>
      </c>
      <c r="B25" s="428" t="s">
        <v>203</v>
      </c>
      <c r="C25" s="823">
        <v>64</v>
      </c>
      <c r="D25" s="429" t="s">
        <v>179</v>
      </c>
      <c r="E25" s="515"/>
      <c r="F25" s="515"/>
      <c r="G25" s="515"/>
      <c r="H25" s="51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505">
        <v>23</v>
      </c>
      <c r="B26" s="256" t="s">
        <v>204</v>
      </c>
      <c r="C26" s="255">
        <v>65</v>
      </c>
      <c r="D26" s="258" t="s">
        <v>179</v>
      </c>
    </row>
    <row r="27" spans="1:64" s="512" customFormat="1">
      <c r="A27" s="507">
        <v>24</v>
      </c>
      <c r="B27" s="428" t="s">
        <v>189</v>
      </c>
      <c r="C27" s="823">
        <v>65</v>
      </c>
      <c r="D27" s="429" t="s">
        <v>179</v>
      </c>
      <c r="E27" s="515"/>
      <c r="F27" s="515"/>
      <c r="G27" s="515"/>
      <c r="H27" s="515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505">
        <v>25</v>
      </c>
      <c r="B28" s="256" t="s">
        <v>190</v>
      </c>
      <c r="C28" s="255">
        <v>66</v>
      </c>
      <c r="D28" s="258" t="s">
        <v>179</v>
      </c>
    </row>
    <row r="29" spans="1:64" s="512" customFormat="1">
      <c r="A29" s="507">
        <v>26</v>
      </c>
      <c r="B29" s="428" t="s">
        <v>205</v>
      </c>
      <c r="C29" s="823">
        <v>66</v>
      </c>
      <c r="D29" s="429" t="s">
        <v>179</v>
      </c>
      <c r="E29" s="515"/>
      <c r="F29" s="515"/>
      <c r="G29" s="515"/>
      <c r="H29" s="515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505">
        <v>27</v>
      </c>
      <c r="B30" s="256" t="s">
        <v>206</v>
      </c>
      <c r="C30" s="255">
        <v>66</v>
      </c>
      <c r="D30" s="258" t="s">
        <v>179</v>
      </c>
    </row>
    <row r="31" spans="1:64">
      <c r="A31" s="507">
        <v>28</v>
      </c>
      <c r="B31" s="428" t="s">
        <v>597</v>
      </c>
      <c r="C31" s="744"/>
      <c r="D31" s="429" t="s">
        <v>180</v>
      </c>
    </row>
    <row r="32" spans="1:64" s="512" customFormat="1" ht="12.75" customHeight="1">
      <c r="A32" s="505">
        <v>29</v>
      </c>
      <c r="B32" s="256" t="s">
        <v>677</v>
      </c>
      <c r="C32" s="743"/>
      <c r="D32" s="258" t="s">
        <v>180</v>
      </c>
      <c r="E32" s="515"/>
      <c r="F32" s="515"/>
      <c r="G32" s="515"/>
      <c r="H32" s="515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507">
        <v>30</v>
      </c>
      <c r="B33" s="428" t="s">
        <v>609</v>
      </c>
      <c r="C33" s="744"/>
      <c r="D33" s="429" t="s">
        <v>180</v>
      </c>
    </row>
    <row r="34" spans="1:64" s="512" customFormat="1">
      <c r="A34" s="505">
        <v>31</v>
      </c>
      <c r="B34" s="256" t="s">
        <v>591</v>
      </c>
      <c r="C34" s="743"/>
      <c r="D34" s="258" t="s">
        <v>180</v>
      </c>
      <c r="E34" s="428"/>
      <c r="F34" s="429"/>
      <c r="G34" s="429"/>
      <c r="H34" s="429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s="512" customFormat="1" ht="12.75" customHeight="1">
      <c r="A35" s="507">
        <v>32</v>
      </c>
      <c r="B35" s="428" t="s">
        <v>761</v>
      </c>
      <c r="C35" s="429"/>
      <c r="D35" s="429" t="s">
        <v>180</v>
      </c>
      <c r="E35" s="515"/>
      <c r="F35" s="515"/>
      <c r="G35" s="515"/>
      <c r="H35" s="51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s="512" customFormat="1">
      <c r="A36" s="505">
        <v>33</v>
      </c>
      <c r="B36" s="256" t="s">
        <v>970</v>
      </c>
      <c r="C36" s="743"/>
      <c r="D36" s="258" t="s">
        <v>179</v>
      </c>
      <c r="E36" s="428"/>
      <c r="F36" s="429"/>
      <c r="G36" s="429"/>
      <c r="H36" s="4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>
      <c r="C37" s="745"/>
    </row>
  </sheetData>
  <phoneticPr fontId="9" type="noConversion"/>
  <hyperlinks>
    <hyperlink ref="A4" location="'1'!A1" display="'1'!A1" xr:uid="{00000000-0004-0000-0000-000000000000}"/>
    <hyperlink ref="A5" location="'2'!A1" display="'2'!A1" xr:uid="{00000000-0004-0000-0000-000001000000}"/>
    <hyperlink ref="A6" location="'3'!A1" display="'3'!A1" xr:uid="{00000000-0004-0000-0000-000002000000}"/>
    <hyperlink ref="A7" location="'4'!A1" display="'4'!A1" xr:uid="{00000000-0004-0000-0000-000003000000}"/>
    <hyperlink ref="A8" location="'5'!A1" display="'5'!A1" xr:uid="{00000000-0004-0000-0000-000004000000}"/>
    <hyperlink ref="A9" location="'6'!A1" display="'6'!A1" xr:uid="{00000000-0004-0000-0000-000005000000}"/>
    <hyperlink ref="A10" location="'7'!A1" display="'7'!A1" xr:uid="{00000000-0004-0000-0000-000006000000}"/>
    <hyperlink ref="A11" location="'8'!A1" display="'8'!A1" xr:uid="{00000000-0004-0000-0000-000007000000}"/>
    <hyperlink ref="A12" location="'9'!A1" display="'9'!A1" xr:uid="{00000000-0004-0000-0000-000008000000}"/>
    <hyperlink ref="A13" location="'10'!A1" display="'10'!A1" xr:uid="{00000000-0004-0000-0000-000009000000}"/>
    <hyperlink ref="A14" location="'11'!A1" display="'11'!A1" xr:uid="{00000000-0004-0000-0000-00000A000000}"/>
    <hyperlink ref="A15" location="'12'!A1" display="'12'!A1" xr:uid="{00000000-0004-0000-0000-00000B000000}"/>
    <hyperlink ref="A16" location="'13'!A1" display="'13'!A1" xr:uid="{00000000-0004-0000-0000-00000C000000}"/>
    <hyperlink ref="A17" location="'14'!A1" display="'14'!A1" xr:uid="{00000000-0004-0000-0000-00000D000000}"/>
    <hyperlink ref="A18" location="'15'!A1" display="'15'!A1" xr:uid="{00000000-0004-0000-0000-00000E000000}"/>
    <hyperlink ref="A19" location="'16'!A1" display="'16'!A1" xr:uid="{00000000-0004-0000-0000-00000F000000}"/>
    <hyperlink ref="A20" location="'17'!A1" display="'17'!A1" xr:uid="{00000000-0004-0000-0000-000010000000}"/>
    <hyperlink ref="A21" location="'18'!A1" display="'18'!A1" xr:uid="{00000000-0004-0000-0000-000011000000}"/>
    <hyperlink ref="A22" location="'19'!A1" display="'19'!A1" xr:uid="{00000000-0004-0000-0000-000012000000}"/>
    <hyperlink ref="A24" location="'21'!A1" display="'21'!A1" xr:uid="{00000000-0004-0000-0000-000013000000}"/>
    <hyperlink ref="A25" location="'22'!A1" display="'22'!A1" xr:uid="{00000000-0004-0000-0000-000014000000}"/>
    <hyperlink ref="A26" location="'23'!A1" display="'23'!A1" xr:uid="{00000000-0004-0000-0000-000015000000}"/>
    <hyperlink ref="A27" location="'24'!A1" display="'24'!A1" xr:uid="{00000000-0004-0000-0000-000016000000}"/>
    <hyperlink ref="A28" location="'25'!A1" display="'25'!A1" xr:uid="{00000000-0004-0000-0000-000017000000}"/>
    <hyperlink ref="A29" location="'26'!A1" display="'26'!A1" xr:uid="{00000000-0004-0000-0000-000018000000}"/>
    <hyperlink ref="A30" location="'27'!A1" display="'27'!A1" xr:uid="{00000000-0004-0000-0000-000019000000}"/>
    <hyperlink ref="A31" location="'28'!A1" display="'28'!A1" xr:uid="{00000000-0004-0000-0000-00001A000000}"/>
    <hyperlink ref="A32" location="'29'!A1" display="'29'!A1" xr:uid="{00000000-0004-0000-0000-00001B000000}"/>
    <hyperlink ref="A33" location="'30'!A1" display="'30'!A1" xr:uid="{00000000-0004-0000-0000-00001C000000}"/>
    <hyperlink ref="A34" location="'31'!A1" display="'31'!A1" xr:uid="{00000000-0004-0000-0000-00001D000000}"/>
    <hyperlink ref="A23" location="'20'!A1" display="'20'!A1" xr:uid="{00000000-0004-0000-0000-00001E000000}"/>
    <hyperlink ref="A35" location="'32'!A1" display="'32'!A1" xr:uid="{00000000-0004-0000-0000-00001F000000}"/>
    <hyperlink ref="A36" location="'33'!A1" display="'33'!A1" xr:uid="{1549234B-02D8-4C6C-B0AC-8288E0E4A01B}"/>
  </hyperlinks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tabColor rgb="FF92D050"/>
    <pageSetUpPr fitToPage="1"/>
  </sheetPr>
  <dimension ref="A1:F41"/>
  <sheetViews>
    <sheetView showGridLines="0" workbookViewId="0"/>
  </sheetViews>
  <sheetFormatPr baseColWidth="10" defaultColWidth="11" defaultRowHeight="12"/>
  <cols>
    <col min="1" max="1" width="30.5" style="284" bestFit="1" customWidth="1"/>
    <col min="2" max="2" width="13" style="284" bestFit="1" customWidth="1"/>
    <col min="3" max="3" width="27.875" style="284" customWidth="1"/>
    <col min="4" max="4" width="11" style="18"/>
    <col min="5" max="5" width="15.625" style="18" customWidth="1"/>
    <col min="6" max="6" width="11" style="18" customWidth="1"/>
    <col min="7" max="16384" width="11" style="18"/>
  </cols>
  <sheetData>
    <row r="1" spans="1:3" ht="21">
      <c r="A1" s="825" t="s">
        <v>967</v>
      </c>
      <c r="B1" s="825"/>
      <c r="C1" s="825"/>
    </row>
    <row r="2" spans="1:3">
      <c r="A2" s="146" t="s">
        <v>151</v>
      </c>
      <c r="B2" s="285"/>
      <c r="C2" s="285"/>
    </row>
    <row r="3" spans="1:3" s="308" customFormat="1">
      <c r="A3" s="146"/>
      <c r="B3" s="285"/>
      <c r="C3" s="285"/>
    </row>
    <row r="4" spans="1:3" s="308" customFormat="1" ht="24.75" thickBot="1">
      <c r="A4" s="482">
        <v>2018</v>
      </c>
      <c r="B4" s="303" t="s">
        <v>172</v>
      </c>
      <c r="C4" s="147" t="s">
        <v>173</v>
      </c>
    </row>
    <row r="5" spans="1:3" s="308" customFormat="1">
      <c r="A5" s="15" t="s">
        <v>21</v>
      </c>
      <c r="B5" s="487">
        <v>97820</v>
      </c>
      <c r="C5" s="487">
        <f>+(B5+B19)/2</f>
        <v>92436</v>
      </c>
    </row>
    <row r="6" spans="1:3" s="308" customFormat="1">
      <c r="A6" s="15" t="s">
        <v>22</v>
      </c>
      <c r="B6" s="487">
        <v>127064</v>
      </c>
      <c r="C6" s="487">
        <f>+(B6+B20)/2</f>
        <v>122199</v>
      </c>
    </row>
    <row r="7" spans="1:3" s="308" customFormat="1">
      <c r="A7" s="85" t="s">
        <v>23</v>
      </c>
      <c r="B7" s="447">
        <f>SUM(B5:B6)</f>
        <v>224884</v>
      </c>
      <c r="C7" s="447">
        <f>SUM(C5:C6)</f>
        <v>214635</v>
      </c>
    </row>
    <row r="8" spans="1:3" s="308" customFormat="1">
      <c r="A8" s="308" t="s">
        <v>847</v>
      </c>
      <c r="B8" s="70">
        <v>-1227</v>
      </c>
      <c r="C8" s="488">
        <f>+(B8+B22)/2</f>
        <v>-933</v>
      </c>
    </row>
    <row r="9" spans="1:3" s="308" customFormat="1">
      <c r="A9" s="15" t="s">
        <v>848</v>
      </c>
      <c r="B9" s="488">
        <v>-107</v>
      </c>
      <c r="C9" s="488">
        <f>+(B9+B23)/2</f>
        <v>-392.5</v>
      </c>
    </row>
    <row r="10" spans="1:3" s="308" customFormat="1">
      <c r="A10" s="15"/>
      <c r="B10" s="487"/>
      <c r="C10" s="488"/>
    </row>
    <row r="11" spans="1:3" s="308" customFormat="1">
      <c r="A11" s="85" t="s">
        <v>26</v>
      </c>
      <c r="B11" s="330">
        <f>+B7+B8+B9+B10</f>
        <v>223550</v>
      </c>
      <c r="C11" s="330">
        <f>SUM(C7:C10)</f>
        <v>213309.5</v>
      </c>
    </row>
    <row r="12" spans="1:3" s="308" customFormat="1">
      <c r="A12" s="15"/>
      <c r="B12" s="329"/>
      <c r="C12" s="329"/>
    </row>
    <row r="13" spans="1:3" s="308" customFormat="1">
      <c r="A13" s="15" t="s">
        <v>27</v>
      </c>
      <c r="B13" s="488">
        <v>717</v>
      </c>
      <c r="C13" s="488">
        <f>+(B13+B27)/2</f>
        <v>462</v>
      </c>
    </row>
    <row r="14" spans="1:3" s="308" customFormat="1">
      <c r="A14" s="15" t="s">
        <v>28</v>
      </c>
      <c r="B14" s="488">
        <v>1696</v>
      </c>
      <c r="C14" s="488">
        <f>+(B14+B28)/2</f>
        <v>1652</v>
      </c>
    </row>
    <row r="15" spans="1:3" s="308" customFormat="1">
      <c r="A15" s="85" t="s">
        <v>29</v>
      </c>
      <c r="B15" s="330">
        <f>SUM(B11:B14)</f>
        <v>225963</v>
      </c>
      <c r="C15" s="330">
        <f>SUM(C11:C14)</f>
        <v>215423.5</v>
      </c>
    </row>
    <row r="16" spans="1:3" s="308" customFormat="1">
      <c r="A16" s="14"/>
      <c r="B16" s="329"/>
      <c r="C16" s="329"/>
    </row>
    <row r="17" spans="1:6" s="308" customFormat="1">
      <c r="A17" s="14"/>
      <c r="B17" s="329"/>
      <c r="C17" s="329"/>
    </row>
    <row r="18" spans="1:6" ht="24.75" thickBot="1">
      <c r="A18" s="570">
        <v>2017</v>
      </c>
      <c r="B18" s="303" t="s">
        <v>172</v>
      </c>
      <c r="C18" s="147" t="s">
        <v>173</v>
      </c>
    </row>
    <row r="19" spans="1:6" ht="13.5" customHeight="1">
      <c r="A19" s="15" t="s">
        <v>21</v>
      </c>
      <c r="B19" s="487">
        <v>87052</v>
      </c>
      <c r="C19" s="487">
        <v>87052</v>
      </c>
    </row>
    <row r="20" spans="1:6">
      <c r="A20" s="15" t="s">
        <v>22</v>
      </c>
      <c r="B20" s="487">
        <v>117334</v>
      </c>
      <c r="C20" s="487">
        <v>117334</v>
      </c>
    </row>
    <row r="21" spans="1:6">
      <c r="A21" s="211" t="s">
        <v>23</v>
      </c>
      <c r="B21" s="688">
        <f>SUM(B19:B20)</f>
        <v>204386</v>
      </c>
      <c r="C21" s="688">
        <v>204386</v>
      </c>
    </row>
    <row r="22" spans="1:6">
      <c r="A22" s="308" t="s">
        <v>24</v>
      </c>
      <c r="B22" s="70">
        <v>-639</v>
      </c>
      <c r="C22" s="488">
        <v>-639</v>
      </c>
    </row>
    <row r="23" spans="1:6">
      <c r="A23" s="15" t="s">
        <v>25</v>
      </c>
      <c r="B23" s="488">
        <v>-678</v>
      </c>
      <c r="C23" s="488">
        <v>-678</v>
      </c>
    </row>
    <row r="24" spans="1:6">
      <c r="A24" s="15" t="s">
        <v>139</v>
      </c>
      <c r="B24" s="487">
        <v>-13</v>
      </c>
      <c r="C24" s="488">
        <v>-13</v>
      </c>
    </row>
    <row r="25" spans="1:6">
      <c r="A25" s="211" t="s">
        <v>26</v>
      </c>
      <c r="B25" s="689">
        <f>+B21+B22+B23+B24</f>
        <v>203056</v>
      </c>
      <c r="C25" s="689">
        <f>+C21+C22+C23+C24</f>
        <v>203056</v>
      </c>
    </row>
    <row r="26" spans="1:6">
      <c r="A26" s="15"/>
      <c r="B26" s="329"/>
      <c r="C26" s="329"/>
      <c r="F26" s="23"/>
    </row>
    <row r="27" spans="1:6">
      <c r="A27" s="15" t="s">
        <v>27</v>
      </c>
      <c r="B27" s="488">
        <v>207</v>
      </c>
      <c r="C27" s="488">
        <v>207</v>
      </c>
    </row>
    <row r="28" spans="1:6">
      <c r="A28" s="15" t="s">
        <v>28</v>
      </c>
      <c r="B28" s="488">
        <v>1608</v>
      </c>
      <c r="C28" s="488">
        <v>1608</v>
      </c>
    </row>
    <row r="29" spans="1:6">
      <c r="A29" s="211" t="s">
        <v>29</v>
      </c>
      <c r="B29" s="689">
        <f>SUM(B25:B28)</f>
        <v>204871</v>
      </c>
      <c r="C29" s="689">
        <f>SUM(C25:C28)</f>
        <v>204871</v>
      </c>
    </row>
    <row r="30" spans="1:6">
      <c r="A30" s="308"/>
      <c r="B30" s="308"/>
      <c r="C30" s="308"/>
    </row>
    <row r="31" spans="1:6">
      <c r="A31" s="308"/>
      <c r="B31" s="308"/>
      <c r="C31" s="308"/>
    </row>
    <row r="34" spans="1:1">
      <c r="A34" s="284" t="s">
        <v>961</v>
      </c>
    </row>
    <row r="35" spans="1:1">
      <c r="A35" s="284" t="s">
        <v>968</v>
      </c>
    </row>
    <row r="41" spans="1:1">
      <c r="A41" s="151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  <ignoredErrors>
    <ignoredError sqref="C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tabColor rgb="FF92D050"/>
    <pageSetUpPr fitToPage="1"/>
  </sheetPr>
  <dimension ref="A1:H40"/>
  <sheetViews>
    <sheetView zoomScaleNormal="100" workbookViewId="0"/>
  </sheetViews>
  <sheetFormatPr baseColWidth="10" defaultColWidth="11" defaultRowHeight="12"/>
  <cols>
    <col min="1" max="1" width="29.875" style="18" customWidth="1"/>
    <col min="2" max="2" width="2.75" style="18" customWidth="1"/>
    <col min="3" max="3" width="7.625" style="18" customWidth="1"/>
    <col min="4" max="4" width="9.5" style="18" customWidth="1"/>
    <col min="5" max="5" width="7.625" style="18" customWidth="1"/>
    <col min="6" max="6" width="7.625" style="15" customWidth="1"/>
    <col min="7" max="7" width="11" style="18"/>
    <col min="8" max="8" width="21.25" style="18" customWidth="1"/>
    <col min="9" max="16384" width="11" style="18"/>
  </cols>
  <sheetData>
    <row r="1" spans="1:6" ht="21">
      <c r="A1" s="825" t="s">
        <v>186</v>
      </c>
      <c r="B1" s="287"/>
      <c r="C1" s="292"/>
      <c r="D1" s="287"/>
      <c r="E1" s="287"/>
    </row>
    <row r="2" spans="1:6" s="308" customFormat="1">
      <c r="A2" s="287" t="s">
        <v>151</v>
      </c>
      <c r="B2" s="441"/>
      <c r="C2" s="102"/>
      <c r="D2" s="441"/>
      <c r="E2" s="441"/>
      <c r="F2" s="15"/>
    </row>
    <row r="3" spans="1:6">
      <c r="B3" s="287"/>
      <c r="C3" s="61"/>
      <c r="D3" s="81"/>
      <c r="E3" s="81"/>
    </row>
    <row r="4" spans="1:6" s="308" customFormat="1" ht="36.75" thickBot="1">
      <c r="A4" s="482">
        <v>2018</v>
      </c>
      <c r="B4" s="141"/>
      <c r="C4" s="141" t="s">
        <v>169</v>
      </c>
      <c r="D4" s="303" t="s">
        <v>150</v>
      </c>
      <c r="E4" s="141" t="s">
        <v>5</v>
      </c>
      <c r="F4" s="15"/>
    </row>
    <row r="5" spans="1:6" s="308" customFormat="1">
      <c r="A5" s="308" t="s">
        <v>849</v>
      </c>
      <c r="B5" s="152"/>
      <c r="C5" s="489">
        <v>1709</v>
      </c>
      <c r="D5" s="490">
        <v>208</v>
      </c>
      <c r="E5" s="491">
        <f>+C5+D5</f>
        <v>1917</v>
      </c>
      <c r="F5" s="15"/>
    </row>
    <row r="6" spans="1:6" s="308" customFormat="1">
      <c r="A6" s="308" t="s">
        <v>40</v>
      </c>
      <c r="B6" s="152"/>
      <c r="C6" s="489">
        <v>3037</v>
      </c>
      <c r="D6" s="490">
        <v>1950</v>
      </c>
      <c r="E6" s="491">
        <f t="shared" ref="E6:E17" si="0">+C6+D6</f>
        <v>4987</v>
      </c>
      <c r="F6" s="15"/>
    </row>
    <row r="7" spans="1:6" s="308" customFormat="1">
      <c r="A7" s="308" t="s">
        <v>850</v>
      </c>
      <c r="B7" s="152"/>
      <c r="C7" s="489">
        <v>5183</v>
      </c>
      <c r="D7" s="490">
        <v>777</v>
      </c>
      <c r="E7" s="491">
        <f t="shared" si="0"/>
        <v>5960</v>
      </c>
      <c r="F7" s="15"/>
    </row>
    <row r="8" spans="1:6" s="308" customFormat="1">
      <c r="A8" s="308" t="s">
        <v>45</v>
      </c>
      <c r="B8" s="152"/>
      <c r="C8" s="489">
        <v>12142</v>
      </c>
      <c r="D8" s="490">
        <v>3005</v>
      </c>
      <c r="E8" s="491">
        <f t="shared" si="0"/>
        <v>15147</v>
      </c>
      <c r="F8" s="15"/>
    </row>
    <row r="9" spans="1:6" s="308" customFormat="1">
      <c r="A9" s="308" t="s">
        <v>42</v>
      </c>
      <c r="B9" s="152"/>
      <c r="C9" s="489">
        <v>3249</v>
      </c>
      <c r="D9" s="490">
        <v>1679</v>
      </c>
      <c r="E9" s="491">
        <f t="shared" si="0"/>
        <v>4928</v>
      </c>
      <c r="F9" s="15"/>
    </row>
    <row r="10" spans="1:6" s="308" customFormat="1">
      <c r="A10" s="308" t="s">
        <v>851</v>
      </c>
      <c r="B10" s="152"/>
      <c r="C10" s="489">
        <v>3134</v>
      </c>
      <c r="D10" s="490">
        <v>2492</v>
      </c>
      <c r="E10" s="491">
        <f t="shared" si="0"/>
        <v>5626</v>
      </c>
      <c r="F10" s="15"/>
    </row>
    <row r="11" spans="1:6" s="308" customFormat="1">
      <c r="A11" s="308" t="s">
        <v>852</v>
      </c>
      <c r="B11" s="152"/>
      <c r="C11" s="489">
        <v>4074</v>
      </c>
      <c r="D11" s="490">
        <v>1728</v>
      </c>
      <c r="E11" s="491">
        <f t="shared" si="0"/>
        <v>5802</v>
      </c>
      <c r="F11" s="15"/>
    </row>
    <row r="12" spans="1:6" s="308" customFormat="1">
      <c r="A12" s="308" t="s">
        <v>853</v>
      </c>
      <c r="B12" s="152"/>
      <c r="C12" s="489">
        <v>683</v>
      </c>
      <c r="D12" s="490">
        <v>95</v>
      </c>
      <c r="E12" s="491">
        <f t="shared" si="0"/>
        <v>778</v>
      </c>
      <c r="F12" s="15"/>
    </row>
    <row r="13" spans="1:6" s="308" customFormat="1">
      <c r="A13" s="308" t="s">
        <v>854</v>
      </c>
      <c r="B13" s="152"/>
      <c r="C13" s="489">
        <v>31713</v>
      </c>
      <c r="D13" s="490">
        <v>3193</v>
      </c>
      <c r="E13" s="491">
        <f t="shared" si="0"/>
        <v>34906</v>
      </c>
      <c r="F13" s="15"/>
    </row>
    <row r="14" spans="1:6" s="308" customFormat="1">
      <c r="A14" s="15" t="s">
        <v>855</v>
      </c>
      <c r="B14" s="152"/>
      <c r="C14" s="489">
        <v>12162</v>
      </c>
      <c r="D14" s="490">
        <v>3484</v>
      </c>
      <c r="E14" s="491">
        <f t="shared" si="0"/>
        <v>15646</v>
      </c>
      <c r="F14" s="15"/>
    </row>
    <row r="15" spans="1:6" s="308" customFormat="1">
      <c r="A15" s="15" t="s">
        <v>46</v>
      </c>
      <c r="B15" s="152"/>
      <c r="C15" s="489">
        <v>1896</v>
      </c>
      <c r="D15" s="490">
        <v>982</v>
      </c>
      <c r="E15" s="491">
        <f t="shared" si="0"/>
        <v>2878</v>
      </c>
      <c r="F15" s="15"/>
    </row>
    <row r="16" spans="1:6" s="308" customFormat="1">
      <c r="A16" s="15" t="s">
        <v>722</v>
      </c>
      <c r="B16" s="152"/>
      <c r="C16" s="489">
        <v>-756</v>
      </c>
      <c r="D16" s="490"/>
      <c r="E16" s="491">
        <f t="shared" si="0"/>
        <v>-756</v>
      </c>
      <c r="F16" s="15"/>
    </row>
    <row r="17" spans="1:8" s="308" customFormat="1">
      <c r="A17" s="15" t="s">
        <v>669</v>
      </c>
      <c r="B17" s="152"/>
      <c r="C17" s="489">
        <v>0</v>
      </c>
      <c r="D17" s="490">
        <v>0</v>
      </c>
      <c r="E17" s="491">
        <f t="shared" si="0"/>
        <v>0</v>
      </c>
      <c r="F17" s="15"/>
    </row>
    <row r="18" spans="1:8" s="308" customFormat="1">
      <c r="A18" s="14" t="s">
        <v>47</v>
      </c>
      <c r="B18" s="153"/>
      <c r="C18" s="293">
        <f>SUM(C5:C17)</f>
        <v>78226</v>
      </c>
      <c r="D18" s="565">
        <f>SUM(D5:D17)</f>
        <v>19593</v>
      </c>
      <c r="E18" s="565">
        <f>SUM(E5:E17)</f>
        <v>97819</v>
      </c>
      <c r="F18" s="15"/>
      <c r="H18" s="235"/>
    </row>
    <row r="19" spans="1:8" s="308" customFormat="1">
      <c r="A19" s="155" t="s">
        <v>22</v>
      </c>
      <c r="B19" s="156"/>
      <c r="C19" s="492">
        <v>113879</v>
      </c>
      <c r="D19" s="490">
        <v>13186</v>
      </c>
      <c r="E19" s="629">
        <f>+C19+D19</f>
        <v>127065</v>
      </c>
      <c r="F19" s="15"/>
      <c r="H19" s="235"/>
    </row>
    <row r="20" spans="1:8" s="308" customFormat="1">
      <c r="A20" s="85" t="s">
        <v>36</v>
      </c>
      <c r="B20" s="157"/>
      <c r="C20" s="294">
        <f>SUM(C18:C19)</f>
        <v>192105</v>
      </c>
      <c r="D20" s="392">
        <f>SUM(D18:D19)</f>
        <v>32779</v>
      </c>
      <c r="E20" s="448">
        <f>SUM(E18:E19)</f>
        <v>224884</v>
      </c>
      <c r="F20" s="15"/>
      <c r="H20" s="235"/>
    </row>
    <row r="21" spans="1:8" s="308" customFormat="1">
      <c r="B21" s="483"/>
      <c r="C21" s="61"/>
      <c r="D21" s="627"/>
      <c r="E21" s="627"/>
      <c r="F21" s="15"/>
      <c r="H21" s="235"/>
    </row>
    <row r="22" spans="1:8" s="308" customFormat="1">
      <c r="B22" s="483"/>
      <c r="C22" s="61"/>
      <c r="D22" s="81"/>
      <c r="E22" s="81"/>
      <c r="F22" s="15"/>
    </row>
    <row r="23" spans="1:8" s="308" customFormat="1">
      <c r="B23" s="483"/>
      <c r="C23" s="61"/>
      <c r="D23" s="81"/>
      <c r="E23" s="81"/>
      <c r="F23" s="15"/>
    </row>
    <row r="24" spans="1:8" ht="36.75" thickBot="1">
      <c r="A24" s="570">
        <v>2017</v>
      </c>
      <c r="B24" s="141"/>
      <c r="C24" s="141" t="s">
        <v>169</v>
      </c>
      <c r="D24" s="303" t="s">
        <v>150</v>
      </c>
      <c r="E24" s="141" t="s">
        <v>5</v>
      </c>
      <c r="F24" s="61"/>
      <c r="G24" s="61"/>
    </row>
    <row r="25" spans="1:8">
      <c r="A25" s="308" t="s">
        <v>849</v>
      </c>
      <c r="B25" s="152"/>
      <c r="C25" s="489">
        <v>860</v>
      </c>
      <c r="D25" s="490">
        <v>574</v>
      </c>
      <c r="E25" s="491">
        <f>C25+D25</f>
        <v>1434</v>
      </c>
      <c r="F25" s="108"/>
      <c r="G25" s="15"/>
    </row>
    <row r="26" spans="1:8">
      <c r="A26" s="308" t="s">
        <v>40</v>
      </c>
      <c r="B26" s="152"/>
      <c r="C26" s="489">
        <v>3633</v>
      </c>
      <c r="D26" s="490">
        <v>168</v>
      </c>
      <c r="E26" s="491">
        <f t="shared" ref="E26:E35" si="1">C26+D26</f>
        <v>3801</v>
      </c>
      <c r="F26" s="108"/>
    </row>
    <row r="27" spans="1:8">
      <c r="A27" s="308" t="s">
        <v>850</v>
      </c>
      <c r="B27" s="152"/>
      <c r="C27" s="489">
        <v>4833</v>
      </c>
      <c r="D27" s="490">
        <v>2660</v>
      </c>
      <c r="E27" s="491">
        <f t="shared" si="1"/>
        <v>7493</v>
      </c>
      <c r="F27" s="108"/>
    </row>
    <row r="28" spans="1:8">
      <c r="A28" s="308" t="s">
        <v>45</v>
      </c>
      <c r="B28" s="152"/>
      <c r="C28" s="489">
        <v>8593</v>
      </c>
      <c r="D28" s="490">
        <v>2064</v>
      </c>
      <c r="E28" s="491">
        <f t="shared" si="1"/>
        <v>10657</v>
      </c>
      <c r="F28" s="108"/>
      <c r="H28" s="23"/>
    </row>
    <row r="29" spans="1:8">
      <c r="A29" s="308" t="s">
        <v>42</v>
      </c>
      <c r="B29" s="152"/>
      <c r="C29" s="489">
        <v>2984</v>
      </c>
      <c r="D29" s="490">
        <v>1432</v>
      </c>
      <c r="E29" s="491">
        <f t="shared" si="1"/>
        <v>4416</v>
      </c>
      <c r="F29" s="108"/>
    </row>
    <row r="30" spans="1:8">
      <c r="A30" s="308" t="s">
        <v>851</v>
      </c>
      <c r="B30" s="152"/>
      <c r="C30" s="489">
        <v>3856</v>
      </c>
      <c r="D30" s="490">
        <v>4951</v>
      </c>
      <c r="E30" s="491">
        <f t="shared" si="1"/>
        <v>8807</v>
      </c>
      <c r="F30" s="108"/>
    </row>
    <row r="31" spans="1:8">
      <c r="A31" s="308" t="s">
        <v>852</v>
      </c>
      <c r="B31" s="152"/>
      <c r="C31" s="489">
        <v>4079</v>
      </c>
      <c r="D31" s="490">
        <v>2919</v>
      </c>
      <c r="E31" s="491">
        <f t="shared" si="1"/>
        <v>6998</v>
      </c>
      <c r="F31" s="108"/>
    </row>
    <row r="32" spans="1:8">
      <c r="A32" s="308" t="s">
        <v>853</v>
      </c>
      <c r="B32" s="152"/>
      <c r="C32" s="489">
        <v>606</v>
      </c>
      <c r="D32" s="490"/>
      <c r="E32" s="491">
        <f t="shared" si="1"/>
        <v>606</v>
      </c>
      <c r="F32" s="108"/>
    </row>
    <row r="33" spans="1:8">
      <c r="A33" s="308" t="s">
        <v>854</v>
      </c>
      <c r="B33" s="152"/>
      <c r="C33" s="489">
        <v>27042</v>
      </c>
      <c r="D33" s="490">
        <v>345</v>
      </c>
      <c r="E33" s="491">
        <f t="shared" si="1"/>
        <v>27387</v>
      </c>
      <c r="F33" s="108"/>
    </row>
    <row r="34" spans="1:8">
      <c r="A34" s="15" t="s">
        <v>855</v>
      </c>
      <c r="B34" s="152"/>
      <c r="C34" s="489">
        <v>9849</v>
      </c>
      <c r="D34" s="490">
        <v>2181</v>
      </c>
      <c r="E34" s="491">
        <f t="shared" si="1"/>
        <v>12030</v>
      </c>
      <c r="F34" s="108"/>
    </row>
    <row r="35" spans="1:8" s="308" customFormat="1">
      <c r="A35" s="15" t="s">
        <v>46</v>
      </c>
      <c r="B35" s="152"/>
      <c r="C35" s="489">
        <v>1869</v>
      </c>
      <c r="D35" s="490">
        <v>1554</v>
      </c>
      <c r="E35" s="491">
        <f t="shared" si="1"/>
        <v>3423</v>
      </c>
      <c r="F35" s="108"/>
    </row>
    <row r="36" spans="1:8">
      <c r="A36" s="15" t="s">
        <v>722</v>
      </c>
      <c r="B36" s="152"/>
      <c r="C36" s="489">
        <v>-399</v>
      </c>
      <c r="D36" s="490">
        <v>399</v>
      </c>
      <c r="E36" s="491">
        <v>0</v>
      </c>
      <c r="F36" s="108"/>
      <c r="H36" s="248"/>
    </row>
    <row r="37" spans="1:8">
      <c r="A37" s="15" t="s">
        <v>669</v>
      </c>
      <c r="B37" s="152"/>
      <c r="C37" s="489">
        <v>450</v>
      </c>
      <c r="D37" s="490">
        <v>-450</v>
      </c>
      <c r="E37" s="491">
        <v>0</v>
      </c>
      <c r="F37" s="154"/>
      <c r="H37" s="23"/>
    </row>
    <row r="38" spans="1:8">
      <c r="A38" s="15" t="s">
        <v>47</v>
      </c>
      <c r="B38" s="690"/>
      <c r="C38" s="691">
        <f>SUM(C25:C37)</f>
        <v>68255</v>
      </c>
      <c r="D38" s="692">
        <f>SUM(D25:D37)</f>
        <v>18797</v>
      </c>
      <c r="E38" s="692">
        <f>SUM(E25:E37)</f>
        <v>87052</v>
      </c>
      <c r="F38" s="108"/>
      <c r="H38" s="248"/>
    </row>
    <row r="39" spans="1:8">
      <c r="A39" s="155" t="s">
        <v>22</v>
      </c>
      <c r="B39" s="156"/>
      <c r="C39" s="492">
        <v>104299</v>
      </c>
      <c r="D39" s="490">
        <v>13035.45</v>
      </c>
      <c r="E39" s="566">
        <v>117334.45</v>
      </c>
      <c r="F39" s="142"/>
      <c r="H39" s="248"/>
    </row>
    <row r="40" spans="1:8">
      <c r="A40" s="211" t="s">
        <v>36</v>
      </c>
      <c r="B40" s="88"/>
      <c r="C40" s="693">
        <f>SUM(C38:C39)</f>
        <v>172554</v>
      </c>
      <c r="D40" s="694">
        <f>SUM(D38:D39)</f>
        <v>31832.45</v>
      </c>
      <c r="E40" s="695">
        <f>SUM(E38:E39)</f>
        <v>204386.45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>
    <oddFooter>&amp;R&amp;A</oddFooter>
  </headerFooter>
  <ignoredErrors>
    <ignoredError sqref="E1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tabColor rgb="FF92D050"/>
    <pageSetUpPr fitToPage="1"/>
  </sheetPr>
  <dimension ref="A1:S28"/>
  <sheetViews>
    <sheetView zoomScaleNormal="100" workbookViewId="0"/>
  </sheetViews>
  <sheetFormatPr baseColWidth="10" defaultColWidth="11" defaultRowHeight="12"/>
  <cols>
    <col min="1" max="1" width="23.375" style="18" customWidth="1"/>
    <col min="2" max="2" width="10.125" style="18" bestFit="1" customWidth="1"/>
    <col min="3" max="3" width="11.75" style="18" customWidth="1"/>
    <col min="4" max="4" width="11.5" style="18" customWidth="1"/>
    <col min="5" max="5" width="11.25" style="18" customWidth="1"/>
    <col min="6" max="6" width="12" style="18" customWidth="1"/>
    <col min="7" max="7" width="5.5" style="18" customWidth="1"/>
    <col min="8" max="8" width="21.375" style="18" customWidth="1"/>
    <col min="9" max="16384" width="11" style="18"/>
  </cols>
  <sheetData>
    <row r="1" spans="1:19" ht="21">
      <c r="A1" s="825" t="s">
        <v>187</v>
      </c>
      <c r="B1" s="65"/>
      <c r="C1" s="83"/>
      <c r="D1" s="159"/>
    </row>
    <row r="2" spans="1:19">
      <c r="A2" s="65" t="s">
        <v>151</v>
      </c>
      <c r="B2" s="65"/>
      <c r="C2" s="83"/>
    </row>
    <row r="3" spans="1:19">
      <c r="A3" s="65"/>
      <c r="B3" s="65"/>
      <c r="C3" s="83"/>
    </row>
    <row r="4" spans="1:19" ht="12.75" thickBot="1">
      <c r="A4" s="309">
        <v>2018</v>
      </c>
      <c r="B4" s="668" t="s">
        <v>48</v>
      </c>
      <c r="C4" s="668" t="s">
        <v>49</v>
      </c>
      <c r="D4" s="668" t="s">
        <v>50</v>
      </c>
      <c r="E4" s="668" t="s">
        <v>51</v>
      </c>
      <c r="F4" s="668" t="s">
        <v>5</v>
      </c>
      <c r="G4" s="61"/>
    </row>
    <row r="5" spans="1:19">
      <c r="A5" s="661" t="s">
        <v>169</v>
      </c>
      <c r="B5" s="160">
        <v>35343</v>
      </c>
      <c r="C5" s="160">
        <f>1115+5363</f>
        <v>6478</v>
      </c>
      <c r="D5" s="160">
        <v>41742</v>
      </c>
      <c r="E5" s="160">
        <v>108542</v>
      </c>
      <c r="F5" s="160">
        <f>SUM(B5:E5)</f>
        <v>192105</v>
      </c>
      <c r="G5" s="84"/>
      <c r="I5" s="23"/>
    </row>
    <row r="6" spans="1:19">
      <c r="A6" s="90" t="s">
        <v>34</v>
      </c>
      <c r="B6" s="160">
        <v>23152</v>
      </c>
      <c r="C6" s="160"/>
      <c r="D6" s="160"/>
      <c r="E6" s="160"/>
      <c r="F6" s="160">
        <f>SUM(B6:E6)</f>
        <v>23152</v>
      </c>
      <c r="G6" s="84"/>
      <c r="H6" s="235"/>
    </row>
    <row r="7" spans="1:19">
      <c r="A7" s="666" t="s">
        <v>35</v>
      </c>
      <c r="B7" s="160">
        <v>29</v>
      </c>
      <c r="C7" s="160">
        <v>2364</v>
      </c>
      <c r="D7" s="160">
        <v>5482</v>
      </c>
      <c r="E7" s="160">
        <v>1752</v>
      </c>
      <c r="F7" s="160">
        <f>SUM(B7:E7)</f>
        <v>9627</v>
      </c>
      <c r="G7" s="160"/>
      <c r="H7" s="667"/>
      <c r="I7" s="658"/>
    </row>
    <row r="8" spans="1:19">
      <c r="A8" s="669" t="s">
        <v>36</v>
      </c>
      <c r="B8" s="670">
        <f>SUM(B5:B7)</f>
        <v>58524</v>
      </c>
      <c r="C8" s="670">
        <f>SUM(C5:C7)</f>
        <v>8842</v>
      </c>
      <c r="D8" s="670">
        <f>SUM(D5:D7)</f>
        <v>47224</v>
      </c>
      <c r="E8" s="670">
        <f>SUM(E5:E7)</f>
        <v>110294</v>
      </c>
      <c r="F8" s="670">
        <f>SUM(F5:F7)</f>
        <v>224884</v>
      </c>
      <c r="G8" s="142"/>
    </row>
    <row r="9" spans="1:19" ht="8.25" customHeight="1">
      <c r="A9" s="671"/>
      <c r="B9" s="579"/>
      <c r="C9" s="579"/>
      <c r="D9" s="579"/>
      <c r="E9" s="579"/>
      <c r="F9" s="579"/>
      <c r="G9" s="71"/>
    </row>
    <row r="10" spans="1:19">
      <c r="A10" s="90" t="s">
        <v>27</v>
      </c>
      <c r="B10" s="160">
        <v>130</v>
      </c>
      <c r="C10" s="672">
        <v>587</v>
      </c>
      <c r="D10" s="160" t="s">
        <v>120</v>
      </c>
      <c r="E10" s="160" t="s">
        <v>120</v>
      </c>
      <c r="F10" s="160">
        <f>SUM(B10:E10)</f>
        <v>717</v>
      </c>
      <c r="G10" s="84"/>
    </row>
    <row r="11" spans="1:19">
      <c r="A11" s="666" t="s">
        <v>28</v>
      </c>
      <c r="B11" s="626">
        <v>782</v>
      </c>
      <c r="C11" s="673">
        <f>35+861</f>
        <v>896</v>
      </c>
      <c r="D11" s="626">
        <v>0</v>
      </c>
      <c r="E11" s="626">
        <v>18</v>
      </c>
      <c r="F11" s="626">
        <f>SUM(B11:E11)</f>
        <v>1696</v>
      </c>
      <c r="G11" s="84"/>
    </row>
    <row r="12" spans="1:19">
      <c r="A12" s="368"/>
      <c r="B12" s="674"/>
      <c r="C12" s="674"/>
      <c r="D12" s="674"/>
      <c r="E12" s="674"/>
      <c r="F12" s="674"/>
    </row>
    <row r="13" spans="1:19" ht="12.75" thickBot="1">
      <c r="A13" s="675">
        <v>2017</v>
      </c>
      <c r="B13" s="675" t="s">
        <v>48</v>
      </c>
      <c r="C13" s="676" t="s">
        <v>49</v>
      </c>
      <c r="D13" s="676" t="s">
        <v>50</v>
      </c>
      <c r="E13" s="676" t="s">
        <v>51</v>
      </c>
      <c r="F13" s="676" t="s">
        <v>5</v>
      </c>
    </row>
    <row r="14" spans="1:19">
      <c r="A14" s="677" t="s">
        <v>169</v>
      </c>
      <c r="B14" s="582">
        <v>19763</v>
      </c>
      <c r="C14" s="582">
        <v>10077</v>
      </c>
      <c r="D14" s="582">
        <v>36608</v>
      </c>
      <c r="E14" s="582">
        <v>106106</v>
      </c>
      <c r="F14" s="582">
        <f>SUM(B14:E14)</f>
        <v>172554</v>
      </c>
    </row>
    <row r="15" spans="1:19">
      <c r="A15" s="663" t="s">
        <v>34</v>
      </c>
      <c r="B15" s="582">
        <v>22712</v>
      </c>
      <c r="C15" s="582"/>
      <c r="D15" s="582"/>
      <c r="E15" s="582"/>
      <c r="F15" s="582">
        <f>SUM(B15:E15)</f>
        <v>22712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>
      <c r="A16" s="678" t="s">
        <v>35</v>
      </c>
      <c r="B16" s="582">
        <v>83</v>
      </c>
      <c r="C16" s="582">
        <v>2391</v>
      </c>
      <c r="D16" s="582">
        <v>5419</v>
      </c>
      <c r="E16" s="582">
        <v>1227</v>
      </c>
      <c r="F16" s="582">
        <f>SUM(B16:E16)</f>
        <v>9120</v>
      </c>
      <c r="I16" s="54"/>
      <c r="J16" s="90"/>
      <c r="K16" s="90"/>
      <c r="L16" s="90"/>
      <c r="M16" s="90"/>
      <c r="N16" s="90"/>
      <c r="O16" s="90"/>
      <c r="P16" s="90"/>
      <c r="Q16" s="90"/>
      <c r="R16" s="90"/>
      <c r="S16" s="90"/>
    </row>
    <row r="17" spans="1:19">
      <c r="A17" s="678" t="s">
        <v>36</v>
      </c>
      <c r="B17" s="696">
        <f>SUM(B14:B16)</f>
        <v>42558</v>
      </c>
      <c r="C17" s="696">
        <f>SUM(C14:C16)</f>
        <v>12468</v>
      </c>
      <c r="D17" s="696">
        <f>SUM(D14:D16)</f>
        <v>42027</v>
      </c>
      <c r="E17" s="696">
        <f>SUM(E14:E16)</f>
        <v>107333</v>
      </c>
      <c r="F17" s="696">
        <f>SUM(B17:E17)</f>
        <v>204386</v>
      </c>
      <c r="H17" s="137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8.25" customHeight="1">
      <c r="A18" s="679"/>
      <c r="B18" s="680"/>
      <c r="C18" s="582"/>
      <c r="D18" s="681"/>
      <c r="E18" s="603"/>
      <c r="F18" s="603"/>
    </row>
    <row r="19" spans="1:19">
      <c r="A19" s="663" t="s">
        <v>27</v>
      </c>
      <c r="B19" s="582">
        <v>194</v>
      </c>
      <c r="C19" s="682">
        <v>13</v>
      </c>
      <c r="D19" s="582" t="s">
        <v>120</v>
      </c>
      <c r="E19" s="582" t="s">
        <v>120</v>
      </c>
      <c r="F19" s="582">
        <f>SUM(B19:E19)</f>
        <v>207</v>
      </c>
      <c r="H19" s="71"/>
    </row>
    <row r="20" spans="1:19">
      <c r="A20" s="678" t="s">
        <v>28</v>
      </c>
      <c r="B20" s="584">
        <v>0</v>
      </c>
      <c r="C20" s="683">
        <v>730</v>
      </c>
      <c r="D20" s="584">
        <v>860</v>
      </c>
      <c r="E20" s="584">
        <v>18</v>
      </c>
      <c r="F20" s="584">
        <f>SUM(B20:E20)</f>
        <v>1608</v>
      </c>
    </row>
    <row r="21" spans="1:19">
      <c r="G21" s="61"/>
    </row>
    <row r="22" spans="1:19">
      <c r="G22" s="84"/>
    </row>
    <row r="23" spans="1:19">
      <c r="G23" s="84"/>
    </row>
    <row r="24" spans="1:19">
      <c r="G24" s="84"/>
    </row>
    <row r="25" spans="1:19">
      <c r="G25" s="142"/>
    </row>
    <row r="26" spans="1:19">
      <c r="G26" s="71"/>
    </row>
    <row r="27" spans="1:19">
      <c r="D27" s="20"/>
      <c r="G27" s="84"/>
    </row>
    <row r="28" spans="1:19">
      <c r="G28" s="84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rgb="FF92D050"/>
    <pageSetUpPr fitToPage="1"/>
  </sheetPr>
  <dimension ref="A1:E39"/>
  <sheetViews>
    <sheetView showGridLines="0" zoomScaleNormal="100" workbookViewId="0"/>
  </sheetViews>
  <sheetFormatPr baseColWidth="10" defaultColWidth="11" defaultRowHeight="12"/>
  <cols>
    <col min="1" max="1" width="31.875" style="308" customWidth="1"/>
    <col min="2" max="2" width="15.125" style="308" customWidth="1"/>
    <col min="3" max="3" width="14.125" style="308" customWidth="1"/>
    <col min="4" max="4" width="15.5" style="308" customWidth="1"/>
    <col min="5" max="5" width="17.625" style="308" customWidth="1"/>
    <col min="6" max="6" width="9.75" style="18" customWidth="1"/>
    <col min="7" max="7" width="11" style="18"/>
    <col min="8" max="8" width="33.375" style="18" bestFit="1" customWidth="1"/>
    <col min="9" max="16384" width="11" style="18"/>
  </cols>
  <sheetData>
    <row r="1" spans="1:5" s="308" customFormat="1" ht="21">
      <c r="A1" s="825" t="s">
        <v>962</v>
      </c>
      <c r="B1" s="746"/>
      <c r="C1" s="746"/>
      <c r="D1" s="746"/>
      <c r="E1" s="746"/>
    </row>
    <row r="2" spans="1:5" s="308" customFormat="1">
      <c r="B2" s="746"/>
      <c r="C2" s="746"/>
      <c r="D2" s="746"/>
      <c r="E2" s="746"/>
    </row>
    <row r="3" spans="1:5" s="308" customFormat="1">
      <c r="A3" s="313" t="s">
        <v>843</v>
      </c>
    </row>
    <row r="4" spans="1:5" s="308" customFormat="1" ht="24">
      <c r="A4" s="742" t="s">
        <v>929</v>
      </c>
      <c r="B4" s="705" t="s">
        <v>861</v>
      </c>
      <c r="C4" s="705" t="s">
        <v>862</v>
      </c>
      <c r="D4" s="705" t="s">
        <v>844</v>
      </c>
    </row>
    <row r="5" spans="1:5">
      <c r="A5" s="706" t="s">
        <v>849</v>
      </c>
      <c r="B5" s="707">
        <v>3</v>
      </c>
      <c r="C5" s="707">
        <v>1</v>
      </c>
      <c r="D5" s="707">
        <v>0</v>
      </c>
      <c r="E5" s="18"/>
    </row>
    <row r="6" spans="1:5" s="284" customFormat="1">
      <c r="A6" s="706" t="s">
        <v>40</v>
      </c>
      <c r="B6" s="707">
        <v>11</v>
      </c>
      <c r="C6" s="707">
        <v>27</v>
      </c>
      <c r="D6" s="707">
        <v>20</v>
      </c>
    </row>
    <row r="7" spans="1:5" ht="12" customHeight="1">
      <c r="A7" s="706" t="s">
        <v>850</v>
      </c>
      <c r="B7" s="707">
        <v>2</v>
      </c>
      <c r="C7" s="707">
        <v>4</v>
      </c>
      <c r="D7" s="707">
        <v>5</v>
      </c>
      <c r="E7" s="18"/>
    </row>
    <row r="8" spans="1:5" s="284" customFormat="1">
      <c r="A8" s="706" t="s">
        <v>45</v>
      </c>
      <c r="B8" s="707">
        <v>59</v>
      </c>
      <c r="C8" s="707">
        <v>72</v>
      </c>
      <c r="D8" s="707">
        <v>56</v>
      </c>
    </row>
    <row r="9" spans="1:5" s="284" customFormat="1">
      <c r="A9" s="706" t="s">
        <v>863</v>
      </c>
      <c r="B9" s="707">
        <v>13</v>
      </c>
      <c r="C9" s="707">
        <v>32</v>
      </c>
      <c r="D9" s="707">
        <v>16</v>
      </c>
    </row>
    <row r="10" spans="1:5" s="284" customFormat="1">
      <c r="A10" s="706" t="s">
        <v>851</v>
      </c>
      <c r="B10" s="707">
        <v>16</v>
      </c>
      <c r="C10" s="707">
        <v>34</v>
      </c>
      <c r="D10" s="707">
        <v>95</v>
      </c>
    </row>
    <row r="11" spans="1:5" s="284" customFormat="1">
      <c r="A11" s="706" t="s">
        <v>852</v>
      </c>
      <c r="B11" s="707">
        <v>8</v>
      </c>
      <c r="C11" s="707">
        <v>22</v>
      </c>
      <c r="D11" s="707">
        <v>8</v>
      </c>
    </row>
    <row r="12" spans="1:5" s="284" customFormat="1">
      <c r="A12" s="706" t="s">
        <v>853</v>
      </c>
      <c r="B12" s="707">
        <v>1</v>
      </c>
      <c r="C12" s="707">
        <v>2</v>
      </c>
      <c r="D12" s="707">
        <v>0</v>
      </c>
    </row>
    <row r="13" spans="1:5" s="284" customFormat="1">
      <c r="A13" s="706" t="s">
        <v>854</v>
      </c>
      <c r="B13" s="707">
        <v>74</v>
      </c>
      <c r="C13" s="707">
        <v>95</v>
      </c>
      <c r="D13" s="707">
        <v>38</v>
      </c>
    </row>
    <row r="14" spans="1:5" s="284" customFormat="1">
      <c r="A14" s="706" t="s">
        <v>855</v>
      </c>
      <c r="B14" s="707">
        <v>16</v>
      </c>
      <c r="C14" s="707">
        <v>47</v>
      </c>
      <c r="D14" s="707">
        <v>293</v>
      </c>
    </row>
    <row r="15" spans="1:5" s="284" customFormat="1">
      <c r="A15" s="708" t="s">
        <v>46</v>
      </c>
      <c r="B15" s="709">
        <v>0</v>
      </c>
      <c r="C15" s="709">
        <v>0</v>
      </c>
      <c r="D15" s="709">
        <v>0</v>
      </c>
    </row>
    <row r="16" spans="1:5" s="284" customFormat="1">
      <c r="A16" s="710" t="s">
        <v>864</v>
      </c>
      <c r="B16" s="711">
        <v>203</v>
      </c>
      <c r="C16" s="711">
        <v>336</v>
      </c>
      <c r="D16" s="711">
        <v>531</v>
      </c>
    </row>
    <row r="17" spans="1:5" s="284" customFormat="1">
      <c r="A17" s="710" t="s">
        <v>865</v>
      </c>
      <c r="B17" s="711">
        <v>26</v>
      </c>
      <c r="C17" s="711">
        <v>31</v>
      </c>
      <c r="D17" s="711">
        <v>100</v>
      </c>
    </row>
    <row r="18" spans="1:5" s="284" customFormat="1">
      <c r="A18" s="708" t="s">
        <v>722</v>
      </c>
      <c r="B18" s="709"/>
      <c r="C18" s="709"/>
      <c r="D18" s="709"/>
    </row>
    <row r="19" spans="1:5" s="284" customFormat="1">
      <c r="A19" s="710" t="s">
        <v>667</v>
      </c>
      <c r="B19" s="711">
        <f t="shared" ref="B19:D19" si="0">SUM(B16:B18)</f>
        <v>229</v>
      </c>
      <c r="C19" s="711">
        <f t="shared" si="0"/>
        <v>367</v>
      </c>
      <c r="D19" s="711">
        <f t="shared" si="0"/>
        <v>631</v>
      </c>
    </row>
    <row r="20" spans="1:5" s="284" customFormat="1"/>
    <row r="21" spans="1:5">
      <c r="A21" s="104"/>
      <c r="B21" s="104"/>
      <c r="C21" s="104"/>
      <c r="D21" s="104"/>
    </row>
    <row r="22" spans="1:5" ht="12.75">
      <c r="A22" s="104"/>
      <c r="B22" s="470"/>
      <c r="C22" s="67"/>
      <c r="D22" s="104"/>
    </row>
    <row r="23" spans="1:5">
      <c r="A23" s="104"/>
      <c r="B23" s="67"/>
      <c r="C23" s="67"/>
      <c r="D23" s="104"/>
    </row>
    <row r="24" spans="1:5">
      <c r="A24" s="585" t="s">
        <v>842</v>
      </c>
      <c r="B24" s="838" t="s">
        <v>52</v>
      </c>
      <c r="C24" s="838"/>
    </row>
    <row r="25" spans="1:5" ht="36">
      <c r="A25" s="163" t="s">
        <v>133</v>
      </c>
      <c r="B25" s="164" t="s">
        <v>140</v>
      </c>
      <c r="C25" s="164" t="s">
        <v>141</v>
      </c>
      <c r="D25" s="164" t="s">
        <v>24</v>
      </c>
      <c r="E25" s="165" t="s">
        <v>53</v>
      </c>
    </row>
    <row r="26" spans="1:5">
      <c r="A26" s="308" t="s">
        <v>37</v>
      </c>
      <c r="B26" s="169">
        <v>10</v>
      </c>
      <c r="C26" s="166">
        <v>7</v>
      </c>
      <c r="D26" s="167">
        <v>4</v>
      </c>
      <c r="E26" s="167">
        <v>4.3289977000000004</v>
      </c>
    </row>
    <row r="27" spans="1:5">
      <c r="A27" s="308" t="s">
        <v>38</v>
      </c>
      <c r="B27" s="169">
        <v>1E-8</v>
      </c>
      <c r="C27" s="166">
        <v>0</v>
      </c>
      <c r="D27" s="167">
        <v>0</v>
      </c>
      <c r="E27" s="162">
        <v>1E-8</v>
      </c>
    </row>
    <row r="28" spans="1:5">
      <c r="A28" s="308" t="s">
        <v>39</v>
      </c>
      <c r="B28" s="169">
        <v>0</v>
      </c>
      <c r="C28" s="166">
        <v>0</v>
      </c>
      <c r="D28" s="162">
        <v>0</v>
      </c>
      <c r="E28" s="162">
        <v>0</v>
      </c>
    </row>
    <row r="29" spans="1:5">
      <c r="A29" s="308" t="s">
        <v>40</v>
      </c>
      <c r="B29" s="169">
        <v>89</v>
      </c>
      <c r="C29" s="167">
        <v>9</v>
      </c>
      <c r="D29" s="167">
        <v>28</v>
      </c>
      <c r="E29" s="167">
        <v>1</v>
      </c>
    </row>
    <row r="30" spans="1:5">
      <c r="A30" s="308" t="s">
        <v>41</v>
      </c>
      <c r="B30" s="169">
        <v>5</v>
      </c>
      <c r="C30" s="166">
        <v>14</v>
      </c>
      <c r="D30" s="167">
        <v>7</v>
      </c>
      <c r="E30" s="167">
        <v>-3</v>
      </c>
    </row>
    <row r="31" spans="1:5">
      <c r="A31" s="308" t="s">
        <v>42</v>
      </c>
      <c r="B31" s="169">
        <v>50</v>
      </c>
      <c r="C31" s="166">
        <v>24</v>
      </c>
      <c r="D31" s="167">
        <v>30</v>
      </c>
      <c r="E31" s="167">
        <v>15</v>
      </c>
    </row>
    <row r="32" spans="1:5">
      <c r="A32" s="308" t="s">
        <v>43</v>
      </c>
      <c r="B32" s="169">
        <v>745</v>
      </c>
      <c r="C32" s="166">
        <v>8</v>
      </c>
      <c r="D32" s="167">
        <v>318</v>
      </c>
      <c r="E32" s="167">
        <v>188</v>
      </c>
    </row>
    <row r="33" spans="1:5">
      <c r="A33" s="308" t="s">
        <v>44</v>
      </c>
      <c r="B33" s="169">
        <v>233</v>
      </c>
      <c r="C33" s="166">
        <v>37</v>
      </c>
      <c r="D33" s="167">
        <v>89</v>
      </c>
      <c r="E33" s="167">
        <v>33</v>
      </c>
    </row>
    <row r="34" spans="1:5">
      <c r="A34" s="308" t="s">
        <v>45</v>
      </c>
      <c r="B34" s="169">
        <v>351</v>
      </c>
      <c r="C34" s="166">
        <v>201</v>
      </c>
      <c r="D34" s="167">
        <v>89</v>
      </c>
      <c r="E34" s="167">
        <v>251</v>
      </c>
    </row>
    <row r="35" spans="1:5">
      <c r="A35" s="15" t="s">
        <v>46</v>
      </c>
      <c r="B35" s="169">
        <v>0</v>
      </c>
      <c r="C35" s="166">
        <v>0</v>
      </c>
      <c r="D35" s="167">
        <v>0</v>
      </c>
      <c r="E35" s="167">
        <v>0</v>
      </c>
    </row>
    <row r="36" spans="1:5">
      <c r="A36" s="158" t="s">
        <v>47</v>
      </c>
      <c r="B36" s="339">
        <v>1483.0000000099999</v>
      </c>
      <c r="C36" s="168">
        <v>300</v>
      </c>
      <c r="D36" s="168">
        <v>565</v>
      </c>
      <c r="E36" s="168">
        <v>489.32899771000001</v>
      </c>
    </row>
    <row r="37" spans="1:5">
      <c r="A37" s="90" t="s">
        <v>106</v>
      </c>
      <c r="B37" s="169">
        <v>0</v>
      </c>
      <c r="C37" s="170">
        <v>0</v>
      </c>
      <c r="D37" s="171">
        <v>0</v>
      </c>
      <c r="E37" s="171">
        <v>0</v>
      </c>
    </row>
    <row r="38" spans="1:5">
      <c r="A38" s="172" t="s">
        <v>22</v>
      </c>
      <c r="B38" s="173">
        <v>79</v>
      </c>
      <c r="C38" s="173">
        <v>255</v>
      </c>
      <c r="D38" s="173">
        <v>87</v>
      </c>
      <c r="E38" s="173">
        <v>54</v>
      </c>
    </row>
    <row r="39" spans="1:5">
      <c r="A39" s="468" t="s">
        <v>5</v>
      </c>
      <c r="B39" s="471">
        <f>+B36+B38</f>
        <v>1562.0000000099999</v>
      </c>
      <c r="C39" s="469">
        <f t="shared" ref="C39:D39" si="1">+C36+C38</f>
        <v>555</v>
      </c>
      <c r="D39" s="469">
        <f t="shared" si="1"/>
        <v>652</v>
      </c>
      <c r="E39" s="469">
        <f>+E36+E38+E37</f>
        <v>543.32899771000007</v>
      </c>
    </row>
  </sheetData>
  <mergeCells count="1">
    <mergeCell ref="B24:C2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  <ignoredErrors>
    <ignoredError sqref="B19:D1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B023-1B35-4FEA-BC20-3B89EAF49564}">
  <sheetPr>
    <tabColor rgb="FF92D050"/>
    <pageSetUpPr fitToPage="1"/>
  </sheetPr>
  <dimension ref="A1:F38"/>
  <sheetViews>
    <sheetView showGridLines="0" zoomScaleNormal="100" workbookViewId="0"/>
  </sheetViews>
  <sheetFormatPr baseColWidth="10" defaultColWidth="11" defaultRowHeight="12"/>
  <cols>
    <col min="1" max="1" width="45.75" style="308" bestFit="1" customWidth="1"/>
    <col min="2" max="5" width="10.125" style="308" customWidth="1"/>
    <col min="6" max="6" width="45.75" style="308" bestFit="1" customWidth="1"/>
    <col min="7" max="16384" width="11" style="308"/>
  </cols>
  <sheetData>
    <row r="1" spans="1:6" ht="21">
      <c r="A1" s="825" t="s">
        <v>945</v>
      </c>
      <c r="F1" s="746"/>
    </row>
    <row r="2" spans="1:6" ht="12.75">
      <c r="A2" s="260" t="s">
        <v>151</v>
      </c>
      <c r="B2" s="76"/>
      <c r="C2" s="76"/>
      <c r="D2" s="76"/>
      <c r="E2" s="76"/>
      <c r="F2" s="746"/>
    </row>
    <row r="3" spans="1:6" ht="12.75">
      <c r="A3" s="260"/>
      <c r="B3" s="76"/>
      <c r="C3" s="76"/>
      <c r="D3" s="76"/>
      <c r="E3" s="76"/>
      <c r="F3" s="746"/>
    </row>
    <row r="4" spans="1:6">
      <c r="B4" s="76"/>
      <c r="C4" s="76"/>
      <c r="D4" s="76"/>
      <c r="E4" s="76"/>
      <c r="F4" s="746"/>
    </row>
    <row r="5" spans="1:6">
      <c r="A5" s="713"/>
      <c r="B5" s="714"/>
      <c r="C5" s="714"/>
      <c r="D5" s="714"/>
      <c r="E5" s="714"/>
    </row>
    <row r="6" spans="1:6" ht="12.75" thickBot="1">
      <c r="A6" s="174" t="s">
        <v>866</v>
      </c>
      <c r="B6" s="79" t="s">
        <v>867</v>
      </c>
      <c r="C6" s="79" t="s">
        <v>862</v>
      </c>
      <c r="D6" s="79" t="s">
        <v>844</v>
      </c>
      <c r="E6" s="79" t="s">
        <v>868</v>
      </c>
    </row>
    <row r="7" spans="1:6">
      <c r="A7" s="716" t="s">
        <v>869</v>
      </c>
      <c r="B7" s="711">
        <v>234</v>
      </c>
      <c r="C7" s="711">
        <v>472</v>
      </c>
      <c r="D7" s="711">
        <v>717</v>
      </c>
      <c r="E7" s="711">
        <f>B7+C7+D7</f>
        <v>1423</v>
      </c>
    </row>
    <row r="8" spans="1:6">
      <c r="A8" s="717" t="s">
        <v>870</v>
      </c>
      <c r="B8" s="718"/>
      <c r="C8" s="718"/>
      <c r="D8" s="718"/>
      <c r="E8" s="718"/>
    </row>
    <row r="9" spans="1:6">
      <c r="A9" s="720" t="s">
        <v>871</v>
      </c>
      <c r="B9" s="707">
        <v>-149</v>
      </c>
      <c r="C9" s="707">
        <v>144</v>
      </c>
      <c r="D9" s="707">
        <v>5</v>
      </c>
      <c r="E9" s="707">
        <f t="shared" ref="E9:E20" si="0">B9+C9+D9</f>
        <v>0</v>
      </c>
    </row>
    <row r="10" spans="1:6">
      <c r="A10" s="720" t="s">
        <v>872</v>
      </c>
      <c r="B10" s="707">
        <v>11</v>
      </c>
      <c r="C10" s="707">
        <v>-16</v>
      </c>
      <c r="D10" s="707">
        <v>5</v>
      </c>
      <c r="E10" s="707">
        <f t="shared" si="0"/>
        <v>0</v>
      </c>
    </row>
    <row r="11" spans="1:6">
      <c r="A11" s="720" t="s">
        <v>873</v>
      </c>
      <c r="B11" s="707">
        <v>0</v>
      </c>
      <c r="C11" s="707">
        <v>5</v>
      </c>
      <c r="D11" s="707">
        <v>-5</v>
      </c>
      <c r="E11" s="707">
        <f t="shared" si="0"/>
        <v>0</v>
      </c>
    </row>
    <row r="12" spans="1:6">
      <c r="A12" s="721" t="s">
        <v>874</v>
      </c>
      <c r="B12" s="707">
        <v>123</v>
      </c>
      <c r="C12" s="707">
        <v>-62</v>
      </c>
      <c r="D12" s="707">
        <v>-25</v>
      </c>
      <c r="E12" s="707">
        <f t="shared" si="0"/>
        <v>36</v>
      </c>
    </row>
    <row r="13" spans="1:6">
      <c r="A13" s="717" t="s">
        <v>875</v>
      </c>
      <c r="B13" s="707">
        <v>102</v>
      </c>
      <c r="C13" s="707">
        <v>53</v>
      </c>
      <c r="D13" s="707">
        <v>4</v>
      </c>
      <c r="E13" s="707">
        <f t="shared" si="0"/>
        <v>159</v>
      </c>
    </row>
    <row r="14" spans="1:6">
      <c r="A14" s="717" t="s">
        <v>876</v>
      </c>
      <c r="B14" s="707">
        <v>-61</v>
      </c>
      <c r="C14" s="707">
        <v>-172</v>
      </c>
      <c r="D14" s="707">
        <f>-21-1</f>
        <v>-22</v>
      </c>
      <c r="E14" s="707">
        <f t="shared" si="0"/>
        <v>-255</v>
      </c>
    </row>
    <row r="15" spans="1:6">
      <c r="A15" s="721" t="s">
        <v>877</v>
      </c>
      <c r="B15" s="707">
        <v>0</v>
      </c>
      <c r="C15" s="707">
        <v>0</v>
      </c>
      <c r="D15" s="707">
        <v>0</v>
      </c>
      <c r="E15" s="707">
        <f t="shared" si="0"/>
        <v>0</v>
      </c>
    </row>
    <row r="16" spans="1:6">
      <c r="A16" s="717" t="s">
        <v>878</v>
      </c>
      <c r="B16" s="707">
        <v>0</v>
      </c>
      <c r="C16" s="707">
        <v>0</v>
      </c>
      <c r="D16" s="707">
        <v>460</v>
      </c>
      <c r="E16" s="707">
        <f t="shared" si="0"/>
        <v>460</v>
      </c>
    </row>
    <row r="17" spans="1:5">
      <c r="A17" s="721" t="s">
        <v>879</v>
      </c>
      <c r="B17" s="707">
        <v>0</v>
      </c>
      <c r="C17" s="707">
        <v>0</v>
      </c>
      <c r="D17" s="707">
        <v>-397</v>
      </c>
      <c r="E17" s="707">
        <f t="shared" si="0"/>
        <v>-397</v>
      </c>
    </row>
    <row r="18" spans="1:5">
      <c r="A18" s="717" t="s">
        <v>880</v>
      </c>
      <c r="B18" s="707">
        <v>0</v>
      </c>
      <c r="C18" s="707">
        <v>0</v>
      </c>
      <c r="D18" s="707">
        <v>0</v>
      </c>
      <c r="E18" s="707">
        <f t="shared" si="0"/>
        <v>0</v>
      </c>
    </row>
    <row r="19" spans="1:5">
      <c r="A19" s="717" t="s">
        <v>881</v>
      </c>
      <c r="B19" s="709">
        <v>0</v>
      </c>
      <c r="C19" s="709">
        <v>0</v>
      </c>
      <c r="D19" s="709">
        <v>-92</v>
      </c>
      <c r="E19" s="709">
        <f t="shared" si="0"/>
        <v>-92</v>
      </c>
    </row>
    <row r="20" spans="1:5">
      <c r="A20" s="722" t="s">
        <v>882</v>
      </c>
      <c r="B20" s="711">
        <f>B7+SUM(B9:B19)</f>
        <v>260</v>
      </c>
      <c r="C20" s="711">
        <f>C7+SUM(C9:C19)</f>
        <v>424</v>
      </c>
      <c r="D20" s="711">
        <f>D7+SUM(D9:D19)</f>
        <v>650</v>
      </c>
      <c r="E20" s="711">
        <f t="shared" si="0"/>
        <v>1334</v>
      </c>
    </row>
    <row r="23" spans="1:5" ht="12.75">
      <c r="A23" s="259" t="s">
        <v>229</v>
      </c>
    </row>
    <row r="24" spans="1:5" ht="12.75">
      <c r="A24" s="260" t="s">
        <v>151</v>
      </c>
    </row>
    <row r="26" spans="1:5" ht="12.75" thickBot="1">
      <c r="A26" s="174" t="s">
        <v>670</v>
      </c>
      <c r="B26" s="106"/>
      <c r="C26" s="106"/>
      <c r="D26" s="106"/>
      <c r="E26" s="141">
        <v>2017</v>
      </c>
    </row>
    <row r="27" spans="1:5">
      <c r="A27" s="15" t="s">
        <v>111</v>
      </c>
      <c r="B27" s="15"/>
      <c r="C27" s="15"/>
      <c r="D27" s="15"/>
      <c r="E27" s="15">
        <v>0</v>
      </c>
    </row>
    <row r="28" spans="1:5">
      <c r="A28" s="15" t="s">
        <v>112</v>
      </c>
      <c r="B28" s="15"/>
      <c r="C28" s="15"/>
      <c r="D28" s="15"/>
      <c r="E28" s="15">
        <v>0</v>
      </c>
    </row>
    <row r="29" spans="1:5">
      <c r="A29" s="15" t="s">
        <v>113</v>
      </c>
      <c r="B29" s="15"/>
      <c r="C29" s="15"/>
      <c r="D29" s="15"/>
      <c r="E29" s="15">
        <v>0</v>
      </c>
    </row>
    <row r="30" spans="1:5">
      <c r="A30" s="15" t="s">
        <v>114</v>
      </c>
      <c r="B30" s="15"/>
      <c r="C30" s="15"/>
      <c r="D30" s="15"/>
      <c r="E30" s="15">
        <v>0</v>
      </c>
    </row>
    <row r="31" spans="1:5">
      <c r="A31" s="15" t="s">
        <v>115</v>
      </c>
      <c r="B31" s="15"/>
      <c r="C31" s="15"/>
      <c r="D31" s="15"/>
      <c r="E31" s="15">
        <v>0</v>
      </c>
    </row>
    <row r="32" spans="1:5">
      <c r="A32" s="15" t="s">
        <v>116</v>
      </c>
      <c r="B32" s="15"/>
      <c r="C32" s="15"/>
      <c r="D32" s="15"/>
      <c r="E32" s="15">
        <v>0</v>
      </c>
    </row>
    <row r="33" spans="1:5">
      <c r="A33" s="15" t="s">
        <v>117</v>
      </c>
      <c r="B33" s="15"/>
      <c r="C33" s="15"/>
      <c r="D33" s="15"/>
      <c r="E33" s="15">
        <v>0</v>
      </c>
    </row>
    <row r="34" spans="1:5">
      <c r="A34" s="15" t="s">
        <v>118</v>
      </c>
      <c r="B34" s="15"/>
      <c r="C34" s="15"/>
      <c r="D34" s="15"/>
      <c r="E34" s="15">
        <v>0</v>
      </c>
    </row>
    <row r="35" spans="1:5">
      <c r="A35" s="15" t="s">
        <v>119</v>
      </c>
      <c r="B35" s="15"/>
      <c r="C35" s="15"/>
      <c r="D35" s="15"/>
      <c r="E35" s="15">
        <v>0</v>
      </c>
    </row>
    <row r="36" spans="1:5">
      <c r="A36" s="15" t="s">
        <v>76</v>
      </c>
      <c r="B36" s="15"/>
      <c r="C36" s="15"/>
      <c r="D36" s="15"/>
      <c r="E36" s="15">
        <v>0</v>
      </c>
    </row>
    <row r="37" spans="1:5">
      <c r="A37" s="15" t="s">
        <v>77</v>
      </c>
      <c r="B37" s="15"/>
      <c r="C37" s="15"/>
      <c r="D37" s="15"/>
      <c r="E37" s="15">
        <v>543</v>
      </c>
    </row>
    <row r="38" spans="1:5">
      <c r="A38" s="85" t="s">
        <v>5</v>
      </c>
      <c r="B38" s="85"/>
      <c r="C38" s="85"/>
      <c r="D38" s="85"/>
      <c r="E38" s="85">
        <f>SUM(E27:E37)</f>
        <v>543</v>
      </c>
    </row>
  </sheetData>
  <pageMargins left="0.75" right="0.75" top="1" bottom="1" header="0.5" footer="0.5"/>
  <pageSetup paperSize="9" fitToHeight="0" orientation="portrait" r:id="rId1"/>
  <headerFooter alignWithMargins="0"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tabColor rgb="FF92D050"/>
    <pageSetUpPr fitToPage="1"/>
  </sheetPr>
  <dimension ref="A1:F19"/>
  <sheetViews>
    <sheetView showGridLines="0" zoomScaleNormal="100" workbookViewId="0"/>
  </sheetViews>
  <sheetFormatPr baseColWidth="10" defaultColWidth="11" defaultRowHeight="12"/>
  <cols>
    <col min="1" max="1" width="19.5" style="18" customWidth="1"/>
    <col min="2" max="2" width="16.25" style="18" customWidth="1"/>
    <col min="3" max="3" width="16" style="18" customWidth="1"/>
    <col min="4" max="4" width="16.625" style="18" customWidth="1"/>
    <col min="5" max="16384" width="11" style="18"/>
  </cols>
  <sheetData>
    <row r="1" spans="1:6" ht="21">
      <c r="A1" s="825" t="s">
        <v>958</v>
      </c>
      <c r="B1" s="811"/>
      <c r="C1" s="811"/>
      <c r="D1" s="811"/>
    </row>
    <row r="2" spans="1:6" ht="13.5" customHeight="1">
      <c r="A2" s="811"/>
      <c r="B2" s="811"/>
      <c r="C2" s="811"/>
      <c r="D2" s="811"/>
    </row>
    <row r="3" spans="1:6">
      <c r="A3" s="146" t="s">
        <v>151</v>
      </c>
      <c r="B3" s="285"/>
      <c r="C3" s="285"/>
      <c r="D3" s="285"/>
      <c r="F3" s="729"/>
    </row>
    <row r="4" spans="1:6" ht="12" customHeight="1">
      <c r="A4" s="146"/>
      <c r="B4" s="285"/>
      <c r="C4" s="285"/>
      <c r="D4" s="285"/>
      <c r="F4" s="23"/>
    </row>
    <row r="5" spans="1:6" ht="12" customHeight="1">
      <c r="A5" s="713"/>
      <c r="B5" s="842"/>
      <c r="C5" s="842"/>
      <c r="D5" s="723"/>
    </row>
    <row r="6" spans="1:6" ht="12.75" thickBot="1">
      <c r="A6" s="724" t="s">
        <v>845</v>
      </c>
      <c r="B6" s="725" t="s">
        <v>867</v>
      </c>
      <c r="C6" s="725" t="s">
        <v>862</v>
      </c>
      <c r="D6" s="725" t="s">
        <v>844</v>
      </c>
    </row>
    <row r="7" spans="1:6">
      <c r="A7" s="54" t="s">
        <v>30</v>
      </c>
      <c r="B7" s="726">
        <v>155</v>
      </c>
      <c r="C7" s="726">
        <v>273</v>
      </c>
      <c r="D7" s="726">
        <v>500</v>
      </c>
      <c r="F7" s="23"/>
    </row>
    <row r="8" spans="1:6">
      <c r="A8" s="54" t="s">
        <v>31</v>
      </c>
      <c r="B8" s="726">
        <v>19</v>
      </c>
      <c r="C8" s="726">
        <v>32</v>
      </c>
      <c r="D8" s="726">
        <v>85</v>
      </c>
    </row>
    <row r="9" spans="1:6">
      <c r="A9" s="54" t="s">
        <v>32</v>
      </c>
      <c r="B9" s="726">
        <v>33</v>
      </c>
      <c r="C9" s="726">
        <v>42</v>
      </c>
      <c r="D9" s="726">
        <v>47</v>
      </c>
    </row>
    <row r="10" spans="1:6">
      <c r="A10" s="727" t="s">
        <v>33</v>
      </c>
      <c r="B10" s="726">
        <v>53</v>
      </c>
      <c r="C10" s="726">
        <v>77</v>
      </c>
      <c r="D10" s="726">
        <v>18</v>
      </c>
    </row>
    <row r="11" spans="1:6">
      <c r="A11" s="728" t="s">
        <v>5</v>
      </c>
      <c r="B11" s="338">
        <f>SUM(B7:B10)</f>
        <v>260</v>
      </c>
      <c r="C11" s="338">
        <f>SUM(C7:C10)</f>
        <v>424</v>
      </c>
      <c r="D11" s="338">
        <f>SUM(D7:D10)</f>
        <v>650</v>
      </c>
    </row>
    <row r="12" spans="1:6">
      <c r="A12" s="146"/>
      <c r="B12" s="306"/>
      <c r="C12" s="304"/>
      <c r="D12" s="295"/>
    </row>
    <row r="13" spans="1:6">
      <c r="A13" s="81"/>
      <c r="B13" s="839" t="s">
        <v>52</v>
      </c>
      <c r="C13" s="839"/>
      <c r="D13" s="840" t="s">
        <v>24</v>
      </c>
    </row>
    <row r="14" spans="1:6" ht="12.75" thickBot="1">
      <c r="A14" s="106" t="s">
        <v>846</v>
      </c>
      <c r="B14" s="286" t="s">
        <v>140</v>
      </c>
      <c r="C14" s="286" t="s">
        <v>141</v>
      </c>
      <c r="D14" s="841"/>
    </row>
    <row r="15" spans="1:6">
      <c r="A15" s="15" t="s">
        <v>30</v>
      </c>
      <c r="B15" s="177">
        <v>818</v>
      </c>
      <c r="C15" s="177">
        <v>398</v>
      </c>
      <c r="D15" s="177">
        <v>264</v>
      </c>
    </row>
    <row r="16" spans="1:6">
      <c r="A16" s="15" t="s">
        <v>31</v>
      </c>
      <c r="B16" s="177">
        <v>121</v>
      </c>
      <c r="C16" s="177">
        <v>44</v>
      </c>
      <c r="D16" s="177">
        <v>48</v>
      </c>
    </row>
    <row r="17" spans="1:4">
      <c r="A17" s="15" t="s">
        <v>32</v>
      </c>
      <c r="B17" s="177">
        <v>501</v>
      </c>
      <c r="C17" s="177">
        <v>69</v>
      </c>
      <c r="D17" s="177">
        <v>214</v>
      </c>
    </row>
    <row r="18" spans="1:4">
      <c r="A18" s="67" t="s">
        <v>33</v>
      </c>
      <c r="B18" s="177">
        <v>122</v>
      </c>
      <c r="C18" s="177">
        <v>44</v>
      </c>
      <c r="D18" s="177">
        <v>113</v>
      </c>
    </row>
    <row r="19" spans="1:4">
      <c r="A19" s="85" t="s">
        <v>5</v>
      </c>
      <c r="B19" s="338">
        <f>SUM(B15:B18)</f>
        <v>1562</v>
      </c>
      <c r="C19" s="178">
        <f>SUM(C15:C18)</f>
        <v>555</v>
      </c>
      <c r="D19" s="178">
        <f>SUM(D15:D18)</f>
        <v>639</v>
      </c>
    </row>
  </sheetData>
  <mergeCells count="3">
    <mergeCell ref="B13:C13"/>
    <mergeCell ref="D13:D14"/>
    <mergeCell ref="B5:C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66282-4D69-4FD3-8EC9-7ADA2F407E16}">
  <sheetPr>
    <tabColor rgb="FF92D050"/>
    <pageSetUpPr fitToPage="1"/>
  </sheetPr>
  <dimension ref="A1:H26"/>
  <sheetViews>
    <sheetView showGridLines="0" zoomScaleNormal="100" workbookViewId="0"/>
  </sheetViews>
  <sheetFormatPr baseColWidth="10" defaultColWidth="11" defaultRowHeight="12"/>
  <cols>
    <col min="1" max="1" width="61.25" style="308" customWidth="1"/>
    <col min="2" max="2" width="14" style="308" customWidth="1"/>
    <col min="3" max="3" width="14.75" style="308" customWidth="1"/>
    <col min="4" max="4" width="15.625" style="308" customWidth="1"/>
    <col min="5" max="5" width="8.625" style="308" customWidth="1"/>
    <col min="6" max="7" width="11" style="308"/>
    <col min="8" max="8" width="45.75" style="308" bestFit="1" customWidth="1"/>
    <col min="9" max="16384" width="11" style="308"/>
  </cols>
  <sheetData>
    <row r="1" spans="1:8" ht="21">
      <c r="A1" s="825" t="s">
        <v>191</v>
      </c>
      <c r="B1" s="825"/>
      <c r="C1" s="825"/>
      <c r="D1" s="825"/>
      <c r="E1" s="825"/>
    </row>
    <row r="2" spans="1:8">
      <c r="A2" s="748" t="s">
        <v>151</v>
      </c>
      <c r="B2" s="748"/>
      <c r="C2" s="748"/>
      <c r="D2" s="748"/>
      <c r="E2" s="748"/>
    </row>
    <row r="3" spans="1:8">
      <c r="H3" s="746"/>
    </row>
    <row r="4" spans="1:8">
      <c r="H4" s="746"/>
    </row>
    <row r="5" spans="1:8">
      <c r="A5" s="730" t="s">
        <v>927</v>
      </c>
      <c r="B5" s="843"/>
      <c r="C5" s="843"/>
      <c r="D5" s="843"/>
      <c r="E5" s="843"/>
      <c r="H5" s="746"/>
    </row>
    <row r="6" spans="1:8" ht="24.75" thickBot="1">
      <c r="A6" s="747" t="s">
        <v>885</v>
      </c>
      <c r="B6" s="303" t="s">
        <v>886</v>
      </c>
      <c r="C6" s="303" t="s">
        <v>887</v>
      </c>
      <c r="D6" s="303" t="s">
        <v>888</v>
      </c>
      <c r="E6" s="303" t="s">
        <v>889</v>
      </c>
    </row>
    <row r="7" spans="1:8">
      <c r="A7" s="731"/>
      <c r="B7" s="732"/>
      <c r="C7" s="715"/>
      <c r="D7" s="715"/>
      <c r="E7" s="741"/>
    </row>
    <row r="8" spans="1:8">
      <c r="A8" s="733" t="s">
        <v>890</v>
      </c>
      <c r="B8" s="707">
        <v>1236</v>
      </c>
      <c r="C8" s="707">
        <v>-48</v>
      </c>
      <c r="D8" s="707">
        <v>-20</v>
      </c>
      <c r="E8" s="707">
        <f>SUM(B8:D8)</f>
        <v>1168</v>
      </c>
    </row>
    <row r="9" spans="1:8">
      <c r="A9" s="734" t="s">
        <v>891</v>
      </c>
      <c r="B9" s="707">
        <v>187</v>
      </c>
      <c r="C9" s="707">
        <v>-21</v>
      </c>
      <c r="D9" s="707">
        <v>0</v>
      </c>
      <c r="E9" s="707">
        <f>SUM(B9:D9)</f>
        <v>166</v>
      </c>
    </row>
    <row r="10" spans="1:8">
      <c r="A10" s="735" t="s">
        <v>892</v>
      </c>
      <c r="B10" s="709">
        <v>0</v>
      </c>
      <c r="C10" s="709">
        <v>0</v>
      </c>
      <c r="D10" s="709">
        <v>0</v>
      </c>
      <c r="E10" s="709">
        <f>SUM(B10:D10)</f>
        <v>0</v>
      </c>
      <c r="G10" s="71"/>
    </row>
    <row r="11" spans="1:8">
      <c r="A11" s="736" t="s">
        <v>893</v>
      </c>
      <c r="B11" s="711">
        <f>SUM(B8:B10)</f>
        <v>1423</v>
      </c>
      <c r="C11" s="711">
        <f>SUM(C8:C10)</f>
        <v>-69</v>
      </c>
      <c r="D11" s="711">
        <f>SUM(D8:D10)</f>
        <v>-20</v>
      </c>
      <c r="E11" s="712">
        <f>SUM(E8:E10)</f>
        <v>1334</v>
      </c>
    </row>
    <row r="12" spans="1:8">
      <c r="A12" s="13"/>
      <c r="B12" s="737"/>
      <c r="C12" s="737"/>
      <c r="D12" s="737"/>
      <c r="E12" s="719"/>
    </row>
    <row r="13" spans="1:8">
      <c r="A13" s="13" t="s">
        <v>894</v>
      </c>
      <c r="B13" s="737"/>
      <c r="C13" s="737"/>
      <c r="D13" s="737"/>
      <c r="E13" s="719"/>
    </row>
    <row r="14" spans="1:8">
      <c r="A14" s="738" t="s">
        <v>847</v>
      </c>
      <c r="B14" s="707">
        <v>1296</v>
      </c>
      <c r="C14" s="707">
        <v>-69</v>
      </c>
      <c r="D14" s="707">
        <v>0</v>
      </c>
      <c r="E14" s="707">
        <f>SUM(B14:D14)</f>
        <v>1227</v>
      </c>
    </row>
    <row r="15" spans="1:8">
      <c r="A15" s="739" t="s">
        <v>895</v>
      </c>
      <c r="B15" s="709">
        <v>127</v>
      </c>
      <c r="C15" s="709">
        <v>0</v>
      </c>
      <c r="D15" s="709">
        <v>-20</v>
      </c>
      <c r="E15" s="709">
        <f>SUM(B15:D15)</f>
        <v>107</v>
      </c>
    </row>
    <row r="16" spans="1:8">
      <c r="A16" s="740" t="s">
        <v>893</v>
      </c>
      <c r="B16" s="711">
        <f>+B14+B15</f>
        <v>1423</v>
      </c>
      <c r="C16" s="711">
        <f>+C14+C15</f>
        <v>-69</v>
      </c>
      <c r="D16" s="711">
        <f>+D14+D15</f>
        <v>-20</v>
      </c>
      <c r="E16" s="712">
        <f>+E14+E15</f>
        <v>1334</v>
      </c>
    </row>
    <row r="18" spans="1:5">
      <c r="A18" s="748"/>
      <c r="B18" s="748"/>
      <c r="C18" s="748"/>
      <c r="D18" s="748"/>
      <c r="E18" s="748"/>
    </row>
    <row r="19" spans="1:5" ht="36.75" thickBot="1">
      <c r="A19" s="747" t="s">
        <v>928</v>
      </c>
      <c r="B19" s="303" t="s">
        <v>171</v>
      </c>
      <c r="C19" s="303" t="s">
        <v>54</v>
      </c>
      <c r="D19" s="303" t="s">
        <v>55</v>
      </c>
      <c r="E19" s="303" t="s">
        <v>170</v>
      </c>
    </row>
    <row r="20" spans="1:5">
      <c r="A20" s="749" t="s">
        <v>24</v>
      </c>
      <c r="B20" s="180">
        <v>590</v>
      </c>
      <c r="C20" s="180">
        <v>152</v>
      </c>
      <c r="D20" s="84">
        <v>201</v>
      </c>
      <c r="E20" s="84">
        <v>639</v>
      </c>
    </row>
    <row r="21" spans="1:5">
      <c r="A21" s="749" t="s">
        <v>56</v>
      </c>
      <c r="B21" s="84">
        <v>676</v>
      </c>
      <c r="C21" s="84"/>
      <c r="D21" s="84">
        <v>2</v>
      </c>
      <c r="E21" s="84">
        <v>678</v>
      </c>
    </row>
    <row r="22" spans="1:5">
      <c r="A22" s="749" t="s">
        <v>57</v>
      </c>
      <c r="B22" s="73">
        <v>4.5</v>
      </c>
      <c r="C22" s="73"/>
      <c r="D22" s="73">
        <v>8</v>
      </c>
      <c r="E22" s="84">
        <v>13</v>
      </c>
    </row>
    <row r="23" spans="1:5">
      <c r="A23" s="74" t="s">
        <v>5</v>
      </c>
      <c r="B23" s="86">
        <f>SUM(B20:B22)</f>
        <v>1270.5</v>
      </c>
      <c r="C23" s="86">
        <f>SUM(C20:C22)</f>
        <v>152</v>
      </c>
      <c r="D23" s="86">
        <f>SUM(D20:D22)</f>
        <v>211</v>
      </c>
      <c r="E23" s="86">
        <f>+B23-C23+D23</f>
        <v>1329.5</v>
      </c>
    </row>
    <row r="26" spans="1:5">
      <c r="A26" s="308" t="s">
        <v>947</v>
      </c>
    </row>
  </sheetData>
  <mergeCells count="1">
    <mergeCell ref="B5:E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48F2-74DC-4F7B-B014-4A6578BF9A95}">
  <sheetPr>
    <tabColor rgb="FF92D050"/>
  </sheetPr>
  <dimension ref="A1:J161"/>
  <sheetViews>
    <sheetView workbookViewId="0"/>
  </sheetViews>
  <sheetFormatPr baseColWidth="10" defaultColWidth="10" defaultRowHeight="12.75"/>
  <cols>
    <col min="1" max="1" width="24.75" style="250" customWidth="1"/>
    <col min="2" max="2" width="13.125" style="250" bestFit="1" customWidth="1"/>
    <col min="3" max="3" width="14.875" style="250" bestFit="1" customWidth="1"/>
    <col min="4" max="4" width="14.25" style="250" bestFit="1" customWidth="1"/>
    <col min="5" max="5" width="11.75" style="250" customWidth="1"/>
    <col min="6" max="6" width="13.875" style="250" bestFit="1" customWidth="1"/>
    <col min="7" max="7" width="15.375" style="250" customWidth="1"/>
    <col min="8" max="8" width="10.875" style="250" bestFit="1" customWidth="1"/>
    <col min="9" max="9" width="13.5" style="250" customWidth="1"/>
    <col min="10" max="16384" width="10" style="250"/>
  </cols>
  <sheetData>
    <row r="1" spans="1:10" ht="21">
      <c r="A1" s="825" t="s">
        <v>943</v>
      </c>
    </row>
    <row r="3" spans="1:10">
      <c r="A3" s="810">
        <v>2018</v>
      </c>
      <c r="B3" s="751"/>
    </row>
    <row r="4" spans="1:10" ht="38.25">
      <c r="A4" s="752" t="s">
        <v>158</v>
      </c>
      <c r="B4" s="752" t="s">
        <v>930</v>
      </c>
      <c r="C4" s="816" t="s">
        <v>931</v>
      </c>
      <c r="D4" s="816" t="s">
        <v>932</v>
      </c>
      <c r="E4" s="753" t="s">
        <v>59</v>
      </c>
      <c r="F4" s="753" t="s">
        <v>933</v>
      </c>
      <c r="G4" s="753" t="s">
        <v>934</v>
      </c>
      <c r="H4" s="753" t="s">
        <v>935</v>
      </c>
      <c r="I4" s="753" t="s">
        <v>936</v>
      </c>
      <c r="J4" s="753" t="s">
        <v>731</v>
      </c>
    </row>
    <row r="5" spans="1:10">
      <c r="A5" s="754" t="s">
        <v>937</v>
      </c>
      <c r="B5" s="755" t="s">
        <v>67</v>
      </c>
      <c r="C5" s="756">
        <v>0</v>
      </c>
      <c r="D5" s="757">
        <v>0</v>
      </c>
      <c r="E5" s="757">
        <v>0</v>
      </c>
      <c r="F5" s="758">
        <v>0</v>
      </c>
      <c r="G5" s="759"/>
      <c r="H5" s="757">
        <v>0</v>
      </c>
      <c r="I5" s="760">
        <v>0</v>
      </c>
      <c r="J5" s="757">
        <v>0</v>
      </c>
    </row>
    <row r="6" spans="1:10">
      <c r="A6" s="754" t="s">
        <v>937</v>
      </c>
      <c r="B6" s="755" t="s">
        <v>68</v>
      </c>
      <c r="C6" s="756">
        <v>322429887</v>
      </c>
      <c r="D6" s="757">
        <v>35334970</v>
      </c>
      <c r="E6" s="757">
        <v>350535.75199999998</v>
      </c>
      <c r="F6" s="758">
        <v>0.219884275884076</v>
      </c>
      <c r="G6" s="762">
        <v>15.302208032691601</v>
      </c>
      <c r="H6" s="757">
        <v>57226.616999999998</v>
      </c>
      <c r="I6" s="764">
        <f t="shared" ref="I6:I16" si="0">+H6/E6</f>
        <v>0.16325472273082148</v>
      </c>
      <c r="J6" s="757">
        <v>119.057</v>
      </c>
    </row>
    <row r="7" spans="1:10">
      <c r="A7" s="754" t="s">
        <v>937</v>
      </c>
      <c r="B7" s="755" t="s">
        <v>69</v>
      </c>
      <c r="C7" s="756">
        <v>2788456378</v>
      </c>
      <c r="D7" s="757">
        <v>1174536087</v>
      </c>
      <c r="E7" s="757">
        <v>3594059.719</v>
      </c>
      <c r="F7" s="758">
        <v>0.335891274599046</v>
      </c>
      <c r="G7" s="762">
        <v>27.939528820055202</v>
      </c>
      <c r="H7" s="757">
        <v>1188380.047</v>
      </c>
      <c r="I7" s="764">
        <f t="shared" si="0"/>
        <v>0.33065116884887241</v>
      </c>
      <c r="J7" s="757">
        <v>3336.3789999999999</v>
      </c>
    </row>
    <row r="8" spans="1:10">
      <c r="A8" s="754" t="s">
        <v>937</v>
      </c>
      <c r="B8" s="755" t="s">
        <v>70</v>
      </c>
      <c r="C8" s="756">
        <v>2014659420</v>
      </c>
      <c r="D8" s="757">
        <v>1044755093</v>
      </c>
      <c r="E8" s="757">
        <v>2514023.378</v>
      </c>
      <c r="F8" s="758">
        <v>0.63028860983010304</v>
      </c>
      <c r="G8" s="762">
        <v>29.304382029497599</v>
      </c>
      <c r="H8" s="757">
        <v>1123312.7960000001</v>
      </c>
      <c r="I8" s="764">
        <f t="shared" si="0"/>
        <v>0.44681875508000946</v>
      </c>
      <c r="J8" s="757">
        <v>4627.53</v>
      </c>
    </row>
    <row r="9" spans="1:10">
      <c r="A9" s="754" t="s">
        <v>937</v>
      </c>
      <c r="B9" s="755" t="s">
        <v>71</v>
      </c>
      <c r="C9" s="756">
        <v>3046330985</v>
      </c>
      <c r="D9" s="757">
        <v>861997772</v>
      </c>
      <c r="E9" s="757">
        <v>3550014.6320000002</v>
      </c>
      <c r="F9" s="758">
        <v>0.97362547997520499</v>
      </c>
      <c r="G9" s="762">
        <v>30.137962569389199</v>
      </c>
      <c r="H9" s="757">
        <v>1919829.76</v>
      </c>
      <c r="I9" s="764">
        <f t="shared" si="0"/>
        <v>0.54079488650400576</v>
      </c>
      <c r="J9" s="757">
        <v>10520.214</v>
      </c>
    </row>
    <row r="10" spans="1:10">
      <c r="A10" s="754" t="s">
        <v>937</v>
      </c>
      <c r="B10" s="755" t="s">
        <v>72</v>
      </c>
      <c r="C10" s="756">
        <v>3355493542</v>
      </c>
      <c r="D10" s="757">
        <v>2025969319</v>
      </c>
      <c r="E10" s="757">
        <v>4777921.3609999996</v>
      </c>
      <c r="F10" s="758">
        <v>1.83388840836135</v>
      </c>
      <c r="G10" s="762">
        <v>35.023371327521502</v>
      </c>
      <c r="H10" s="757">
        <v>3508765.7570000002</v>
      </c>
      <c r="I10" s="764">
        <f t="shared" si="0"/>
        <v>0.73437076332826667</v>
      </c>
      <c r="J10" s="757">
        <v>30958.713</v>
      </c>
    </row>
    <row r="11" spans="1:10">
      <c r="A11" s="754" t="s">
        <v>937</v>
      </c>
      <c r="B11" s="755" t="s">
        <v>73</v>
      </c>
      <c r="C11" s="756">
        <v>7665896218</v>
      </c>
      <c r="D11" s="757">
        <v>1818036181</v>
      </c>
      <c r="E11" s="757">
        <v>8764315.7019999996</v>
      </c>
      <c r="F11" s="758">
        <v>3.5950181019620202</v>
      </c>
      <c r="G11" s="762">
        <v>41.504784921998002</v>
      </c>
      <c r="H11" s="757">
        <v>9627384.7919999994</v>
      </c>
      <c r="I11" s="764">
        <f t="shared" si="0"/>
        <v>1.0984753538491372</v>
      </c>
      <c r="J11" s="757">
        <v>131595.046</v>
      </c>
    </row>
    <row r="12" spans="1:10">
      <c r="A12" s="754" t="s">
        <v>937</v>
      </c>
      <c r="B12" s="755" t="s">
        <v>74</v>
      </c>
      <c r="C12" s="756">
        <v>1584363773</v>
      </c>
      <c r="D12" s="757">
        <v>316241492</v>
      </c>
      <c r="E12" s="757">
        <v>1790798.534</v>
      </c>
      <c r="F12" s="758">
        <v>7.00848217245637</v>
      </c>
      <c r="G12" s="762">
        <v>39.207907459678502</v>
      </c>
      <c r="H12" s="757">
        <v>2148298.8369999998</v>
      </c>
      <c r="I12" s="764">
        <f t="shared" si="0"/>
        <v>1.1996317822538489</v>
      </c>
      <c r="J12" s="757">
        <v>50342.080000000002</v>
      </c>
    </row>
    <row r="13" spans="1:10">
      <c r="A13" s="754" t="s">
        <v>937</v>
      </c>
      <c r="B13" s="755" t="s">
        <v>938</v>
      </c>
      <c r="C13" s="756">
        <v>652310178</v>
      </c>
      <c r="D13" s="757">
        <v>138058692</v>
      </c>
      <c r="E13" s="757">
        <v>752056.80599999998</v>
      </c>
      <c r="F13" s="758">
        <v>15.003749065200299</v>
      </c>
      <c r="G13" s="762">
        <v>47.898370060093598</v>
      </c>
      <c r="H13" s="757">
        <v>1511540.4639999999</v>
      </c>
      <c r="I13" s="764">
        <f t="shared" si="0"/>
        <v>2.0098753869930404</v>
      </c>
      <c r="J13" s="757">
        <v>53561.98</v>
      </c>
    </row>
    <row r="14" spans="1:10">
      <c r="A14" s="754" t="s">
        <v>937</v>
      </c>
      <c r="B14" s="755" t="s">
        <v>76</v>
      </c>
      <c r="C14" s="756">
        <v>3608214</v>
      </c>
      <c r="D14" s="757">
        <v>3731894</v>
      </c>
      <c r="E14" s="757">
        <v>5493.9589999999998</v>
      </c>
      <c r="F14" s="758">
        <v>100</v>
      </c>
      <c r="G14" s="762">
        <v>88.654920795732195</v>
      </c>
      <c r="H14" s="757">
        <v>1366.575</v>
      </c>
      <c r="I14" s="764">
        <f t="shared" si="0"/>
        <v>0.24874139031616363</v>
      </c>
      <c r="J14" s="757">
        <v>4870.6689999999999</v>
      </c>
    </row>
    <row r="15" spans="1:10">
      <c r="A15" s="754" t="s">
        <v>937</v>
      </c>
      <c r="B15" s="754" t="s">
        <v>77</v>
      </c>
      <c r="C15" s="765">
        <v>1256531201</v>
      </c>
      <c r="D15" s="766">
        <v>131612132</v>
      </c>
      <c r="E15" s="766">
        <v>1374933.075</v>
      </c>
      <c r="F15" s="768">
        <v>100</v>
      </c>
      <c r="G15" s="809">
        <v>3.1591646742515099E-2</v>
      </c>
      <c r="H15" s="766">
        <v>2612139.5040000002</v>
      </c>
      <c r="I15" s="769">
        <f t="shared" si="0"/>
        <v>1.8998302910125282</v>
      </c>
      <c r="J15" s="766">
        <v>280424.77799999999</v>
      </c>
    </row>
    <row r="16" spans="1:10" s="750" customFormat="1">
      <c r="A16" s="770" t="s">
        <v>937</v>
      </c>
      <c r="B16" s="770" t="s">
        <v>939</v>
      </c>
      <c r="C16" s="771">
        <f>SUM(C5:C15)</f>
        <v>22690079796</v>
      </c>
      <c r="D16" s="772">
        <f>SUM(D5:D15)</f>
        <v>7550273632</v>
      </c>
      <c r="E16" s="774">
        <f>SUM(E5:E15)</f>
        <v>27474152.918000001</v>
      </c>
      <c r="F16" s="773">
        <v>7.59</v>
      </c>
      <c r="G16" s="773">
        <v>33.64</v>
      </c>
      <c r="H16" s="774">
        <f>SUM(H5:H15)</f>
        <v>23698245.149000004</v>
      </c>
      <c r="I16" s="775">
        <f t="shared" si="0"/>
        <v>0.86256508871193738</v>
      </c>
      <c r="J16" s="772">
        <f>SUM(J5:J15)</f>
        <v>570356.446</v>
      </c>
    </row>
    <row r="17" spans="1:10">
      <c r="A17" s="776" t="s">
        <v>104</v>
      </c>
      <c r="B17" s="777" t="s">
        <v>67</v>
      </c>
      <c r="C17" s="778">
        <v>0</v>
      </c>
      <c r="D17" s="779">
        <v>0</v>
      </c>
      <c r="E17" s="780">
        <v>0</v>
      </c>
      <c r="F17" s="781">
        <v>0</v>
      </c>
      <c r="G17" s="781">
        <v>0</v>
      </c>
      <c r="H17" s="780">
        <v>0</v>
      </c>
      <c r="I17" s="782"/>
      <c r="J17" s="780">
        <v>0</v>
      </c>
    </row>
    <row r="18" spans="1:10">
      <c r="A18" s="783" t="s">
        <v>104</v>
      </c>
      <c r="B18" s="755" t="s">
        <v>68</v>
      </c>
      <c r="C18" s="756">
        <v>856326758</v>
      </c>
      <c r="D18" s="784">
        <v>441004433</v>
      </c>
      <c r="E18" s="757">
        <v>1129106.666</v>
      </c>
      <c r="F18" s="761">
        <v>0.17049354662121899</v>
      </c>
      <c r="G18" s="761">
        <v>22.191504270155502</v>
      </c>
      <c r="H18" s="757">
        <v>232473.94500000001</v>
      </c>
      <c r="I18" s="764">
        <f t="shared" ref="I18:I28" si="1">+H18/E18</f>
        <v>0.20589192500613579</v>
      </c>
      <c r="J18" s="757">
        <v>442.68900000000002</v>
      </c>
    </row>
    <row r="19" spans="1:10">
      <c r="A19" s="783" t="s">
        <v>104</v>
      </c>
      <c r="B19" s="755" t="s">
        <v>69</v>
      </c>
      <c r="C19" s="756">
        <v>7414267231</v>
      </c>
      <c r="D19" s="784">
        <v>390335760</v>
      </c>
      <c r="E19" s="757">
        <v>7596884.5559999999</v>
      </c>
      <c r="F19" s="761">
        <v>0.39338292927456697</v>
      </c>
      <c r="G19" s="761">
        <v>27.121621775504</v>
      </c>
      <c r="H19" s="757">
        <v>2763357.8539999998</v>
      </c>
      <c r="I19" s="764">
        <f t="shared" si="1"/>
        <v>0.36374882803997682</v>
      </c>
      <c r="J19" s="757">
        <v>8195.1280000000006</v>
      </c>
    </row>
    <row r="20" spans="1:10">
      <c r="A20" s="783" t="s">
        <v>104</v>
      </c>
      <c r="B20" s="755" t="s">
        <v>70</v>
      </c>
      <c r="C20" s="756">
        <v>4864811918</v>
      </c>
      <c r="D20" s="784">
        <v>238093783</v>
      </c>
      <c r="E20" s="757">
        <v>5018347.5149999997</v>
      </c>
      <c r="F20" s="761">
        <v>0.62024361419697305</v>
      </c>
      <c r="G20" s="761">
        <v>27.393739530611199</v>
      </c>
      <c r="H20" s="757">
        <v>2279109.4610000001</v>
      </c>
      <c r="I20" s="764">
        <f t="shared" si="1"/>
        <v>0.4541553677157012</v>
      </c>
      <c r="J20" s="757">
        <v>8506.7039999999997</v>
      </c>
    </row>
    <row r="21" spans="1:10">
      <c r="A21" s="783" t="s">
        <v>104</v>
      </c>
      <c r="B21" s="755" t="s">
        <v>71</v>
      </c>
      <c r="C21" s="756">
        <v>5937520928</v>
      </c>
      <c r="D21" s="784">
        <v>1365189606</v>
      </c>
      <c r="E21" s="757">
        <v>6526572.659</v>
      </c>
      <c r="F21" s="761">
        <v>0.993296778985572</v>
      </c>
      <c r="G21" s="761">
        <v>25.6746221723171</v>
      </c>
      <c r="H21" s="757">
        <v>3055563.6749999998</v>
      </c>
      <c r="I21" s="764">
        <f t="shared" si="1"/>
        <v>0.46817278143474655</v>
      </c>
      <c r="J21" s="757">
        <v>16592.501</v>
      </c>
    </row>
    <row r="22" spans="1:10">
      <c r="A22" s="783" t="s">
        <v>104</v>
      </c>
      <c r="B22" s="755" t="s">
        <v>72</v>
      </c>
      <c r="C22" s="756">
        <v>10045668550</v>
      </c>
      <c r="D22" s="784">
        <v>1379091124</v>
      </c>
      <c r="E22" s="757">
        <v>11118504.005000001</v>
      </c>
      <c r="F22" s="761">
        <v>1.7893756831902099</v>
      </c>
      <c r="G22" s="761">
        <v>29.284745497557601</v>
      </c>
      <c r="H22" s="757">
        <v>7068046.949</v>
      </c>
      <c r="I22" s="764">
        <f t="shared" si="1"/>
        <v>0.63570125493694951</v>
      </c>
      <c r="J22" s="757">
        <v>58593.593000000001</v>
      </c>
    </row>
    <row r="23" spans="1:10">
      <c r="A23" s="783" t="s">
        <v>104</v>
      </c>
      <c r="B23" s="755" t="s">
        <v>73</v>
      </c>
      <c r="C23" s="756">
        <v>5604055111</v>
      </c>
      <c r="D23" s="784">
        <v>794821141</v>
      </c>
      <c r="E23" s="757">
        <v>6311199.8140000002</v>
      </c>
      <c r="F23" s="761">
        <v>3.8038369418674201</v>
      </c>
      <c r="G23" s="761">
        <v>30.753065188881699</v>
      </c>
      <c r="H23" s="757">
        <v>4898314.966</v>
      </c>
      <c r="I23" s="764">
        <f t="shared" si="1"/>
        <v>0.77613054733811027</v>
      </c>
      <c r="J23" s="757">
        <v>73068.726999999999</v>
      </c>
    </row>
    <row r="24" spans="1:10">
      <c r="A24" s="783" t="s">
        <v>104</v>
      </c>
      <c r="B24" s="755" t="s">
        <v>74</v>
      </c>
      <c r="C24" s="756">
        <v>2051089349</v>
      </c>
      <c r="D24" s="784">
        <v>488816077</v>
      </c>
      <c r="E24" s="757">
        <v>2425754.38</v>
      </c>
      <c r="F24" s="761">
        <v>6.5911776690268198</v>
      </c>
      <c r="G24" s="761">
        <v>39.710017837832403</v>
      </c>
      <c r="H24" s="757">
        <v>2991778.6490000002</v>
      </c>
      <c r="I24" s="764">
        <f t="shared" si="1"/>
        <v>1.2333394813864049</v>
      </c>
      <c r="J24" s="757">
        <v>62476.309000000001</v>
      </c>
    </row>
    <row r="25" spans="1:10">
      <c r="A25" s="783" t="s">
        <v>104</v>
      </c>
      <c r="B25" s="755" t="s">
        <v>938</v>
      </c>
      <c r="C25" s="756">
        <v>627077160</v>
      </c>
      <c r="D25" s="784">
        <v>15140246</v>
      </c>
      <c r="E25" s="757">
        <v>638322.68099999998</v>
      </c>
      <c r="F25" s="761">
        <v>16.0891074462698</v>
      </c>
      <c r="G25" s="761">
        <v>36.629710640032897</v>
      </c>
      <c r="H25" s="757">
        <v>939377.576</v>
      </c>
      <c r="I25" s="764">
        <f t="shared" si="1"/>
        <v>1.4716343378686869</v>
      </c>
      <c r="J25" s="757">
        <v>38703.980000000003</v>
      </c>
    </row>
    <row r="26" spans="1:10">
      <c r="A26" s="783" t="s">
        <v>104</v>
      </c>
      <c r="B26" s="755" t="s">
        <v>76</v>
      </c>
      <c r="C26" s="756">
        <v>41140562</v>
      </c>
      <c r="D26" s="784">
        <v>0</v>
      </c>
      <c r="E26" s="757">
        <v>41140.561999999998</v>
      </c>
      <c r="F26" s="761">
        <v>100</v>
      </c>
      <c r="G26" s="761">
        <v>19.349847481422401</v>
      </c>
      <c r="H26" s="757">
        <v>0.74099999999999999</v>
      </c>
      <c r="I26" s="764">
        <f t="shared" si="1"/>
        <v>1.8011421428807901E-5</v>
      </c>
      <c r="J26" s="757">
        <v>7960.6369999999997</v>
      </c>
    </row>
    <row r="27" spans="1:10">
      <c r="A27" s="783" t="s">
        <v>104</v>
      </c>
      <c r="B27" s="754" t="s">
        <v>77</v>
      </c>
      <c r="C27" s="765">
        <v>138408098</v>
      </c>
      <c r="D27" s="785">
        <v>5884689</v>
      </c>
      <c r="E27" s="766">
        <v>142025.587</v>
      </c>
      <c r="F27" s="767">
        <v>100</v>
      </c>
      <c r="G27" s="767">
        <v>14.2931146625009</v>
      </c>
      <c r="H27" s="766">
        <v>249261.44699999999</v>
      </c>
      <c r="I27" s="769">
        <f t="shared" si="1"/>
        <v>1.7550460608200125</v>
      </c>
      <c r="J27" s="766">
        <v>43703.868999999999</v>
      </c>
    </row>
    <row r="28" spans="1:10" s="750" customFormat="1">
      <c r="A28" s="786" t="s">
        <v>104</v>
      </c>
      <c r="B28" s="770" t="s">
        <v>939</v>
      </c>
      <c r="C28" s="787">
        <f>SUM(C17:C27)</f>
        <v>37580365665</v>
      </c>
      <c r="D28" s="788">
        <f>SUM(D17:D27)</f>
        <v>5118376859</v>
      </c>
      <c r="E28" s="772">
        <f>SUM(E17:E27)</f>
        <v>40947858.425000004</v>
      </c>
      <c r="F28" s="773">
        <v>2.4700000000000002</v>
      </c>
      <c r="G28" s="817">
        <v>28.78</v>
      </c>
      <c r="H28" s="774">
        <f>SUM(H17:H27)</f>
        <v>24477285.263000004</v>
      </c>
      <c r="I28" s="789">
        <f t="shared" si="1"/>
        <v>0.59776716547539444</v>
      </c>
      <c r="J28" s="772">
        <f>SUM(J17:J27)</f>
        <v>318244.13699999999</v>
      </c>
    </row>
    <row r="29" spans="1:10">
      <c r="A29" s="776" t="s">
        <v>940</v>
      </c>
      <c r="B29" s="777" t="s">
        <v>67</v>
      </c>
      <c r="C29" s="778">
        <v>0</v>
      </c>
      <c r="D29" s="779">
        <v>0</v>
      </c>
      <c r="E29" s="780">
        <v>0</v>
      </c>
      <c r="F29" s="782"/>
      <c r="G29" s="782"/>
      <c r="H29" s="790">
        <v>0</v>
      </c>
      <c r="I29" s="782"/>
      <c r="J29" s="780">
        <v>0</v>
      </c>
    </row>
    <row r="30" spans="1:10">
      <c r="A30" s="783" t="s">
        <v>940</v>
      </c>
      <c r="B30" s="755" t="s">
        <v>68</v>
      </c>
      <c r="C30" s="756">
        <v>256148951</v>
      </c>
      <c r="D30" s="784">
        <v>11140625</v>
      </c>
      <c r="E30" s="757">
        <v>267289.576</v>
      </c>
      <c r="F30" s="763">
        <v>0.23342212193115999</v>
      </c>
      <c r="G30" s="763">
        <v>20.408508186641701</v>
      </c>
      <c r="H30" s="791">
        <v>62775.788</v>
      </c>
      <c r="I30" s="764">
        <f t="shared" ref="I30:I37" si="2">+H30/E30</f>
        <v>0.23486059179502008</v>
      </c>
      <c r="J30" s="757">
        <v>124.43600000000001</v>
      </c>
    </row>
    <row r="31" spans="1:10">
      <c r="A31" s="783" t="s">
        <v>940</v>
      </c>
      <c r="B31" s="755" t="s">
        <v>69</v>
      </c>
      <c r="C31" s="756">
        <v>511608319</v>
      </c>
      <c r="D31" s="784">
        <v>44293833</v>
      </c>
      <c r="E31" s="757">
        <v>546425.652</v>
      </c>
      <c r="F31" s="763">
        <v>0.31888327233949099</v>
      </c>
      <c r="G31" s="763">
        <v>27.9663460967971</v>
      </c>
      <c r="H31" s="791">
        <v>188354.29199999999</v>
      </c>
      <c r="I31" s="764">
        <f t="shared" si="2"/>
        <v>0.34470250675566744</v>
      </c>
      <c r="J31" s="757">
        <v>499.45800000000003</v>
      </c>
    </row>
    <row r="32" spans="1:10">
      <c r="A32" s="783" t="s">
        <v>940</v>
      </c>
      <c r="B32" s="755" t="s">
        <v>70</v>
      </c>
      <c r="C32" s="756">
        <v>51635598</v>
      </c>
      <c r="D32" s="784">
        <v>121105033</v>
      </c>
      <c r="E32" s="757">
        <v>123888.11500000001</v>
      </c>
      <c r="F32" s="763">
        <v>0.59750525706198698</v>
      </c>
      <c r="G32" s="763">
        <v>33.9662856279636</v>
      </c>
      <c r="H32" s="791">
        <v>61415.004000000001</v>
      </c>
      <c r="I32" s="764">
        <f t="shared" si="2"/>
        <v>0.49572958632876124</v>
      </c>
      <c r="J32" s="757">
        <v>268.363</v>
      </c>
    </row>
    <row r="33" spans="1:10">
      <c r="A33" s="783" t="s">
        <v>940</v>
      </c>
      <c r="B33" s="755" t="s">
        <v>71</v>
      </c>
      <c r="C33" s="756">
        <v>2277368301</v>
      </c>
      <c r="D33" s="784">
        <v>1631747202</v>
      </c>
      <c r="E33" s="757">
        <v>2782693.6519999998</v>
      </c>
      <c r="F33" s="763">
        <v>0.92370530911751203</v>
      </c>
      <c r="G33" s="763">
        <v>35.417121546658798</v>
      </c>
      <c r="H33" s="791">
        <v>2091312.7579999999</v>
      </c>
      <c r="I33" s="764">
        <f t="shared" si="2"/>
        <v>0.7515425769189199</v>
      </c>
      <c r="J33" s="757">
        <v>8484.93</v>
      </c>
    </row>
    <row r="34" spans="1:10">
      <c r="A34" s="783" t="s">
        <v>940</v>
      </c>
      <c r="B34" s="755" t="s">
        <v>72</v>
      </c>
      <c r="C34" s="756">
        <v>1566947299</v>
      </c>
      <c r="D34" s="784">
        <v>516159315</v>
      </c>
      <c r="E34" s="757">
        <v>1898235.838</v>
      </c>
      <c r="F34" s="763">
        <v>1.77729001447712</v>
      </c>
      <c r="G34" s="763">
        <v>32.490605574585103</v>
      </c>
      <c r="H34" s="791">
        <v>1566985.203</v>
      </c>
      <c r="I34" s="764">
        <f t="shared" si="2"/>
        <v>0.82549553202566817</v>
      </c>
      <c r="J34" s="757">
        <v>11187.859</v>
      </c>
    </row>
    <row r="35" spans="1:10">
      <c r="A35" s="783" t="s">
        <v>940</v>
      </c>
      <c r="B35" s="755" t="s">
        <v>73</v>
      </c>
      <c r="C35" s="756">
        <v>1547215914</v>
      </c>
      <c r="D35" s="784">
        <v>881192151</v>
      </c>
      <c r="E35" s="757">
        <v>2041233.8259999999</v>
      </c>
      <c r="F35" s="763">
        <v>3.5702107750589498</v>
      </c>
      <c r="G35" s="763">
        <v>37.937212735568302</v>
      </c>
      <c r="H35" s="791">
        <v>2404644.2790000001</v>
      </c>
      <c r="I35" s="764">
        <f t="shared" si="2"/>
        <v>1.1780347005674205</v>
      </c>
      <c r="J35" s="757">
        <v>27833.445</v>
      </c>
    </row>
    <row r="36" spans="1:10">
      <c r="A36" s="783" t="s">
        <v>940</v>
      </c>
      <c r="B36" s="755" t="s">
        <v>74</v>
      </c>
      <c r="C36" s="756">
        <v>2754331</v>
      </c>
      <c r="D36" s="784">
        <v>613986</v>
      </c>
      <c r="E36" s="757">
        <v>3302.6610000000001</v>
      </c>
      <c r="F36" s="763">
        <v>6.0674407697308297</v>
      </c>
      <c r="G36" s="763">
        <v>21.155244210653201</v>
      </c>
      <c r="H36" s="791">
        <v>1872.289</v>
      </c>
      <c r="I36" s="764">
        <f t="shared" si="2"/>
        <v>0.56690317292631609</v>
      </c>
      <c r="J36" s="757">
        <v>41.720999999999997</v>
      </c>
    </row>
    <row r="37" spans="1:10">
      <c r="A37" s="783" t="s">
        <v>940</v>
      </c>
      <c r="B37" s="755" t="s">
        <v>938</v>
      </c>
      <c r="C37" s="756">
        <v>0</v>
      </c>
      <c r="D37" s="784">
        <v>109018863</v>
      </c>
      <c r="E37" s="757">
        <v>36809.432000000001</v>
      </c>
      <c r="F37" s="763">
        <v>10.2306631626372</v>
      </c>
      <c r="G37" s="763">
        <v>13.8571820396468</v>
      </c>
      <c r="H37" s="791">
        <v>25219.741000000002</v>
      </c>
      <c r="I37" s="764">
        <f t="shared" si="2"/>
        <v>0.68514344366954649</v>
      </c>
      <c r="J37" s="757">
        <v>521.64800000000002</v>
      </c>
    </row>
    <row r="38" spans="1:10">
      <c r="A38" s="783" t="s">
        <v>940</v>
      </c>
      <c r="B38" s="755" t="s">
        <v>76</v>
      </c>
      <c r="C38" s="756"/>
      <c r="D38" s="784"/>
      <c r="E38" s="757"/>
      <c r="F38" s="763"/>
      <c r="G38" s="763"/>
      <c r="H38" s="791"/>
      <c r="I38" s="764"/>
      <c r="J38" s="757"/>
    </row>
    <row r="39" spans="1:10">
      <c r="A39" s="792" t="s">
        <v>940</v>
      </c>
      <c r="B39" s="793" t="s">
        <v>77</v>
      </c>
      <c r="C39" s="794">
        <v>358222853</v>
      </c>
      <c r="D39" s="795">
        <v>700371293</v>
      </c>
      <c r="E39" s="796">
        <v>1058594.1459999999</v>
      </c>
      <c r="F39" s="797">
        <v>100</v>
      </c>
      <c r="G39" s="797">
        <v>0</v>
      </c>
      <c r="H39" s="798">
        <v>1620158.6</v>
      </c>
      <c r="I39" s="799">
        <f>+H39/E39</f>
        <v>1.530481352198976</v>
      </c>
      <c r="J39" s="796">
        <v>199999.99799999999</v>
      </c>
    </row>
    <row r="40" spans="1:10" s="750" customFormat="1">
      <c r="A40" s="800" t="s">
        <v>940</v>
      </c>
      <c r="B40" s="801" t="s">
        <v>939</v>
      </c>
      <c r="C40" s="818">
        <f>SUM(C29:C39)</f>
        <v>6571901566</v>
      </c>
      <c r="D40" s="802">
        <f>SUM(D29:D39)</f>
        <v>4015642301</v>
      </c>
      <c r="E40" s="802">
        <f>SUM(E29:E39)</f>
        <v>8758472.898</v>
      </c>
      <c r="F40" s="817">
        <v>13.68</v>
      </c>
      <c r="G40" s="817">
        <v>30.05</v>
      </c>
      <c r="H40" s="819">
        <f>SUM(H29:H39)</f>
        <v>8022737.9539999999</v>
      </c>
      <c r="I40" s="820">
        <f>+H40/E40</f>
        <v>0.91599734878805128</v>
      </c>
      <c r="J40" s="821">
        <f>SUM(J29:J39)</f>
        <v>248961.85800000001</v>
      </c>
    </row>
    <row r="41" spans="1:10">
      <c r="A41" s="776" t="s">
        <v>61</v>
      </c>
      <c r="B41" s="777" t="s">
        <v>67</v>
      </c>
      <c r="C41" s="778">
        <v>0</v>
      </c>
      <c r="D41" s="779">
        <v>0</v>
      </c>
      <c r="E41" s="780">
        <v>0</v>
      </c>
      <c r="F41" s="782"/>
      <c r="G41" s="782"/>
      <c r="H41" s="780">
        <v>0</v>
      </c>
      <c r="I41" s="782"/>
      <c r="J41" s="780">
        <v>0</v>
      </c>
    </row>
    <row r="42" spans="1:10">
      <c r="A42" s="783" t="s">
        <v>61</v>
      </c>
      <c r="B42" s="755" t="s">
        <v>68</v>
      </c>
      <c r="C42" s="756">
        <v>1315647365</v>
      </c>
      <c r="D42" s="784">
        <v>579275337</v>
      </c>
      <c r="E42" s="757">
        <v>1893363.202</v>
      </c>
      <c r="F42" s="758">
        <v>0.20636906832627899</v>
      </c>
      <c r="G42" s="758">
        <v>16.767881918516299</v>
      </c>
      <c r="H42" s="757">
        <v>138270.579</v>
      </c>
      <c r="I42" s="764">
        <f t="shared" ref="I42:I52" si="3">+H42/E42</f>
        <v>7.3029083302105918E-2</v>
      </c>
      <c r="J42" s="757">
        <v>655.83500000000004</v>
      </c>
    </row>
    <row r="43" spans="1:10">
      <c r="A43" s="783" t="s">
        <v>61</v>
      </c>
      <c r="B43" s="755" t="s">
        <v>69</v>
      </c>
      <c r="C43" s="756">
        <v>1365466367</v>
      </c>
      <c r="D43" s="784">
        <v>114137522</v>
      </c>
      <c r="E43" s="757">
        <v>1479001.389</v>
      </c>
      <c r="F43" s="758">
        <v>0.35655017224598401</v>
      </c>
      <c r="G43" s="758">
        <v>21.0272610501247</v>
      </c>
      <c r="H43" s="757">
        <v>201488.62299999999</v>
      </c>
      <c r="I43" s="764">
        <f t="shared" si="3"/>
        <v>0.13623288287527091</v>
      </c>
      <c r="J43" s="757">
        <v>1112.701</v>
      </c>
    </row>
    <row r="44" spans="1:10">
      <c r="A44" s="783" t="s">
        <v>61</v>
      </c>
      <c r="B44" s="755" t="s">
        <v>70</v>
      </c>
      <c r="C44" s="756">
        <v>885690724</v>
      </c>
      <c r="D44" s="784">
        <v>21179881</v>
      </c>
      <c r="E44" s="757">
        <v>906551.60499999998</v>
      </c>
      <c r="F44" s="758">
        <v>0.60765763025702202</v>
      </c>
      <c r="G44" s="758">
        <v>21.935762939827299</v>
      </c>
      <c r="H44" s="757">
        <v>187723.83</v>
      </c>
      <c r="I44" s="764">
        <f t="shared" si="3"/>
        <v>0.20707462097538284</v>
      </c>
      <c r="J44" s="757">
        <v>1205.9839999999999</v>
      </c>
    </row>
    <row r="45" spans="1:10">
      <c r="A45" s="783" t="s">
        <v>61</v>
      </c>
      <c r="B45" s="755" t="s">
        <v>71</v>
      </c>
      <c r="C45" s="756">
        <v>756928256</v>
      </c>
      <c r="D45" s="784">
        <v>10764039</v>
      </c>
      <c r="E45" s="757">
        <v>767226.29500000004</v>
      </c>
      <c r="F45" s="758">
        <v>0.97257980450213899</v>
      </c>
      <c r="G45" s="758">
        <v>22.741744793822502</v>
      </c>
      <c r="H45" s="757">
        <v>228320.99400000001</v>
      </c>
      <c r="I45" s="764">
        <f t="shared" si="3"/>
        <v>0.29759276433558629</v>
      </c>
      <c r="J45" s="757">
        <v>1713.644</v>
      </c>
    </row>
    <row r="46" spans="1:10">
      <c r="A46" s="783" t="s">
        <v>61</v>
      </c>
      <c r="B46" s="755" t="s">
        <v>72</v>
      </c>
      <c r="C46" s="756">
        <v>479077749</v>
      </c>
      <c r="D46" s="784">
        <v>3283630</v>
      </c>
      <c r="E46" s="757">
        <v>482311.37900000002</v>
      </c>
      <c r="F46" s="758">
        <v>1.68044760146536</v>
      </c>
      <c r="G46" s="758">
        <v>21.861840626405801</v>
      </c>
      <c r="H46" s="757">
        <v>195536.03400000001</v>
      </c>
      <c r="I46" s="764">
        <f t="shared" si="3"/>
        <v>0.40541451542241141</v>
      </c>
      <c r="J46" s="757">
        <v>1780.365</v>
      </c>
    </row>
    <row r="47" spans="1:10">
      <c r="A47" s="783" t="s">
        <v>61</v>
      </c>
      <c r="B47" s="755" t="s">
        <v>73</v>
      </c>
      <c r="C47" s="756">
        <v>105223052</v>
      </c>
      <c r="D47" s="784">
        <v>2203120</v>
      </c>
      <c r="E47" s="757">
        <v>107273.92200000001</v>
      </c>
      <c r="F47" s="758">
        <v>3.4575187807527001</v>
      </c>
      <c r="G47" s="758">
        <v>18.8428451418044</v>
      </c>
      <c r="H47" s="757">
        <v>57522.285000000003</v>
      </c>
      <c r="I47" s="764">
        <f t="shared" si="3"/>
        <v>0.53621871865559279</v>
      </c>
      <c r="J47" s="757">
        <v>700.62300000000005</v>
      </c>
    </row>
    <row r="48" spans="1:10">
      <c r="A48" s="783" t="s">
        <v>61</v>
      </c>
      <c r="B48" s="755" t="s">
        <v>74</v>
      </c>
      <c r="C48" s="756">
        <v>109884624</v>
      </c>
      <c r="D48" s="784">
        <v>437128</v>
      </c>
      <c r="E48" s="757">
        <v>110321.75199999999</v>
      </c>
      <c r="F48" s="758">
        <v>6.7039462897579796</v>
      </c>
      <c r="G48" s="758">
        <v>18.4850137260329</v>
      </c>
      <c r="H48" s="757">
        <v>81653.316000000006</v>
      </c>
      <c r="I48" s="764">
        <f t="shared" si="3"/>
        <v>0.74013795574965136</v>
      </c>
      <c r="J48" s="757">
        <v>1362.913</v>
      </c>
    </row>
    <row r="49" spans="1:10">
      <c r="A49" s="783" t="s">
        <v>61</v>
      </c>
      <c r="B49" s="755" t="s">
        <v>938</v>
      </c>
      <c r="C49" s="756">
        <v>181497827</v>
      </c>
      <c r="D49" s="784">
        <v>551620</v>
      </c>
      <c r="E49" s="757">
        <v>181973.44699999999</v>
      </c>
      <c r="F49" s="758">
        <v>23.316937552982701</v>
      </c>
      <c r="G49" s="758">
        <v>21.6551802747354</v>
      </c>
      <c r="H49" s="757">
        <v>225133.473</v>
      </c>
      <c r="I49" s="764">
        <f t="shared" si="3"/>
        <v>1.2371776031697637</v>
      </c>
      <c r="J49" s="757">
        <v>9128.3320000000003</v>
      </c>
    </row>
    <row r="50" spans="1:10">
      <c r="A50" s="783" t="s">
        <v>61</v>
      </c>
      <c r="B50" s="755" t="s">
        <v>76</v>
      </c>
      <c r="C50" s="756">
        <v>5385780</v>
      </c>
      <c r="D50" s="784">
        <v>0</v>
      </c>
      <c r="E50" s="757">
        <v>5385.78</v>
      </c>
      <c r="F50" s="758">
        <v>100</v>
      </c>
      <c r="G50" s="758">
        <v>24.332520080656799</v>
      </c>
      <c r="H50" s="757">
        <v>323.60700000000003</v>
      </c>
      <c r="I50" s="764">
        <f t="shared" si="3"/>
        <v>6.0085447233269841E-2</v>
      </c>
      <c r="J50" s="757">
        <v>1310.4960000000001</v>
      </c>
    </row>
    <row r="51" spans="1:10">
      <c r="A51" s="792" t="s">
        <v>61</v>
      </c>
      <c r="B51" s="793" t="s">
        <v>77</v>
      </c>
      <c r="C51" s="794">
        <v>13136329</v>
      </c>
      <c r="D51" s="795">
        <v>0</v>
      </c>
      <c r="E51" s="796">
        <v>13136.329</v>
      </c>
      <c r="F51" s="803">
        <v>100</v>
      </c>
      <c r="G51" s="803">
        <v>24.384909969900999</v>
      </c>
      <c r="H51" s="796">
        <v>18007.638999999999</v>
      </c>
      <c r="I51" s="799">
        <f t="shared" si="3"/>
        <v>1.3708273445343824</v>
      </c>
      <c r="J51" s="796">
        <v>3203.2849999999999</v>
      </c>
    </row>
    <row r="52" spans="1:10" s="750" customFormat="1">
      <c r="A52" s="800" t="s">
        <v>61</v>
      </c>
      <c r="B52" s="801" t="s">
        <v>939</v>
      </c>
      <c r="C52" s="818">
        <f>SUM(C41:C51)</f>
        <v>5217938073</v>
      </c>
      <c r="D52" s="802">
        <f>SUM(D41:D51)</f>
        <v>731832277</v>
      </c>
      <c r="E52" s="819">
        <f>SUM(E41:E51)</f>
        <v>5946545.1000000006</v>
      </c>
      <c r="F52" s="817">
        <v>1.72</v>
      </c>
      <c r="G52" s="817">
        <v>20.04</v>
      </c>
      <c r="H52" s="821">
        <f>SUM(H41:H51)</f>
        <v>1333980.3800000001</v>
      </c>
      <c r="I52" s="820">
        <f t="shared" si="3"/>
        <v>0.22432864084390783</v>
      </c>
      <c r="J52" s="819">
        <f>SUM(J41:J51)</f>
        <v>22174.178</v>
      </c>
    </row>
    <row r="53" spans="1:10">
      <c r="A53" s="776" t="s">
        <v>941</v>
      </c>
      <c r="B53" s="777" t="s">
        <v>67</v>
      </c>
      <c r="C53" s="778">
        <v>0</v>
      </c>
      <c r="D53" s="780">
        <v>0</v>
      </c>
      <c r="E53" s="780">
        <v>0</v>
      </c>
      <c r="F53" s="780">
        <v>0</v>
      </c>
      <c r="G53" s="782">
        <v>0</v>
      </c>
      <c r="H53" s="780">
        <v>0</v>
      </c>
      <c r="I53" s="782">
        <v>0</v>
      </c>
      <c r="J53" s="780">
        <v>0</v>
      </c>
    </row>
    <row r="54" spans="1:10">
      <c r="A54" s="783" t="s">
        <v>941</v>
      </c>
      <c r="B54" s="755" t="s">
        <v>68</v>
      </c>
      <c r="C54" s="756">
        <v>30353141213</v>
      </c>
      <c r="D54" s="757">
        <v>11798122380</v>
      </c>
      <c r="E54" s="757">
        <v>42146556.392999999</v>
      </c>
      <c r="F54" s="763">
        <v>0.206115048142885</v>
      </c>
      <c r="G54" s="763">
        <v>17.3759917244777</v>
      </c>
      <c r="H54" s="757">
        <v>3196266.534</v>
      </c>
      <c r="I54" s="764">
        <f t="shared" ref="I54:I64" si="4">+H54/E54</f>
        <v>7.5836955792925917E-2</v>
      </c>
      <c r="J54" s="757">
        <v>15172.786</v>
      </c>
    </row>
    <row r="55" spans="1:10">
      <c r="A55" s="783" t="s">
        <v>941</v>
      </c>
      <c r="B55" s="755" t="s">
        <v>69</v>
      </c>
      <c r="C55" s="756">
        <v>34976210273</v>
      </c>
      <c r="D55" s="757">
        <v>1278528512</v>
      </c>
      <c r="E55" s="757">
        <v>36253190.788999997</v>
      </c>
      <c r="F55" s="763">
        <v>0.36618300654595098</v>
      </c>
      <c r="G55" s="763">
        <v>21.686032511613998</v>
      </c>
      <c r="H55" s="757">
        <v>5206580.0959999999</v>
      </c>
      <c r="I55" s="764">
        <f t="shared" si="4"/>
        <v>0.14361715431624267</v>
      </c>
      <c r="J55" s="757">
        <v>28993.425999999999</v>
      </c>
    </row>
    <row r="56" spans="1:10">
      <c r="A56" s="783" t="s">
        <v>941</v>
      </c>
      <c r="B56" s="755" t="s">
        <v>70</v>
      </c>
      <c r="C56" s="756">
        <v>24369449356</v>
      </c>
      <c r="D56" s="757">
        <v>169201008</v>
      </c>
      <c r="E56" s="757">
        <v>24538037.864</v>
      </c>
      <c r="F56" s="763">
        <v>0.614722773825776</v>
      </c>
      <c r="G56" s="763">
        <v>24.019789775641001</v>
      </c>
      <c r="H56" s="757">
        <v>5622292.3559999997</v>
      </c>
      <c r="I56" s="764">
        <f t="shared" si="4"/>
        <v>0.22912558808332922</v>
      </c>
      <c r="J56" s="757">
        <v>36292.457000000002</v>
      </c>
    </row>
    <row r="57" spans="1:10">
      <c r="A57" s="783" t="s">
        <v>941</v>
      </c>
      <c r="B57" s="755" t="s">
        <v>71</v>
      </c>
      <c r="C57" s="756">
        <v>20440482853</v>
      </c>
      <c r="D57" s="757">
        <v>50525537</v>
      </c>
      <c r="E57" s="757">
        <v>20490475.140000001</v>
      </c>
      <c r="F57" s="763">
        <v>0.94220182636526195</v>
      </c>
      <c r="G57" s="763">
        <v>25.175644150533799</v>
      </c>
      <c r="H57" s="757">
        <v>6571073.5520000001</v>
      </c>
      <c r="I57" s="764">
        <f t="shared" si="4"/>
        <v>0.32068917421892446</v>
      </c>
      <c r="J57" s="757">
        <v>48657.563999999998</v>
      </c>
    </row>
    <row r="58" spans="1:10">
      <c r="A58" s="783" t="s">
        <v>941</v>
      </c>
      <c r="B58" s="755" t="s">
        <v>72</v>
      </c>
      <c r="C58" s="756">
        <v>6943075052</v>
      </c>
      <c r="D58" s="757">
        <v>24401754</v>
      </c>
      <c r="E58" s="757">
        <v>6967359.8059999999</v>
      </c>
      <c r="F58" s="763">
        <v>1.62286178909016</v>
      </c>
      <c r="G58" s="763">
        <v>24.739712143409299</v>
      </c>
      <c r="H58" s="757">
        <v>3109452.1430000002</v>
      </c>
      <c r="I58" s="764">
        <f t="shared" si="4"/>
        <v>0.44628844061164596</v>
      </c>
      <c r="J58" s="757">
        <v>27877.184000000001</v>
      </c>
    </row>
    <row r="59" spans="1:10">
      <c r="A59" s="783" t="s">
        <v>941</v>
      </c>
      <c r="B59" s="755" t="s">
        <v>73</v>
      </c>
      <c r="C59" s="756">
        <v>1576438934</v>
      </c>
      <c r="D59" s="757">
        <v>8739177</v>
      </c>
      <c r="E59" s="757">
        <v>1585007.611</v>
      </c>
      <c r="F59" s="763">
        <v>3.5002283657803801</v>
      </c>
      <c r="G59" s="763">
        <v>23.0805543431551</v>
      </c>
      <c r="H59" s="757">
        <v>1047288.222</v>
      </c>
      <c r="I59" s="764">
        <f t="shared" si="4"/>
        <v>0.66074649404317587</v>
      </c>
      <c r="J59" s="757">
        <v>12862.566000000001</v>
      </c>
    </row>
    <row r="60" spans="1:10">
      <c r="A60" s="783" t="s">
        <v>941</v>
      </c>
      <c r="B60" s="755" t="s">
        <v>74</v>
      </c>
      <c r="C60" s="756">
        <v>1256266124</v>
      </c>
      <c r="D60" s="757">
        <v>6192996</v>
      </c>
      <c r="E60" s="757">
        <v>1262249.78</v>
      </c>
      <c r="F60" s="763">
        <v>7.1689728478304797</v>
      </c>
      <c r="G60" s="763">
        <v>22.8026823660845</v>
      </c>
      <c r="H60" s="757">
        <v>1193095.73</v>
      </c>
      <c r="I60" s="764">
        <f t="shared" si="4"/>
        <v>0.94521365652367151</v>
      </c>
      <c r="J60" s="757">
        <v>20818.674999999999</v>
      </c>
    </row>
    <row r="61" spans="1:10">
      <c r="A61" s="783" t="s">
        <v>941</v>
      </c>
      <c r="B61" s="755" t="s">
        <v>938</v>
      </c>
      <c r="C61" s="756">
        <v>1631084312</v>
      </c>
      <c r="D61" s="757">
        <v>1930941</v>
      </c>
      <c r="E61" s="757">
        <v>1632977.753</v>
      </c>
      <c r="F61" s="763">
        <v>23.434443016566899</v>
      </c>
      <c r="G61" s="763">
        <v>24.311752519019201</v>
      </c>
      <c r="H61" s="757">
        <v>2285925.1349999998</v>
      </c>
      <c r="I61" s="764">
        <f t="shared" si="4"/>
        <v>1.399850751671569</v>
      </c>
      <c r="J61" s="757">
        <v>93692.186000000002</v>
      </c>
    </row>
    <row r="62" spans="1:10">
      <c r="A62" s="783" t="s">
        <v>941</v>
      </c>
      <c r="B62" s="755" t="s">
        <v>76</v>
      </c>
      <c r="C62" s="756">
        <v>175734110</v>
      </c>
      <c r="D62" s="757">
        <v>78511</v>
      </c>
      <c r="E62" s="757">
        <v>175812.62100000001</v>
      </c>
      <c r="F62" s="763">
        <v>100</v>
      </c>
      <c r="G62" s="763">
        <v>23.951759413222099</v>
      </c>
      <c r="H62" s="757">
        <v>32661.46</v>
      </c>
      <c r="I62" s="764">
        <f t="shared" si="4"/>
        <v>0.18577426247459217</v>
      </c>
      <c r="J62" s="757">
        <v>42110.21</v>
      </c>
    </row>
    <row r="63" spans="1:10">
      <c r="A63" s="792" t="s">
        <v>941</v>
      </c>
      <c r="B63" s="793" t="s">
        <v>77</v>
      </c>
      <c r="C63" s="794">
        <v>158094192</v>
      </c>
      <c r="D63" s="796">
        <v>11850622</v>
      </c>
      <c r="E63" s="796">
        <v>169944.81400000001</v>
      </c>
      <c r="F63" s="797">
        <v>100</v>
      </c>
      <c r="G63" s="797">
        <v>22.7038349049004</v>
      </c>
      <c r="H63" s="796">
        <v>327539.78000000003</v>
      </c>
      <c r="I63" s="799">
        <f t="shared" si="4"/>
        <v>1.9273302449817622</v>
      </c>
      <c r="J63" s="796">
        <v>38583.982000000004</v>
      </c>
    </row>
    <row r="64" spans="1:10" s="750" customFormat="1">
      <c r="A64" s="783" t="s">
        <v>941</v>
      </c>
      <c r="B64" s="801" t="s">
        <v>939</v>
      </c>
      <c r="C64" s="818">
        <f>SUM(C53:C63)</f>
        <v>121879976419</v>
      </c>
      <c r="D64" s="821">
        <f>SUM(D53:D63)</f>
        <v>13349571438</v>
      </c>
      <c r="E64" s="819">
        <f>SUM(E53:E63)</f>
        <v>135221612.57100001</v>
      </c>
      <c r="F64" s="817">
        <v>1.1499999999999999</v>
      </c>
      <c r="G64" s="817">
        <v>21.51</v>
      </c>
      <c r="H64" s="821">
        <f>SUM(H53:H63)</f>
        <v>28592175.008000001</v>
      </c>
      <c r="I64" s="822">
        <f t="shared" si="4"/>
        <v>0.21144678327946487</v>
      </c>
      <c r="J64" s="819">
        <f>SUM(J53:J63)</f>
        <v>365061.03600000002</v>
      </c>
    </row>
    <row r="65" spans="1:10">
      <c r="A65" s="776" t="s">
        <v>132</v>
      </c>
      <c r="B65" s="777" t="s">
        <v>67</v>
      </c>
      <c r="C65" s="778">
        <v>0</v>
      </c>
      <c r="D65" s="779">
        <v>0</v>
      </c>
      <c r="E65" s="780">
        <v>0</v>
      </c>
      <c r="F65" s="782"/>
      <c r="G65" s="782"/>
      <c r="H65" s="780">
        <v>0</v>
      </c>
      <c r="I65" s="782"/>
      <c r="J65" s="780">
        <v>0</v>
      </c>
    </row>
    <row r="66" spans="1:10">
      <c r="A66" s="783" t="s">
        <v>132</v>
      </c>
      <c r="B66" s="755" t="s">
        <v>68</v>
      </c>
      <c r="C66" s="756">
        <v>516656290</v>
      </c>
      <c r="D66" s="784">
        <v>528664678</v>
      </c>
      <c r="E66" s="757">
        <v>1042490.9680000001</v>
      </c>
      <c r="F66" s="761">
        <v>0.20796924141040307</v>
      </c>
      <c r="G66" s="761">
        <v>49.975871114936425</v>
      </c>
      <c r="H66" s="757">
        <v>229620.63500000001</v>
      </c>
      <c r="I66" s="764">
        <f t="shared" ref="I66:I77" si="5">+H66/E66</f>
        <v>0.22026151021770771</v>
      </c>
      <c r="J66" s="757">
        <v>1084.0340000000001</v>
      </c>
    </row>
    <row r="67" spans="1:10">
      <c r="A67" s="783" t="s">
        <v>132</v>
      </c>
      <c r="B67" s="755" t="s">
        <v>69</v>
      </c>
      <c r="C67" s="756">
        <v>1118798549</v>
      </c>
      <c r="D67" s="784">
        <v>287034892</v>
      </c>
      <c r="E67" s="757">
        <v>1403250.4409999999</v>
      </c>
      <c r="F67" s="761">
        <v>0.37369052475292897</v>
      </c>
      <c r="G67" s="761">
        <v>50.34806232144625</v>
      </c>
      <c r="H67" s="757">
        <v>450754.29700000002</v>
      </c>
      <c r="I67" s="764">
        <f t="shared" si="5"/>
        <v>0.32122156090596238</v>
      </c>
      <c r="J67" s="757">
        <v>2642.252</v>
      </c>
    </row>
    <row r="68" spans="1:10">
      <c r="A68" s="783" t="s">
        <v>132</v>
      </c>
      <c r="B68" s="755" t="s">
        <v>70</v>
      </c>
      <c r="C68" s="756">
        <v>936379504</v>
      </c>
      <c r="D68" s="784">
        <v>65171295</v>
      </c>
      <c r="E68" s="757">
        <v>1000361.799</v>
      </c>
      <c r="F68" s="761">
        <v>0.61253021398533902</v>
      </c>
      <c r="G68" s="761">
        <v>50.400141298006822</v>
      </c>
      <c r="H68" s="757">
        <v>428411.32300000003</v>
      </c>
      <c r="I68" s="764">
        <f t="shared" si="5"/>
        <v>0.42825638026987478</v>
      </c>
      <c r="J68" s="757">
        <v>3090.7089999999998</v>
      </c>
    </row>
    <row r="69" spans="1:10">
      <c r="A69" s="783" t="s">
        <v>132</v>
      </c>
      <c r="B69" s="755" t="s">
        <v>71</v>
      </c>
      <c r="C69" s="756">
        <v>920017605</v>
      </c>
      <c r="D69" s="784">
        <v>51517547</v>
      </c>
      <c r="E69" s="757">
        <v>970053.14199999999</v>
      </c>
      <c r="F69" s="761">
        <v>0.94431016972819415</v>
      </c>
      <c r="G69" s="761">
        <v>50.73701206611144</v>
      </c>
      <c r="H69" s="757">
        <v>515001.92700000003</v>
      </c>
      <c r="I69" s="764">
        <f t="shared" si="5"/>
        <v>0.53090073595163922</v>
      </c>
      <c r="J69" s="757">
        <v>4644.683</v>
      </c>
    </row>
    <row r="70" spans="1:10">
      <c r="A70" s="783" t="s">
        <v>132</v>
      </c>
      <c r="B70" s="755" t="s">
        <v>72</v>
      </c>
      <c r="C70" s="756">
        <v>380459360</v>
      </c>
      <c r="D70" s="784">
        <v>15025412</v>
      </c>
      <c r="E70" s="757">
        <v>394662.772</v>
      </c>
      <c r="F70" s="761">
        <v>1.6767360560302882</v>
      </c>
      <c r="G70" s="761">
        <v>49.943227920705034</v>
      </c>
      <c r="H70" s="757">
        <v>254330.897</v>
      </c>
      <c r="I70" s="764">
        <f t="shared" si="5"/>
        <v>0.64442586188494111</v>
      </c>
      <c r="J70" s="757">
        <v>3308.2240000000002</v>
      </c>
    </row>
    <row r="71" spans="1:10">
      <c r="A71" s="783" t="s">
        <v>132</v>
      </c>
      <c r="B71" s="755" t="s">
        <v>73</v>
      </c>
      <c r="C71" s="756">
        <v>150303117</v>
      </c>
      <c r="D71" s="784">
        <v>3573801</v>
      </c>
      <c r="E71" s="757">
        <v>153625.91800000001</v>
      </c>
      <c r="F71" s="761">
        <v>3.5141371912697297</v>
      </c>
      <c r="G71" s="761">
        <v>50.105208373193634</v>
      </c>
      <c r="H71" s="757">
        <v>115573.00899999999</v>
      </c>
      <c r="I71" s="764">
        <f t="shared" si="5"/>
        <v>0.75230150292739006</v>
      </c>
      <c r="J71" s="757">
        <v>2698.86</v>
      </c>
    </row>
    <row r="72" spans="1:10">
      <c r="A72" s="783" t="s">
        <v>132</v>
      </c>
      <c r="B72" s="755" t="s">
        <v>74</v>
      </c>
      <c r="C72" s="756">
        <v>65261621</v>
      </c>
      <c r="D72" s="784">
        <v>1890399</v>
      </c>
      <c r="E72" s="757">
        <v>66739.520000000004</v>
      </c>
      <c r="F72" s="761">
        <v>7.1318199755679172</v>
      </c>
      <c r="G72" s="761">
        <v>49.536897958288812</v>
      </c>
      <c r="H72" s="757">
        <v>54319.673000000003</v>
      </c>
      <c r="I72" s="764">
        <f t="shared" si="5"/>
        <v>0.81390565889595845</v>
      </c>
      <c r="J72" s="757">
        <v>2360.6950000000002</v>
      </c>
    </row>
    <row r="73" spans="1:10">
      <c r="A73" s="783" t="s">
        <v>132</v>
      </c>
      <c r="B73" s="755" t="s">
        <v>938</v>
      </c>
      <c r="C73" s="756">
        <v>77425215</v>
      </c>
      <c r="D73" s="784">
        <v>2113814</v>
      </c>
      <c r="E73" s="757">
        <v>79269.52900000001</v>
      </c>
      <c r="F73" s="761">
        <v>23.126758282647298</v>
      </c>
      <c r="G73" s="761">
        <v>49.511638918152194</v>
      </c>
      <c r="H73" s="757">
        <v>93190.685999999987</v>
      </c>
      <c r="I73" s="764">
        <f t="shared" si="5"/>
        <v>1.1756180107995844</v>
      </c>
      <c r="J73" s="757">
        <v>9095.8220000000001</v>
      </c>
    </row>
    <row r="74" spans="1:10">
      <c r="A74" s="783" t="s">
        <v>132</v>
      </c>
      <c r="B74" s="755" t="s">
        <v>76</v>
      </c>
      <c r="C74" s="756">
        <v>10532468</v>
      </c>
      <c r="D74" s="784">
        <v>83898</v>
      </c>
      <c r="E74" s="757">
        <v>10616.366</v>
      </c>
      <c r="F74" s="761">
        <v>100</v>
      </c>
      <c r="G74" s="761">
        <v>51.304664891922521</v>
      </c>
      <c r="H74" s="757">
        <v>36.058</v>
      </c>
      <c r="I74" s="764">
        <f t="shared" si="5"/>
        <v>3.3964541162201829E-3</v>
      </c>
      <c r="J74" s="757">
        <v>5446.6989999999996</v>
      </c>
    </row>
    <row r="75" spans="1:10">
      <c r="A75" s="792" t="s">
        <v>132</v>
      </c>
      <c r="B75" s="793" t="s">
        <v>77</v>
      </c>
      <c r="C75" s="794">
        <v>37207760</v>
      </c>
      <c r="D75" s="795">
        <v>110353</v>
      </c>
      <c r="E75" s="796">
        <v>37279.613000000005</v>
      </c>
      <c r="F75" s="804">
        <v>100</v>
      </c>
      <c r="G75" s="804">
        <v>87.177900698214771</v>
      </c>
      <c r="H75" s="796">
        <v>12002.653</v>
      </c>
      <c r="I75" s="799">
        <f t="shared" si="5"/>
        <v>0.3219629184455321</v>
      </c>
      <c r="J75" s="796">
        <v>32496.179</v>
      </c>
    </row>
    <row r="76" spans="1:10" s="750" customFormat="1">
      <c r="A76" s="783" t="s">
        <v>132</v>
      </c>
      <c r="B76" s="801" t="s">
        <v>939</v>
      </c>
      <c r="C76" s="818">
        <f>SUM(C65:C75)</f>
        <v>4213041489</v>
      </c>
      <c r="D76" s="802">
        <f>SUM(D65:D75)</f>
        <v>955186089</v>
      </c>
      <c r="E76" s="819">
        <f>SUM(E65:E75)</f>
        <v>5158350.067999999</v>
      </c>
      <c r="F76" s="817">
        <v>2.0499999999999998</v>
      </c>
      <c r="G76" s="817">
        <v>50.56</v>
      </c>
      <c r="H76" s="821">
        <f>SUM(H65:H75)</f>
        <v>2153241.1579999998</v>
      </c>
      <c r="I76" s="822">
        <f t="shared" si="5"/>
        <v>0.41742827253189058</v>
      </c>
      <c r="J76" s="819">
        <f>SUM(J65:J75)</f>
        <v>66868.156999999992</v>
      </c>
    </row>
    <row r="77" spans="1:10">
      <c r="A77" s="801" t="s">
        <v>942</v>
      </c>
      <c r="B77" s="801"/>
      <c r="C77" s="805">
        <f>+C76+C64+C52+C40+C28+C16</f>
        <v>198153303008</v>
      </c>
      <c r="D77" s="806">
        <f>+D76+D64+D52+D40+D28+D16</f>
        <v>31720882596</v>
      </c>
      <c r="E77" s="807">
        <f>+E76+E64+E52+E40+E28+E16</f>
        <v>223506991.98000002</v>
      </c>
      <c r="F77" s="808">
        <v>2.71</v>
      </c>
      <c r="G77" s="808">
        <v>25.3</v>
      </c>
      <c r="H77" s="806">
        <f>+H76+H64+H52+H40+H28+H16</f>
        <v>88277664.912</v>
      </c>
      <c r="I77" s="764">
        <f t="shared" si="5"/>
        <v>0.39496601036937273</v>
      </c>
      <c r="J77" s="806">
        <f>+J76+J64+J52+J40+J28+J16</f>
        <v>1591665.8119999999</v>
      </c>
    </row>
    <row r="81" spans="1:7">
      <c r="A81" s="250" t="s">
        <v>959</v>
      </c>
    </row>
    <row r="84" spans="1:7" ht="48.75" thickBot="1">
      <c r="A84" s="486" t="s">
        <v>824</v>
      </c>
      <c r="B84" s="183" t="s">
        <v>136</v>
      </c>
      <c r="C84" s="303" t="s">
        <v>65</v>
      </c>
      <c r="D84" s="303" t="s">
        <v>66</v>
      </c>
      <c r="E84" s="303" t="s">
        <v>154</v>
      </c>
      <c r="F84" s="303" t="s">
        <v>155</v>
      </c>
      <c r="G84" s="303" t="s">
        <v>156</v>
      </c>
    </row>
    <row r="85" spans="1:7">
      <c r="A85" s="67" t="s">
        <v>270</v>
      </c>
      <c r="B85" s="77"/>
      <c r="C85" s="59"/>
      <c r="D85" s="59"/>
      <c r="E85" s="59"/>
      <c r="F85" s="59"/>
      <c r="G85" s="59"/>
    </row>
    <row r="86" spans="1:7">
      <c r="A86" s="308"/>
      <c r="B86" s="184" t="s">
        <v>67</v>
      </c>
      <c r="C86" s="84">
        <v>0</v>
      </c>
      <c r="D86" s="84">
        <v>0</v>
      </c>
      <c r="E86" s="185">
        <v>0</v>
      </c>
      <c r="F86" s="185">
        <v>0</v>
      </c>
      <c r="G86" s="185">
        <v>0</v>
      </c>
    </row>
    <row r="87" spans="1:7">
      <c r="A87" s="67"/>
      <c r="B87" s="184" t="s">
        <v>68</v>
      </c>
      <c r="C87" s="84">
        <v>355.31207499999999</v>
      </c>
      <c r="D87" s="84">
        <v>38.414211999999999</v>
      </c>
      <c r="E87" s="185">
        <v>0.33382847458814902</v>
      </c>
      <c r="F87" s="185">
        <v>0.316</v>
      </c>
      <c r="G87" s="185">
        <v>0.96001538858043423</v>
      </c>
    </row>
    <row r="88" spans="1:7">
      <c r="A88" s="67"/>
      <c r="B88" s="184" t="s">
        <v>69</v>
      </c>
      <c r="C88" s="84">
        <v>3944.2845200000002</v>
      </c>
      <c r="D88" s="84">
        <v>545.37136199999998</v>
      </c>
      <c r="E88" s="185">
        <v>0.3872899889077982</v>
      </c>
      <c r="F88" s="185">
        <v>0.29339999999999999</v>
      </c>
      <c r="G88" s="185">
        <v>0.90511678072483603</v>
      </c>
    </row>
    <row r="89" spans="1:7">
      <c r="A89" s="67"/>
      <c r="B89" s="184" t="s">
        <v>70</v>
      </c>
      <c r="C89" s="84">
        <v>2770.0063639999998</v>
      </c>
      <c r="D89" s="84">
        <v>706.85705399999995</v>
      </c>
      <c r="E89" s="185">
        <v>0.48821015488468389</v>
      </c>
      <c r="F89" s="185">
        <v>0.31679999999999997</v>
      </c>
      <c r="G89" s="185">
        <v>0.8835359406037343</v>
      </c>
    </row>
    <row r="90" spans="1:7">
      <c r="A90" s="67"/>
      <c r="B90" s="184" t="s">
        <v>71</v>
      </c>
      <c r="C90" s="84">
        <v>3548.0115620000001</v>
      </c>
      <c r="D90" s="84">
        <v>844.34321900000009</v>
      </c>
      <c r="E90" s="185">
        <v>0.60426983834050996</v>
      </c>
      <c r="F90" s="185">
        <v>0.3125</v>
      </c>
      <c r="G90" s="185">
        <v>0.92395438188958467</v>
      </c>
    </row>
    <row r="91" spans="1:7">
      <c r="A91" s="67"/>
      <c r="B91" s="184" t="s">
        <v>72</v>
      </c>
      <c r="C91" s="84">
        <v>4757.2976119999994</v>
      </c>
      <c r="D91" s="84">
        <v>932.17797299999995</v>
      </c>
      <c r="E91" s="185">
        <v>0.73866042648584251</v>
      </c>
      <c r="F91" s="185">
        <v>0.3468</v>
      </c>
      <c r="G91" s="185">
        <v>0.93216328343568056</v>
      </c>
    </row>
    <row r="92" spans="1:7">
      <c r="A92" s="67"/>
      <c r="B92" s="184" t="s">
        <v>73</v>
      </c>
      <c r="C92" s="84">
        <v>5323.5450120000005</v>
      </c>
      <c r="D92" s="84">
        <v>868.03306299999997</v>
      </c>
      <c r="E92" s="185">
        <v>1.0771564669922247</v>
      </c>
      <c r="F92" s="185">
        <v>0.40740000000000004</v>
      </c>
      <c r="G92" s="185">
        <v>0.87219896120492757</v>
      </c>
    </row>
    <row r="93" spans="1:7">
      <c r="A93" s="67"/>
      <c r="B93" s="184" t="s">
        <v>74</v>
      </c>
      <c r="C93" s="84">
        <v>1609.6944429999999</v>
      </c>
      <c r="D93" s="84">
        <v>455.33648499999998</v>
      </c>
      <c r="E93" s="185">
        <v>1.2959573135582976</v>
      </c>
      <c r="F93" s="185">
        <v>0.42479999999999996</v>
      </c>
      <c r="G93" s="185">
        <v>0.84263221332438665</v>
      </c>
    </row>
    <row r="94" spans="1:7">
      <c r="A94" s="67"/>
      <c r="B94" s="184" t="s">
        <v>75</v>
      </c>
      <c r="C94" s="84">
        <v>968.86583099999996</v>
      </c>
      <c r="D94" s="84">
        <v>118.44991999999999</v>
      </c>
      <c r="E94" s="185">
        <v>1.8845208093627157</v>
      </c>
      <c r="F94" s="185">
        <v>0.43320000000000003</v>
      </c>
      <c r="G94" s="185">
        <v>0.96567540844369859</v>
      </c>
    </row>
    <row r="95" spans="1:7">
      <c r="A95" s="67"/>
      <c r="B95" s="184" t="s">
        <v>76</v>
      </c>
      <c r="C95" s="84">
        <v>16.911743999999999</v>
      </c>
      <c r="D95" s="84">
        <v>3.1791709999999997</v>
      </c>
      <c r="E95" s="185">
        <v>0.15249349800943063</v>
      </c>
      <c r="F95" s="185">
        <v>0.7369</v>
      </c>
      <c r="G95" s="185">
        <v>0.85340240318767158</v>
      </c>
    </row>
    <row r="96" spans="1:7">
      <c r="A96" s="67"/>
      <c r="B96" s="184" t="s">
        <v>77</v>
      </c>
      <c r="C96" s="84">
        <v>1054.566996</v>
      </c>
      <c r="D96" s="84">
        <v>150.11039600000001</v>
      </c>
      <c r="E96" s="185">
        <v>0.8654648490440715</v>
      </c>
      <c r="F96" s="185">
        <v>0</v>
      </c>
      <c r="G96" s="185">
        <v>0.99599804320776819</v>
      </c>
    </row>
    <row r="97" spans="1:7">
      <c r="A97" s="186" t="s">
        <v>271</v>
      </c>
      <c r="B97" s="187"/>
      <c r="C97" s="188">
        <f>SUM(C86:C96)</f>
        <v>24348.496159000002</v>
      </c>
      <c r="D97" s="188">
        <f>SUM(D86:D96)</f>
        <v>4662.2728549999993</v>
      </c>
      <c r="E97" s="189">
        <v>0.78929013941981752</v>
      </c>
      <c r="F97" s="189"/>
      <c r="G97" s="189">
        <v>0.90506866830966515</v>
      </c>
    </row>
    <row r="98" spans="1:7">
      <c r="A98" s="67" t="s">
        <v>104</v>
      </c>
      <c r="B98" s="336"/>
      <c r="C98" s="175"/>
      <c r="D98" s="175"/>
      <c r="E98" s="337"/>
      <c r="F98" s="337"/>
      <c r="G98" s="337"/>
    </row>
    <row r="99" spans="1:7">
      <c r="A99" s="308"/>
      <c r="B99" s="184" t="s">
        <v>67</v>
      </c>
      <c r="C99" s="84">
        <v>105.39219</v>
      </c>
      <c r="D99" s="84">
        <v>8.9493299999999998</v>
      </c>
      <c r="E99" s="185">
        <v>0.10823691964271735</v>
      </c>
      <c r="F99" s="185">
        <v>0.18510000000000001</v>
      </c>
      <c r="G99" s="185">
        <v>0.93814103636838808</v>
      </c>
    </row>
    <row r="100" spans="1:7">
      <c r="A100" s="67"/>
      <c r="B100" s="184" t="s">
        <v>68</v>
      </c>
      <c r="C100" s="84">
        <v>1143.809006</v>
      </c>
      <c r="D100" s="84">
        <v>259.42273</v>
      </c>
      <c r="E100" s="185">
        <v>0.25445218342685438</v>
      </c>
      <c r="F100" s="185">
        <v>0.28699999999999998</v>
      </c>
      <c r="G100" s="185">
        <v>0.86991257250503151</v>
      </c>
    </row>
    <row r="101" spans="1:7">
      <c r="A101" s="67"/>
      <c r="B101" s="184" t="s">
        <v>69</v>
      </c>
      <c r="C101" s="84">
        <v>3722.1036749999998</v>
      </c>
      <c r="D101" s="84">
        <v>188.014522</v>
      </c>
      <c r="E101" s="185">
        <v>0.37218790446507377</v>
      </c>
      <c r="F101" s="185">
        <v>0.28649999999999998</v>
      </c>
      <c r="G101" s="185">
        <v>0.98450571381916352</v>
      </c>
    </row>
    <row r="102" spans="1:7">
      <c r="A102" s="67"/>
      <c r="B102" s="184" t="s">
        <v>70</v>
      </c>
      <c r="C102" s="84">
        <v>5354.930472</v>
      </c>
      <c r="D102" s="84">
        <v>273.92831900000004</v>
      </c>
      <c r="E102" s="185">
        <v>0.46447179678713107</v>
      </c>
      <c r="F102" s="185">
        <v>0.28350000000000003</v>
      </c>
      <c r="G102" s="185">
        <v>0.96963918757059309</v>
      </c>
    </row>
    <row r="103" spans="1:7">
      <c r="A103" s="67"/>
      <c r="B103" s="184" t="s">
        <v>71</v>
      </c>
      <c r="C103" s="84">
        <v>9118.5695450000003</v>
      </c>
      <c r="D103" s="84">
        <v>1014.944834</v>
      </c>
      <c r="E103" s="185">
        <v>0.5028219451935978</v>
      </c>
      <c r="F103" s="185">
        <v>0.26929999999999998</v>
      </c>
      <c r="G103" s="185">
        <v>0.90390733740926821</v>
      </c>
    </row>
    <row r="104" spans="1:7">
      <c r="A104" s="67"/>
      <c r="B104" s="184" t="s">
        <v>72</v>
      </c>
      <c r="C104" s="84">
        <v>5941.1672980000003</v>
      </c>
      <c r="D104" s="84">
        <v>566.78449499999999</v>
      </c>
      <c r="E104" s="185">
        <v>0.64052214811069941</v>
      </c>
      <c r="F104" s="185">
        <v>0.30320000000000003</v>
      </c>
      <c r="G104" s="185">
        <v>0.97692336889898856</v>
      </c>
    </row>
    <row r="105" spans="1:7">
      <c r="A105" s="67"/>
      <c r="B105" s="184" t="s">
        <v>73</v>
      </c>
      <c r="C105" s="84">
        <v>6843.6997759999995</v>
      </c>
      <c r="D105" s="84">
        <v>834.53794800000003</v>
      </c>
      <c r="E105" s="185">
        <v>0.88812371304114912</v>
      </c>
      <c r="F105" s="185">
        <v>0.33460000000000001</v>
      </c>
      <c r="G105" s="185">
        <v>0.97775473842982286</v>
      </c>
    </row>
    <row r="106" spans="1:7">
      <c r="A106" s="67"/>
      <c r="B106" s="184" t="s">
        <v>74</v>
      </c>
      <c r="C106" s="84">
        <v>1495.477983</v>
      </c>
      <c r="D106" s="84">
        <v>147.581208</v>
      </c>
      <c r="E106" s="185">
        <v>1.0347997573963614</v>
      </c>
      <c r="F106" s="185">
        <v>0.34610000000000002</v>
      </c>
      <c r="G106" s="185">
        <v>0.98513041949589986</v>
      </c>
    </row>
    <row r="107" spans="1:7">
      <c r="A107" s="67"/>
      <c r="B107" s="184" t="s">
        <v>75</v>
      </c>
      <c r="C107" s="84">
        <v>887.04702099999997</v>
      </c>
      <c r="D107" s="84">
        <v>21.816556000000002</v>
      </c>
      <c r="E107" s="185">
        <v>1.5393300317503689</v>
      </c>
      <c r="F107" s="185">
        <v>0.37609999999999999</v>
      </c>
      <c r="G107" s="185">
        <v>0.98163394294833695</v>
      </c>
    </row>
    <row r="108" spans="1:7">
      <c r="A108" s="67"/>
      <c r="B108" s="184" t="s">
        <v>76</v>
      </c>
      <c r="C108" s="84">
        <v>80.695800000000006</v>
      </c>
      <c r="D108" s="84">
        <v>8.3757999999999999E-2</v>
      </c>
      <c r="E108" s="185">
        <v>0.1068319912560505</v>
      </c>
      <c r="F108" s="185">
        <v>0.48630000000000001</v>
      </c>
      <c r="G108" s="185">
        <v>0.99896312876581972</v>
      </c>
    </row>
    <row r="109" spans="1:7">
      <c r="A109" s="67"/>
      <c r="B109" s="184" t="s">
        <v>77</v>
      </c>
      <c r="C109" s="84">
        <v>329.44653799999998</v>
      </c>
      <c r="D109" s="84">
        <v>4.5916290000000002</v>
      </c>
      <c r="E109" s="185">
        <v>1.0652789558225679</v>
      </c>
      <c r="F109" s="185">
        <v>7.2700000000000001E-2</v>
      </c>
      <c r="G109" s="185">
        <v>0.99316519112633195</v>
      </c>
    </row>
    <row r="110" spans="1:7">
      <c r="A110" s="186" t="s">
        <v>274</v>
      </c>
      <c r="B110" s="187"/>
      <c r="C110" s="188">
        <f>SUM(C99:C109)</f>
        <v>35022.339303999994</v>
      </c>
      <c r="D110" s="188">
        <f>SUM(D99:D109)</f>
        <v>3320.6553290000006</v>
      </c>
      <c r="E110" s="189">
        <v>0.62577367781645887</v>
      </c>
      <c r="F110" s="189"/>
      <c r="G110" s="189">
        <v>0.95341620203734934</v>
      </c>
    </row>
    <row r="111" spans="1:7">
      <c r="A111" s="67" t="s">
        <v>103</v>
      </c>
      <c r="B111" s="336"/>
      <c r="C111" s="175"/>
      <c r="D111" s="175"/>
      <c r="E111" s="337"/>
      <c r="F111" s="337"/>
      <c r="G111" s="337"/>
    </row>
    <row r="112" spans="1:7">
      <c r="A112" s="308"/>
      <c r="B112" s="184" t="s">
        <v>67</v>
      </c>
      <c r="C112" s="84">
        <v>0</v>
      </c>
      <c r="D112" s="84">
        <v>0</v>
      </c>
      <c r="E112" s="185">
        <v>0</v>
      </c>
      <c r="F112" s="185">
        <v>0</v>
      </c>
      <c r="G112" s="185">
        <v>0</v>
      </c>
    </row>
    <row r="113" spans="1:7">
      <c r="A113" s="67"/>
      <c r="B113" s="184" t="s">
        <v>68</v>
      </c>
      <c r="C113" s="84">
        <v>34.192304999999998</v>
      </c>
      <c r="D113" s="84">
        <v>0</v>
      </c>
      <c r="E113" s="185">
        <v>0.29926639926732052</v>
      </c>
      <c r="F113" s="185">
        <v>0</v>
      </c>
      <c r="G113" s="185">
        <v>1</v>
      </c>
    </row>
    <row r="114" spans="1:7">
      <c r="A114" s="67"/>
      <c r="B114" s="184" t="s">
        <v>69</v>
      </c>
      <c r="C114" s="84">
        <v>252.49118799999999</v>
      </c>
      <c r="D114" s="84">
        <v>14.104379000000002</v>
      </c>
      <c r="E114" s="185">
        <v>0.2480330957134235</v>
      </c>
      <c r="F114" s="185">
        <v>1.0613566482169668E-2</v>
      </c>
      <c r="G114" s="185">
        <v>0.99399232119841685</v>
      </c>
    </row>
    <row r="115" spans="1:7">
      <c r="A115" s="67"/>
      <c r="B115" s="184" t="s">
        <v>70</v>
      </c>
      <c r="C115" s="84">
        <v>203.921357</v>
      </c>
      <c r="D115" s="84">
        <v>105.623228</v>
      </c>
      <c r="E115" s="185">
        <v>0.63434308158316155</v>
      </c>
      <c r="F115" s="185">
        <v>0.23111401879107737</v>
      </c>
      <c r="G115" s="185">
        <v>0.7381115781282287</v>
      </c>
    </row>
    <row r="116" spans="1:7">
      <c r="A116" s="67"/>
      <c r="B116" s="184" t="s">
        <v>71</v>
      </c>
      <c r="C116" s="84">
        <v>2460.159533</v>
      </c>
      <c r="D116" s="84">
        <v>452.584406</v>
      </c>
      <c r="E116" s="185">
        <v>0.70666282599974795</v>
      </c>
      <c r="F116" s="185">
        <v>6.0138312307326289E-2</v>
      </c>
      <c r="G116" s="185">
        <v>0.88150113498810645</v>
      </c>
    </row>
    <row r="117" spans="1:7">
      <c r="A117" s="67"/>
      <c r="B117" s="184" t="s">
        <v>72</v>
      </c>
      <c r="C117" s="84">
        <v>2702.7462960000003</v>
      </c>
      <c r="D117" s="84">
        <v>980.35507099999995</v>
      </c>
      <c r="E117" s="185">
        <v>0.79691523328980629</v>
      </c>
      <c r="F117" s="185">
        <v>0.11081264809566127</v>
      </c>
      <c r="G117" s="185">
        <v>0.74545080345826487</v>
      </c>
    </row>
    <row r="118" spans="1:7">
      <c r="A118" s="67"/>
      <c r="B118" s="184" t="s">
        <v>73</v>
      </c>
      <c r="C118" s="84">
        <v>1784.3184059999999</v>
      </c>
      <c r="D118" s="84">
        <v>244.07085699999999</v>
      </c>
      <c r="E118" s="185">
        <v>1.121933663447285</v>
      </c>
      <c r="F118" s="185">
        <v>5.0050218770371205E-2</v>
      </c>
      <c r="G118" s="185">
        <v>0.88219825791882645</v>
      </c>
    </row>
    <row r="119" spans="1:7">
      <c r="A119" s="67"/>
      <c r="B119" s="184" t="s">
        <v>74</v>
      </c>
      <c r="C119" s="84">
        <v>285.23002000000002</v>
      </c>
      <c r="D119" s="84">
        <v>195.26447399999998</v>
      </c>
      <c r="E119" s="185">
        <v>2.0535975455879432</v>
      </c>
      <c r="F119" s="185">
        <v>0.41752899183823633</v>
      </c>
      <c r="G119" s="185">
        <v>0.60115890099342284</v>
      </c>
    </row>
    <row r="120" spans="1:7">
      <c r="A120" s="67"/>
      <c r="B120" s="184" t="s">
        <v>75</v>
      </c>
      <c r="C120" s="84">
        <v>129.90336299999998</v>
      </c>
      <c r="D120" s="84">
        <v>99.902095000000003</v>
      </c>
      <c r="E120" s="185">
        <v>1.4290881830364932</v>
      </c>
      <c r="F120" s="185">
        <v>0.22894598719126313</v>
      </c>
      <c r="G120" s="185">
        <v>0.48819789041285111</v>
      </c>
    </row>
    <row r="121" spans="1:7">
      <c r="A121" s="67"/>
      <c r="B121" s="184" t="s">
        <v>76</v>
      </c>
      <c r="C121" s="84">
        <v>0</v>
      </c>
      <c r="D121" s="84">
        <v>0</v>
      </c>
      <c r="E121" s="185">
        <v>0</v>
      </c>
      <c r="F121" s="185">
        <v>0</v>
      </c>
      <c r="G121" s="185">
        <v>0</v>
      </c>
    </row>
    <row r="122" spans="1:7">
      <c r="A122" s="67"/>
      <c r="B122" s="184" t="s">
        <v>77</v>
      </c>
      <c r="C122" s="84">
        <v>142.83272500000001</v>
      </c>
      <c r="D122" s="84">
        <v>0</v>
      </c>
      <c r="E122" s="185">
        <v>0</v>
      </c>
      <c r="F122" s="185">
        <v>0</v>
      </c>
      <c r="G122" s="185">
        <v>0</v>
      </c>
    </row>
    <row r="123" spans="1:7">
      <c r="A123" s="186" t="s">
        <v>272</v>
      </c>
      <c r="B123" s="187"/>
      <c r="C123" s="188">
        <f>SUM(C112:C122)</f>
        <v>7995.7951930000017</v>
      </c>
      <c r="D123" s="188">
        <f>SUM(D112:D122)</f>
        <v>2091.9045099999998</v>
      </c>
      <c r="E123" s="189">
        <v>0.85893342866167144</v>
      </c>
      <c r="F123" s="189"/>
      <c r="G123" s="189">
        <v>0.80871952282883253</v>
      </c>
    </row>
    <row r="124" spans="1:7">
      <c r="A124" s="67" t="s">
        <v>273</v>
      </c>
      <c r="B124" s="336"/>
      <c r="C124" s="175"/>
      <c r="D124" s="175"/>
      <c r="E124" s="337"/>
      <c r="F124" s="337"/>
      <c r="G124" s="337"/>
    </row>
    <row r="125" spans="1:7">
      <c r="A125" s="67"/>
      <c r="B125" s="184" t="s">
        <v>67</v>
      </c>
      <c r="C125" s="84">
        <v>0</v>
      </c>
      <c r="D125" s="84">
        <v>0</v>
      </c>
      <c r="E125" s="185">
        <v>0</v>
      </c>
      <c r="F125" s="185">
        <v>0</v>
      </c>
      <c r="G125" s="185">
        <v>0</v>
      </c>
    </row>
    <row r="126" spans="1:7">
      <c r="A126" s="67"/>
      <c r="B126" s="184" t="s">
        <v>68</v>
      </c>
      <c r="C126" s="84">
        <v>1916.928345</v>
      </c>
      <c r="D126" s="84">
        <v>603.38350200000002</v>
      </c>
      <c r="E126" s="185">
        <v>7.4442804485735745E-2</v>
      </c>
      <c r="F126" s="185">
        <v>0.17050000000000001</v>
      </c>
      <c r="G126" s="185">
        <v>0.99911863705304194</v>
      </c>
    </row>
    <row r="127" spans="1:7">
      <c r="A127" s="67"/>
      <c r="B127" s="184" t="s">
        <v>69</v>
      </c>
      <c r="C127" s="84">
        <v>1573.590418</v>
      </c>
      <c r="D127" s="84">
        <v>120.65118799999999</v>
      </c>
      <c r="E127" s="185">
        <v>0.12915495968659363</v>
      </c>
      <c r="F127" s="185">
        <v>0.19670000000000001</v>
      </c>
      <c r="G127" s="185">
        <v>0.99969410546335657</v>
      </c>
    </row>
    <row r="128" spans="1:7">
      <c r="A128" s="67"/>
      <c r="B128" s="184" t="s">
        <v>70</v>
      </c>
      <c r="C128" s="84">
        <v>794.15225100000009</v>
      </c>
      <c r="D128" s="84">
        <v>14.742882</v>
      </c>
      <c r="E128" s="185">
        <v>0.21346241578555947</v>
      </c>
      <c r="F128" s="185">
        <v>0.22309999999999999</v>
      </c>
      <c r="G128" s="185">
        <v>0.99964503041045238</v>
      </c>
    </row>
    <row r="129" spans="1:7">
      <c r="A129" s="67"/>
      <c r="B129" s="184" t="s">
        <v>71</v>
      </c>
      <c r="C129" s="84">
        <v>702.61147600000004</v>
      </c>
      <c r="D129" s="84">
        <v>7.0842809999999998</v>
      </c>
      <c r="E129" s="185">
        <v>0.28424515941154366</v>
      </c>
      <c r="F129" s="185">
        <v>0.21929999999999999</v>
      </c>
      <c r="G129" s="185">
        <v>0.9994964190816108</v>
      </c>
    </row>
    <row r="130" spans="1:7">
      <c r="A130" s="67"/>
      <c r="B130" s="184" t="s">
        <v>72</v>
      </c>
      <c r="C130" s="84">
        <v>497.98517599999997</v>
      </c>
      <c r="D130" s="84">
        <v>4.718807</v>
      </c>
      <c r="E130" s="185">
        <v>0.39637380491020885</v>
      </c>
      <c r="F130" s="185">
        <v>0.21629999999999999</v>
      </c>
      <c r="G130" s="185">
        <v>0.9996988769168953</v>
      </c>
    </row>
    <row r="131" spans="1:7">
      <c r="A131" s="67"/>
      <c r="B131" s="184" t="s">
        <v>73</v>
      </c>
      <c r="C131" s="84">
        <v>146.414413</v>
      </c>
      <c r="D131" s="84">
        <v>1.3189819999999999</v>
      </c>
      <c r="E131" s="185">
        <v>0.60245904889158686</v>
      </c>
      <c r="F131" s="185">
        <v>0.21879999999999999</v>
      </c>
      <c r="G131" s="185">
        <v>0.99919812689540199</v>
      </c>
    </row>
    <row r="132" spans="1:7">
      <c r="A132" s="67"/>
      <c r="B132" s="184" t="s">
        <v>74</v>
      </c>
      <c r="C132" s="84">
        <v>110.657972</v>
      </c>
      <c r="D132" s="84">
        <v>0.55159400000000003</v>
      </c>
      <c r="E132" s="185">
        <v>0.89420228124187939</v>
      </c>
      <c r="F132" s="185">
        <v>0.21820000000000001</v>
      </c>
      <c r="G132" s="185">
        <v>0.99831521071431795</v>
      </c>
    </row>
    <row r="133" spans="1:7">
      <c r="A133" s="67"/>
      <c r="B133" s="184" t="s">
        <v>75</v>
      </c>
      <c r="C133" s="84">
        <v>150.28200099999998</v>
      </c>
      <c r="D133" s="84">
        <v>0.31732900000000003</v>
      </c>
      <c r="E133" s="185">
        <v>1.2058842096466365</v>
      </c>
      <c r="F133" s="185">
        <v>0.20960000000000001</v>
      </c>
      <c r="G133" s="185">
        <v>0.99875058151956819</v>
      </c>
    </row>
    <row r="134" spans="1:7">
      <c r="A134" s="67"/>
      <c r="B134" s="184" t="s">
        <v>76</v>
      </c>
      <c r="C134" s="84">
        <v>10.754301</v>
      </c>
      <c r="D134" s="84">
        <v>8.6260000000000003E-2</v>
      </c>
      <c r="E134" s="185">
        <v>3.4891156570752486E-2</v>
      </c>
      <c r="F134" s="185">
        <v>0.14480000000000001</v>
      </c>
      <c r="G134" s="185">
        <v>0.99247863632785427</v>
      </c>
    </row>
    <row r="135" spans="1:7">
      <c r="A135" s="67"/>
      <c r="B135" s="184" t="s">
        <v>77</v>
      </c>
      <c r="C135" s="84">
        <v>17.529745999999999</v>
      </c>
      <c r="D135" s="84">
        <v>0</v>
      </c>
      <c r="E135" s="185">
        <v>1.2339249524779197</v>
      </c>
      <c r="F135" s="185">
        <v>0.32369999999999999</v>
      </c>
      <c r="G135" s="185">
        <v>1</v>
      </c>
    </row>
    <row r="136" spans="1:7">
      <c r="A136" s="186" t="s">
        <v>275</v>
      </c>
      <c r="B136" s="74"/>
      <c r="C136" s="190">
        <f>SUM(C125:C135)</f>
        <v>5920.9060990000007</v>
      </c>
      <c r="D136" s="190">
        <f>SUM(D125:D135)</f>
        <v>752.85482500000001</v>
      </c>
      <c r="E136" s="191">
        <v>0.22005922188498467</v>
      </c>
      <c r="F136" s="191"/>
      <c r="G136" s="192">
        <v>0.99940378314501388</v>
      </c>
    </row>
    <row r="137" spans="1:7" ht="24">
      <c r="A137" s="67" t="s">
        <v>276</v>
      </c>
      <c r="B137" s="336"/>
      <c r="C137" s="175"/>
      <c r="D137" s="175"/>
      <c r="E137" s="337"/>
      <c r="F137" s="337"/>
      <c r="G137" s="337"/>
    </row>
    <row r="138" spans="1:7">
      <c r="A138" s="308"/>
      <c r="B138" s="184" t="s">
        <v>67</v>
      </c>
      <c r="C138" s="84">
        <v>0</v>
      </c>
      <c r="D138" s="84">
        <v>0</v>
      </c>
      <c r="E138" s="185">
        <v>0</v>
      </c>
      <c r="F138" s="185">
        <v>0</v>
      </c>
      <c r="G138" s="185">
        <v>0</v>
      </c>
    </row>
    <row r="139" spans="1:7">
      <c r="A139" s="67"/>
      <c r="B139" s="184" t="s">
        <v>68</v>
      </c>
      <c r="C139" s="84">
        <v>41460.804916000001</v>
      </c>
      <c r="D139" s="84">
        <v>11725.566626</v>
      </c>
      <c r="E139" s="185">
        <v>7.3446946222330792E-2</v>
      </c>
      <c r="F139" s="185">
        <v>0.16829999999999998</v>
      </c>
      <c r="G139" s="185">
        <v>0.99988635590931618</v>
      </c>
    </row>
    <row r="140" spans="1:7">
      <c r="A140" s="67"/>
      <c r="B140" s="184" t="s">
        <v>69</v>
      </c>
      <c r="C140" s="84">
        <v>35338.873233999999</v>
      </c>
      <c r="D140" s="84">
        <v>1416.862509</v>
      </c>
      <c r="E140" s="185">
        <v>0.14046437692371616</v>
      </c>
      <c r="F140" s="185">
        <v>0.21160000000000001</v>
      </c>
      <c r="G140" s="185">
        <v>0.99992821893652784</v>
      </c>
    </row>
    <row r="141" spans="1:7">
      <c r="A141" s="67"/>
      <c r="B141" s="184" t="s">
        <v>70</v>
      </c>
      <c r="C141" s="84">
        <v>23709.124024000001</v>
      </c>
      <c r="D141" s="84">
        <v>177.42982500000002</v>
      </c>
      <c r="E141" s="185">
        <v>0.22292152475350346</v>
      </c>
      <c r="F141" s="185">
        <v>0.23319999999999999</v>
      </c>
      <c r="G141" s="185">
        <v>0.999977456444619</v>
      </c>
    </row>
    <row r="142" spans="1:7">
      <c r="A142" s="67"/>
      <c r="B142" s="184" t="s">
        <v>71</v>
      </c>
      <c r="C142" s="84">
        <v>19133.693103999998</v>
      </c>
      <c r="D142" s="84">
        <v>62.330131999999999</v>
      </c>
      <c r="E142" s="185">
        <v>0.30867792354029594</v>
      </c>
      <c r="F142" s="185">
        <v>0.2419</v>
      </c>
      <c r="G142" s="185">
        <v>0.99996471668194331</v>
      </c>
    </row>
    <row r="143" spans="1:7">
      <c r="A143" s="67"/>
      <c r="B143" s="184" t="s">
        <v>72</v>
      </c>
      <c r="C143" s="84">
        <v>7228.0155250000007</v>
      </c>
      <c r="D143" s="84">
        <v>19.274297999999998</v>
      </c>
      <c r="E143" s="185">
        <v>0.43404239879520734</v>
      </c>
      <c r="F143" s="185">
        <v>0.2404</v>
      </c>
      <c r="G143" s="185">
        <v>0.99996520604466743</v>
      </c>
    </row>
    <row r="144" spans="1:7">
      <c r="A144" s="67"/>
      <c r="B144" s="184" t="s">
        <v>73</v>
      </c>
      <c r="C144" s="84">
        <v>1613.172292</v>
      </c>
      <c r="D144" s="84">
        <v>7.0839709999999991</v>
      </c>
      <c r="E144" s="185">
        <v>0.69470662281868656</v>
      </c>
      <c r="F144" s="185">
        <v>0.24350000000000002</v>
      </c>
      <c r="G144" s="185">
        <v>0.99997675441831191</v>
      </c>
    </row>
    <row r="145" spans="1:7">
      <c r="A145" s="67"/>
      <c r="B145" s="184" t="s">
        <v>74</v>
      </c>
      <c r="C145" s="84">
        <v>1132.4555730000002</v>
      </c>
      <c r="D145" s="84">
        <v>8.1177010000000003</v>
      </c>
      <c r="E145" s="185">
        <v>0.96135386584388327</v>
      </c>
      <c r="F145" s="185">
        <v>0.23519999999999999</v>
      </c>
      <c r="G145" s="185">
        <v>0.99989890250260927</v>
      </c>
    </row>
    <row r="146" spans="1:7">
      <c r="A146" s="67"/>
      <c r="B146" s="184" t="s">
        <v>75</v>
      </c>
      <c r="C146" s="84">
        <v>1589.2940129999999</v>
      </c>
      <c r="D146" s="84">
        <v>1.3797919999999999</v>
      </c>
      <c r="E146" s="185">
        <v>1.3294191651875302</v>
      </c>
      <c r="F146" s="185">
        <v>0.2329</v>
      </c>
      <c r="G146" s="185">
        <v>0.99991569294179794</v>
      </c>
    </row>
    <row r="147" spans="1:7">
      <c r="A147" s="67"/>
      <c r="B147" s="184" t="s">
        <v>76</v>
      </c>
      <c r="C147" s="84">
        <v>181.79767999999999</v>
      </c>
      <c r="D147" s="84">
        <v>0.156804</v>
      </c>
      <c r="E147" s="185">
        <v>0.40577091522840114</v>
      </c>
      <c r="F147" s="185">
        <v>0.23170000000000002</v>
      </c>
      <c r="G147" s="185">
        <v>0.99982353824290793</v>
      </c>
    </row>
    <row r="148" spans="1:7">
      <c r="A148" s="67"/>
      <c r="B148" s="184" t="s">
        <v>77</v>
      </c>
      <c r="C148" s="84">
        <v>173.385267</v>
      </c>
      <c r="D148" s="84">
        <v>0.98568</v>
      </c>
      <c r="E148" s="185">
        <v>1.6852693602853814</v>
      </c>
      <c r="F148" s="185">
        <v>0.22120000000000001</v>
      </c>
      <c r="G148" s="185">
        <v>0.9997780004398128</v>
      </c>
    </row>
    <row r="149" spans="1:7">
      <c r="A149" s="186" t="s">
        <v>167</v>
      </c>
      <c r="B149" s="74"/>
      <c r="C149" s="190">
        <f>SUM(C138:C148)</f>
        <v>131560.61562799997</v>
      </c>
      <c r="D149" s="190">
        <f>SUM(D138:D148)</f>
        <v>13419.187337999998</v>
      </c>
      <c r="E149" s="191">
        <v>0.20542537862864854</v>
      </c>
      <c r="F149" s="191"/>
      <c r="G149" s="192">
        <v>0.9999587379367556</v>
      </c>
    </row>
    <row r="150" spans="1:7">
      <c r="A150" s="67" t="s">
        <v>132</v>
      </c>
      <c r="B150" s="184" t="s">
        <v>67</v>
      </c>
      <c r="C150" s="84">
        <v>0</v>
      </c>
      <c r="D150" s="84">
        <v>0</v>
      </c>
      <c r="E150" s="185">
        <v>0</v>
      </c>
      <c r="F150" s="185">
        <v>0</v>
      </c>
      <c r="G150" s="185">
        <v>0</v>
      </c>
    </row>
    <row r="151" spans="1:7">
      <c r="A151" s="67"/>
      <c r="B151" s="184" t="s">
        <v>68</v>
      </c>
      <c r="C151" s="84">
        <v>878.78376300000002</v>
      </c>
      <c r="D151" s="84">
        <v>447.83558600000003</v>
      </c>
      <c r="E151" s="185">
        <v>0.21557740934273495</v>
      </c>
      <c r="F151" s="185">
        <v>0.48917939840167479</v>
      </c>
      <c r="G151" s="185">
        <v>0.99677160969033296</v>
      </c>
    </row>
    <row r="152" spans="1:7">
      <c r="A152" s="67"/>
      <c r="B152" s="184" t="s">
        <v>69</v>
      </c>
      <c r="C152" s="84">
        <v>1231.2793079999999</v>
      </c>
      <c r="D152" s="84">
        <v>290.709677</v>
      </c>
      <c r="E152" s="185">
        <v>0.31606573705208407</v>
      </c>
      <c r="F152" s="185">
        <v>0.49521114139441064</v>
      </c>
      <c r="G152" s="185">
        <v>0.99804605113844946</v>
      </c>
    </row>
    <row r="153" spans="1:7">
      <c r="A153" s="67"/>
      <c r="B153" s="184" t="s">
        <v>70</v>
      </c>
      <c r="C153" s="84">
        <v>925.97205499999995</v>
      </c>
      <c r="D153" s="84">
        <v>84.256932000000006</v>
      </c>
      <c r="E153" s="185">
        <v>0.4273639661836231</v>
      </c>
      <c r="F153" s="185">
        <v>0.50208766541696548</v>
      </c>
      <c r="G153" s="185">
        <v>0.9980440186259556</v>
      </c>
    </row>
    <row r="154" spans="1:7">
      <c r="A154" s="67"/>
      <c r="B154" s="184" t="s">
        <v>71</v>
      </c>
      <c r="C154" s="84">
        <v>764.95988899999998</v>
      </c>
      <c r="D154" s="84">
        <v>33.524175999999997</v>
      </c>
      <c r="E154" s="185">
        <v>0.5268698827161642</v>
      </c>
      <c r="F154" s="185">
        <v>0.50074847279489187</v>
      </c>
      <c r="G154" s="185">
        <v>0.99738232503954416</v>
      </c>
    </row>
    <row r="155" spans="1:7">
      <c r="A155" s="67"/>
      <c r="B155" s="184" t="s">
        <v>72</v>
      </c>
      <c r="C155" s="84">
        <v>452.86972499999996</v>
      </c>
      <c r="D155" s="84">
        <v>49.217278000000007</v>
      </c>
      <c r="E155" s="185">
        <v>0.64029538296029842</v>
      </c>
      <c r="F155" s="185">
        <v>0.498776439705922</v>
      </c>
      <c r="G155" s="185">
        <v>0.9992575201356958</v>
      </c>
    </row>
    <row r="156" spans="1:7">
      <c r="A156" s="67"/>
      <c r="B156" s="184" t="s">
        <v>73</v>
      </c>
      <c r="C156" s="84">
        <v>139.399261</v>
      </c>
      <c r="D156" s="84">
        <v>3.5516329999999998</v>
      </c>
      <c r="E156" s="185">
        <v>0.7612219264203991</v>
      </c>
      <c r="F156" s="185">
        <v>0.50758131948346552</v>
      </c>
      <c r="G156" s="185">
        <v>0.99753608512492442</v>
      </c>
    </row>
    <row r="157" spans="1:7">
      <c r="A157" s="67"/>
      <c r="B157" s="184" t="s">
        <v>74</v>
      </c>
      <c r="C157" s="84">
        <v>55.938493000000001</v>
      </c>
      <c r="D157" s="84">
        <v>1.7789989999999998</v>
      </c>
      <c r="E157" s="185">
        <v>0.8039508679649271</v>
      </c>
      <c r="F157" s="185">
        <v>0.49213934186428659</v>
      </c>
      <c r="G157" s="185">
        <v>0.99663646205408285</v>
      </c>
    </row>
    <row r="158" spans="1:7">
      <c r="A158" s="67"/>
      <c r="B158" s="184" t="s">
        <v>75</v>
      </c>
      <c r="C158" s="84">
        <v>104.12210899999999</v>
      </c>
      <c r="D158" s="84">
        <v>1.655165</v>
      </c>
      <c r="E158" s="185">
        <v>1.1535417612411212</v>
      </c>
      <c r="F158" s="185">
        <v>0.49708216641001773</v>
      </c>
      <c r="G158" s="185">
        <v>0.99745882884408821</v>
      </c>
    </row>
    <row r="159" spans="1:7">
      <c r="A159" s="67"/>
      <c r="B159" s="184" t="s">
        <v>76</v>
      </c>
      <c r="C159" s="84">
        <v>9.2753189999999996</v>
      </c>
      <c r="D159" s="84">
        <v>0.22477799999999998</v>
      </c>
      <c r="E159" s="185">
        <v>1.249121458787563E-3</v>
      </c>
      <c r="F159" s="185">
        <v>0.49907444243157567</v>
      </c>
      <c r="G159" s="185">
        <v>1</v>
      </c>
    </row>
    <row r="160" spans="1:7">
      <c r="A160" s="67"/>
      <c r="B160" s="184" t="s">
        <v>77</v>
      </c>
      <c r="C160" s="84">
        <v>29.995533000000002</v>
      </c>
      <c r="D160" s="84">
        <v>3.9204999999999997E-2</v>
      </c>
      <c r="E160" s="185">
        <v>0.1178405797956649</v>
      </c>
      <c r="F160" s="185">
        <v>0.84574898485384464</v>
      </c>
      <c r="G160" s="185">
        <v>0.99872615800189546</v>
      </c>
    </row>
    <row r="161" spans="1:7">
      <c r="A161" s="186" t="s">
        <v>168</v>
      </c>
      <c r="B161" s="74"/>
      <c r="C161" s="190">
        <f>SUM(C150:C160)</f>
        <v>4592.5954549999988</v>
      </c>
      <c r="D161" s="190">
        <f>SUM(D150:D160)</f>
        <v>912.79342900000006</v>
      </c>
      <c r="E161" s="191">
        <v>0.42287286372798966</v>
      </c>
      <c r="F161" s="191"/>
      <c r="G161" s="192">
        <v>0.99777175828601217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K37"/>
  <sheetViews>
    <sheetView showGridLines="0" zoomScaleNormal="100" workbookViewId="0"/>
  </sheetViews>
  <sheetFormatPr baseColWidth="10" defaultColWidth="11" defaultRowHeight="12"/>
  <cols>
    <col min="1" max="1" width="12.5" style="194" customWidth="1"/>
    <col min="2" max="3" width="12.75" style="194" customWidth="1"/>
    <col min="4" max="4" width="3.75" style="194" customWidth="1"/>
    <col min="5" max="5" width="12.5" style="194" customWidth="1"/>
    <col min="6" max="7" width="12.75" style="194" customWidth="1"/>
    <col min="8" max="8" width="3.75" style="194" customWidth="1"/>
    <col min="9" max="9" width="12.5" style="194" customWidth="1"/>
    <col min="10" max="11" width="12.75" style="194" customWidth="1"/>
    <col min="12" max="16384" width="11" style="194"/>
  </cols>
  <sheetData>
    <row r="1" spans="1:11" ht="21">
      <c r="A1" s="825" t="s">
        <v>634</v>
      </c>
      <c r="C1" s="195"/>
      <c r="F1" s="18"/>
    </row>
    <row r="2" spans="1:11">
      <c r="A2" s="193"/>
      <c r="C2" s="195"/>
      <c r="F2" s="308"/>
    </row>
    <row r="3" spans="1:11" ht="12.75">
      <c r="A3" s="493" t="s">
        <v>629</v>
      </c>
      <c r="B3"/>
      <c r="C3"/>
      <c r="D3"/>
      <c r="E3" s="493" t="s">
        <v>132</v>
      </c>
      <c r="F3"/>
      <c r="G3"/>
      <c r="I3" s="493" t="s">
        <v>21</v>
      </c>
      <c r="J3"/>
      <c r="K3"/>
    </row>
    <row r="4" spans="1:11" ht="12.75">
      <c r="A4"/>
      <c r="B4"/>
      <c r="C4"/>
      <c r="D4"/>
      <c r="E4"/>
      <c r="F4"/>
      <c r="G4"/>
      <c r="I4"/>
      <c r="J4"/>
      <c r="K4"/>
    </row>
    <row r="5" spans="1:11" ht="24.75" thickBot="1">
      <c r="A5" s="485" t="s">
        <v>723</v>
      </c>
      <c r="B5" s="494" t="s">
        <v>725</v>
      </c>
      <c r="C5" s="494" t="s">
        <v>726</v>
      </c>
      <c r="D5"/>
      <c r="E5" s="485" t="s">
        <v>723</v>
      </c>
      <c r="F5" s="494" t="s">
        <v>725</v>
      </c>
      <c r="G5" s="494" t="s">
        <v>726</v>
      </c>
      <c r="I5" s="485" t="s">
        <v>723</v>
      </c>
      <c r="J5" s="494" t="s">
        <v>725</v>
      </c>
      <c r="K5" s="494" t="s">
        <v>726</v>
      </c>
    </row>
    <row r="6" spans="1:11" ht="14.1" customHeight="1" thickTop="1">
      <c r="A6" s="495">
        <v>2008</v>
      </c>
      <c r="B6" s="496">
        <v>7.9250000000000015E-3</v>
      </c>
      <c r="C6" s="496">
        <v>4.0499999999999998E-3</v>
      </c>
      <c r="D6" s="497"/>
      <c r="E6" s="495">
        <v>2008</v>
      </c>
      <c r="F6" s="496">
        <v>3.6441666666666664E-2</v>
      </c>
      <c r="G6" s="496">
        <v>1.9958333333333331E-2</v>
      </c>
      <c r="I6" s="495">
        <v>2008</v>
      </c>
      <c r="J6" s="496">
        <v>2.9149999999999995E-2</v>
      </c>
      <c r="K6" s="496">
        <v>1.7824999999999997E-2</v>
      </c>
    </row>
    <row r="7" spans="1:11" ht="14.1" customHeight="1">
      <c r="A7" s="495">
        <v>2009</v>
      </c>
      <c r="B7" s="496">
        <v>8.7666666666666657E-3</v>
      </c>
      <c r="C7" s="496">
        <v>4.3E-3</v>
      </c>
      <c r="D7" s="497"/>
      <c r="E7" s="495">
        <v>2009</v>
      </c>
      <c r="F7" s="496">
        <v>3.9050000000000001E-2</v>
      </c>
      <c r="G7" s="496">
        <v>2.5816666666666665E-2</v>
      </c>
      <c r="I7" s="495">
        <v>2009</v>
      </c>
      <c r="J7" s="496">
        <v>2.985833333333333E-2</v>
      </c>
      <c r="K7" s="496">
        <v>2.8208333333333332E-2</v>
      </c>
    </row>
    <row r="8" spans="1:11" ht="14.1" customHeight="1">
      <c r="A8" s="495">
        <v>2010</v>
      </c>
      <c r="B8" s="496">
        <v>1.0741666666666665E-2</v>
      </c>
      <c r="C8" s="496">
        <v>4.1583333333333333E-3</v>
      </c>
      <c r="D8" s="497"/>
      <c r="E8" s="495">
        <v>2010</v>
      </c>
      <c r="F8" s="496">
        <v>4.2916666666666665E-2</v>
      </c>
      <c r="G8" s="496">
        <v>2.6633333333333332E-2</v>
      </c>
      <c r="I8" s="495">
        <v>2010</v>
      </c>
      <c r="J8" s="496">
        <v>3.3791666666666664E-2</v>
      </c>
      <c r="K8" s="496">
        <v>2.7066666666666659E-2</v>
      </c>
    </row>
    <row r="9" spans="1:11" ht="14.1" customHeight="1">
      <c r="A9" s="495">
        <v>2011</v>
      </c>
      <c r="B9" s="496">
        <v>1.0491666666666668E-2</v>
      </c>
      <c r="C9" s="496">
        <v>3.2166666666666667E-3</v>
      </c>
      <c r="D9" s="497"/>
      <c r="E9" s="495">
        <v>2011</v>
      </c>
      <c r="F9" s="496">
        <v>3.7841666666666669E-2</v>
      </c>
      <c r="G9" s="496">
        <v>1.9066666666666666E-2</v>
      </c>
      <c r="I9" s="495">
        <v>2011</v>
      </c>
      <c r="J9" s="496">
        <v>3.6466666666666668E-2</v>
      </c>
      <c r="K9" s="496">
        <v>2.4041666666666666E-2</v>
      </c>
    </row>
    <row r="10" spans="1:11" ht="14.1" customHeight="1">
      <c r="A10" s="495">
        <v>2012</v>
      </c>
      <c r="B10" s="496">
        <v>9.6333333333333323E-3</v>
      </c>
      <c r="C10" s="496">
        <v>2.6083333333333327E-3</v>
      </c>
      <c r="D10" s="497"/>
      <c r="E10" s="495">
        <v>2012</v>
      </c>
      <c r="F10" s="496">
        <v>3.3816666666666668E-2</v>
      </c>
      <c r="G10" s="496">
        <v>1.4341666666666667E-2</v>
      </c>
      <c r="I10" s="495">
        <v>2012</v>
      </c>
      <c r="J10" s="496">
        <v>3.4374999999999996E-2</v>
      </c>
      <c r="K10" s="496">
        <v>1.9041666666666669E-2</v>
      </c>
    </row>
    <row r="11" spans="1:11" ht="14.1" customHeight="1">
      <c r="A11" s="495">
        <v>2013</v>
      </c>
      <c r="B11" s="496">
        <v>9.4083333333333345E-3</v>
      </c>
      <c r="C11" s="496">
        <v>2.3833333333333332E-3</v>
      </c>
      <c r="D11" s="497"/>
      <c r="E11" s="495">
        <v>2013</v>
      </c>
      <c r="F11" s="496">
        <v>3.1174999999999998E-2</v>
      </c>
      <c r="G11" s="496">
        <v>1.5675000000000005E-2</v>
      </c>
      <c r="I11" s="495">
        <v>2013</v>
      </c>
      <c r="J11" s="496">
        <v>3.3183333333333336E-2</v>
      </c>
      <c r="K11" s="496">
        <v>2.0874999999999994E-2</v>
      </c>
    </row>
    <row r="12" spans="1:11" ht="14.1" customHeight="1">
      <c r="A12" s="495">
        <v>2014</v>
      </c>
      <c r="B12" s="496">
        <v>9.2750000000000003E-3</v>
      </c>
      <c r="C12" s="496">
        <v>2.3583333333333334E-3</v>
      </c>
      <c r="D12" s="497"/>
      <c r="E12" s="495">
        <v>2014</v>
      </c>
      <c r="F12" s="496">
        <v>3.0108333333333334E-2</v>
      </c>
      <c r="G12" s="496">
        <v>1.5316666666666666E-2</v>
      </c>
      <c r="I12" s="495">
        <v>2014</v>
      </c>
      <c r="J12" s="496">
        <v>3.2199999999999999E-2</v>
      </c>
      <c r="K12" s="496">
        <v>2.1158333333333335E-2</v>
      </c>
    </row>
    <row r="13" spans="1:11" ht="14.1" customHeight="1">
      <c r="A13" s="495">
        <v>2015</v>
      </c>
      <c r="B13" s="496">
        <v>9.166666666666665E-3</v>
      </c>
      <c r="C13" s="496">
        <v>2.4083333333333331E-3</v>
      </c>
      <c r="D13" s="497"/>
      <c r="E13" s="495">
        <v>2015</v>
      </c>
      <c r="F13" s="496">
        <v>2.7591666666666667E-2</v>
      </c>
      <c r="G13" s="496">
        <v>1.3183333333333332E-2</v>
      </c>
      <c r="I13" s="495">
        <v>2015</v>
      </c>
      <c r="J13" s="496">
        <v>3.1041666666666665E-2</v>
      </c>
      <c r="K13" s="496">
        <v>1.9775000000000001E-2</v>
      </c>
    </row>
    <row r="14" spans="1:11" ht="14.1" customHeight="1">
      <c r="A14" s="495">
        <v>2016</v>
      </c>
      <c r="B14" s="496">
        <v>8.3000000000000001E-3</v>
      </c>
      <c r="C14" s="496">
        <v>1.7500000000000005E-3</v>
      </c>
      <c r="D14" s="497"/>
      <c r="E14" s="495">
        <v>2016</v>
      </c>
      <c r="F14" s="496">
        <v>2.3908333333333334E-2</v>
      </c>
      <c r="G14" s="496">
        <v>8.4250000000000019E-3</v>
      </c>
      <c r="I14" s="495">
        <v>2016</v>
      </c>
      <c r="J14" s="496">
        <v>2.9966666666666666E-2</v>
      </c>
      <c r="K14" s="496">
        <v>1.7258333333333334E-2</v>
      </c>
    </row>
    <row r="15" spans="1:11" ht="14.1" customHeight="1">
      <c r="A15" s="495">
        <v>2017</v>
      </c>
      <c r="B15" s="496">
        <v>8.0000000000000002E-3</v>
      </c>
      <c r="C15" s="496">
        <v>2.0999999999999999E-3</v>
      </c>
      <c r="D15" s="497"/>
      <c r="E15" s="495">
        <v>2017</v>
      </c>
      <c r="F15" s="496">
        <v>2.1841666666666665E-2</v>
      </c>
      <c r="G15" s="496">
        <v>1.0141666666666665E-2</v>
      </c>
      <c r="I15" s="495">
        <v>2017</v>
      </c>
      <c r="J15" s="496">
        <v>2.900833333333333E-2</v>
      </c>
      <c r="K15" s="496">
        <v>1.8008333333333331E-2</v>
      </c>
    </row>
    <row r="16" spans="1:11" ht="14.1" customHeight="1">
      <c r="A16" s="495">
        <v>2018</v>
      </c>
      <c r="B16" s="496">
        <v>8.0833333333333347E-3</v>
      </c>
      <c r="C16" s="496">
        <v>2.4499999999999999E-3</v>
      </c>
      <c r="D16" s="497"/>
      <c r="E16" s="495">
        <v>2018</v>
      </c>
      <c r="F16" s="496">
        <v>2.2333333333333334E-2</v>
      </c>
      <c r="G16" s="496">
        <v>1.2200000000000001E-2</v>
      </c>
      <c r="I16" s="495">
        <v>2018</v>
      </c>
      <c r="J16" s="496">
        <v>2.9341666666666669E-2</v>
      </c>
      <c r="K16" s="496">
        <v>1.5283333333333335E-2</v>
      </c>
    </row>
    <row r="17" spans="1:11" ht="14.1" customHeight="1">
      <c r="A17" s="498" t="s">
        <v>724</v>
      </c>
      <c r="B17" s="499">
        <v>9.0719696969696964E-3</v>
      </c>
      <c r="C17" s="499">
        <v>2.8893939393939412E-3</v>
      </c>
      <c r="D17" s="500"/>
      <c r="E17" s="498" t="s">
        <v>724</v>
      </c>
      <c r="F17" s="499">
        <v>3.1547727272727276E-2</v>
      </c>
      <c r="G17" s="499">
        <v>1.6432575757575757E-2</v>
      </c>
      <c r="I17" s="498" t="s">
        <v>724</v>
      </c>
      <c r="J17" s="499">
        <v>3.1671212121212121E-2</v>
      </c>
      <c r="K17" s="499">
        <v>2.077651515151516E-2</v>
      </c>
    </row>
    <row r="18" spans="1:11">
      <c r="I18" s="196"/>
      <c r="J18" s="196"/>
      <c r="K18" s="198"/>
    </row>
    <row r="19" spans="1:11" ht="12.75">
      <c r="A19"/>
      <c r="I19" s="411"/>
      <c r="J19"/>
      <c r="K19"/>
    </row>
    <row r="21" spans="1:11" ht="21">
      <c r="A21" s="825" t="s">
        <v>728</v>
      </c>
    </row>
    <row r="23" spans="1:11" ht="12.75">
      <c r="A23" s="493" t="s">
        <v>629</v>
      </c>
      <c r="B23"/>
      <c r="C23"/>
      <c r="D23"/>
      <c r="E23" s="493" t="s">
        <v>132</v>
      </c>
      <c r="F23"/>
      <c r="G23"/>
      <c r="I23" s="493" t="s">
        <v>21</v>
      </c>
      <c r="J23"/>
      <c r="K23"/>
    </row>
    <row r="24" spans="1:11" ht="12.75">
      <c r="A24"/>
      <c r="B24"/>
      <c r="C24"/>
      <c r="D24"/>
      <c r="E24"/>
      <c r="F24"/>
      <c r="G24"/>
      <c r="I24"/>
      <c r="J24"/>
      <c r="K24"/>
    </row>
    <row r="25" spans="1:11" ht="24.75" thickBot="1">
      <c r="A25" s="485" t="s">
        <v>723</v>
      </c>
      <c r="B25" s="494" t="s">
        <v>725</v>
      </c>
      <c r="C25" s="494" t="s">
        <v>726</v>
      </c>
      <c r="D25"/>
      <c r="E25" s="485" t="s">
        <v>723</v>
      </c>
      <c r="F25" s="494" t="s">
        <v>725</v>
      </c>
      <c r="G25" s="494" t="s">
        <v>726</v>
      </c>
      <c r="I25" s="485" t="s">
        <v>723</v>
      </c>
      <c r="J25" s="494" t="s">
        <v>725</v>
      </c>
      <c r="K25" s="494" t="s">
        <v>726</v>
      </c>
    </row>
    <row r="26" spans="1:11" ht="14.1" customHeight="1" thickTop="1">
      <c r="A26" s="495">
        <v>2008</v>
      </c>
      <c r="B26" s="496">
        <v>9.3833333333333338E-3</v>
      </c>
      <c r="C26" s="496">
        <v>5.3750000000000004E-3</v>
      </c>
      <c r="D26" s="497"/>
      <c r="E26" s="495">
        <v>2008</v>
      </c>
      <c r="F26" s="496">
        <v>3.1049999999999994E-2</v>
      </c>
      <c r="G26" s="496">
        <v>9.5000000000000015E-3</v>
      </c>
      <c r="I26" s="495">
        <v>2008</v>
      </c>
      <c r="J26" s="496">
        <v>2.6008333333333338E-2</v>
      </c>
      <c r="K26" s="496">
        <v>2.7275000000000004E-2</v>
      </c>
    </row>
    <row r="27" spans="1:11" ht="14.1" customHeight="1">
      <c r="A27" s="495">
        <v>2009</v>
      </c>
      <c r="B27" s="496">
        <v>1.0791666666666666E-2</v>
      </c>
      <c r="C27" s="496">
        <v>6.1166666666666661E-3</v>
      </c>
      <c r="D27" s="497"/>
      <c r="E27" s="495">
        <v>2009</v>
      </c>
      <c r="F27" s="496">
        <v>3.5808333333333338E-2</v>
      </c>
      <c r="G27" s="496">
        <v>3.9491666666666668E-2</v>
      </c>
      <c r="I27" s="495">
        <v>2009</v>
      </c>
      <c r="J27" s="496">
        <v>2.6633333333333332E-2</v>
      </c>
      <c r="K27" s="496">
        <v>3.4275E-2</v>
      </c>
    </row>
    <row r="28" spans="1:11" ht="14.1" customHeight="1">
      <c r="A28" s="495">
        <v>2010</v>
      </c>
      <c r="B28" s="496">
        <v>1.3066666666666666E-2</v>
      </c>
      <c r="C28" s="496">
        <v>6.0666666666666655E-3</v>
      </c>
      <c r="D28" s="497"/>
      <c r="E28" s="495">
        <v>2010</v>
      </c>
      <c r="F28" s="496">
        <v>4.1033333333333331E-2</v>
      </c>
      <c r="G28" s="496">
        <v>1.2724999999999995E-2</v>
      </c>
      <c r="I28" s="495">
        <v>2010</v>
      </c>
      <c r="J28" s="496">
        <v>2.9141666666666666E-2</v>
      </c>
      <c r="K28" s="496">
        <v>1.3975000000000001E-2</v>
      </c>
    </row>
    <row r="29" spans="1:11" ht="14.1" customHeight="1">
      <c r="A29" s="495">
        <v>2011</v>
      </c>
      <c r="B29" s="496">
        <v>1.2716666666666668E-2</v>
      </c>
      <c r="C29" s="496">
        <v>4.783333333333333E-3</v>
      </c>
      <c r="D29" s="497"/>
      <c r="E29" s="495">
        <v>2011</v>
      </c>
      <c r="F29" s="496">
        <v>4.0875000000000002E-2</v>
      </c>
      <c r="G29" s="496">
        <v>1.1108333333333331E-2</v>
      </c>
      <c r="I29" s="495">
        <v>2011</v>
      </c>
      <c r="J29" s="496">
        <v>2.9383333333333334E-2</v>
      </c>
      <c r="K29" s="496">
        <v>1.2541666666666665E-2</v>
      </c>
    </row>
    <row r="30" spans="1:11" ht="14.1" customHeight="1">
      <c r="A30" s="495">
        <v>2012</v>
      </c>
      <c r="B30" s="496">
        <v>1.1274999999999999E-2</v>
      </c>
      <c r="C30" s="496">
        <v>3.8083333333333333E-3</v>
      </c>
      <c r="D30" s="497"/>
      <c r="E30" s="495">
        <v>2012</v>
      </c>
      <c r="F30" s="496">
        <v>3.7175000000000007E-2</v>
      </c>
      <c r="G30" s="496">
        <v>9.6333333333333323E-3</v>
      </c>
      <c r="I30" s="495">
        <v>2012</v>
      </c>
      <c r="J30" s="496">
        <v>2.6458333333333337E-2</v>
      </c>
      <c r="K30" s="496">
        <v>1.7124999999999998E-2</v>
      </c>
    </row>
    <row r="31" spans="1:11" ht="14.1" customHeight="1">
      <c r="A31" s="495">
        <v>2013</v>
      </c>
      <c r="B31" s="496">
        <v>1.0791666666666666E-2</v>
      </c>
      <c r="C31" s="496">
        <v>2.8333333333333331E-3</v>
      </c>
      <c r="D31" s="497"/>
      <c r="E31" s="495">
        <v>2013</v>
      </c>
      <c r="F31" s="496">
        <v>3.4141666666666674E-2</v>
      </c>
      <c r="G31" s="496">
        <v>7.9583333333333329E-3</v>
      </c>
      <c r="I31" s="495">
        <v>2013</v>
      </c>
      <c r="J31" s="496">
        <v>2.6275000000000003E-2</v>
      </c>
      <c r="K31" s="496">
        <v>1.2783333333333334E-2</v>
      </c>
    </row>
    <row r="32" spans="1:11" ht="14.1" customHeight="1">
      <c r="A32" s="495">
        <v>2014</v>
      </c>
      <c r="B32" s="496">
        <v>1.0758333333333333E-2</v>
      </c>
      <c r="C32" s="496">
        <v>3.7500000000000012E-3</v>
      </c>
      <c r="D32" s="497"/>
      <c r="E32" s="495">
        <v>2014</v>
      </c>
      <c r="F32" s="496">
        <v>3.3774999999999993E-2</v>
      </c>
      <c r="G32" s="496">
        <v>1.2191666666666668E-2</v>
      </c>
      <c r="I32" s="495">
        <v>2014</v>
      </c>
      <c r="J32" s="496">
        <v>2.3833333333333331E-2</v>
      </c>
      <c r="K32" s="496">
        <v>1.7441666666666664E-2</v>
      </c>
    </row>
    <row r="33" spans="1:11" ht="14.1" customHeight="1">
      <c r="A33" s="495">
        <v>2015</v>
      </c>
      <c r="B33" s="496">
        <v>1.0666666666666666E-2</v>
      </c>
      <c r="C33" s="496">
        <v>2.725E-3</v>
      </c>
      <c r="D33" s="497"/>
      <c r="E33" s="495">
        <v>2015</v>
      </c>
      <c r="F33" s="496">
        <v>2.9149999999999995E-2</v>
      </c>
      <c r="G33" s="496">
        <v>1.0116666666666668E-2</v>
      </c>
      <c r="I33" s="495">
        <v>2015</v>
      </c>
      <c r="J33" s="496">
        <v>2.2000000000000002E-2</v>
      </c>
      <c r="K33" s="496">
        <v>8.2083333333333331E-3</v>
      </c>
    </row>
    <row r="34" spans="1:11" ht="14.1" customHeight="1">
      <c r="A34" s="495">
        <v>2016</v>
      </c>
      <c r="B34" s="496">
        <v>9.4083333333333328E-3</v>
      </c>
      <c r="C34" s="496">
        <v>2.4166666666666672E-3</v>
      </c>
      <c r="D34" s="497"/>
      <c r="E34" s="495">
        <v>2016</v>
      </c>
      <c r="F34" s="496">
        <v>2.8891666666666663E-2</v>
      </c>
      <c r="G34" s="496">
        <v>4.6749999999999995E-3</v>
      </c>
      <c r="I34" s="495">
        <v>2016</v>
      </c>
      <c r="J34" s="496">
        <v>2.0858333333333336E-2</v>
      </c>
      <c r="K34" s="496">
        <v>1.6375000000000001E-2</v>
      </c>
    </row>
    <row r="35" spans="1:11" ht="14.1" customHeight="1">
      <c r="A35" s="495">
        <v>2017</v>
      </c>
      <c r="B35" s="496">
        <v>8.9333333333333331E-3</v>
      </c>
      <c r="C35" s="496">
        <v>2.2000000000000001E-3</v>
      </c>
      <c r="D35" s="497"/>
      <c r="E35" s="495">
        <v>2017</v>
      </c>
      <c r="F35" s="496">
        <v>2.6566666666666669E-2</v>
      </c>
      <c r="G35" s="496">
        <v>1.0391666666666665E-2</v>
      </c>
      <c r="I35" s="495">
        <v>2017</v>
      </c>
      <c r="J35" s="496">
        <v>2.1150000000000002E-2</v>
      </c>
      <c r="K35" s="496">
        <v>1.4566666666666665E-2</v>
      </c>
    </row>
    <row r="36" spans="1:11" ht="14.1" customHeight="1">
      <c r="A36" s="495">
        <v>2018</v>
      </c>
      <c r="B36" s="496">
        <v>9.1249999999999994E-3</v>
      </c>
      <c r="C36" s="496">
        <v>2.5666666666666663E-3</v>
      </c>
      <c r="D36" s="497"/>
      <c r="E36" s="495">
        <v>2018</v>
      </c>
      <c r="F36" s="496">
        <v>2.5883333333333338E-2</v>
      </c>
      <c r="G36" s="496">
        <v>7.3999999999999995E-3</v>
      </c>
      <c r="I36" s="495">
        <v>2018</v>
      </c>
      <c r="J36" s="496">
        <v>2.0974999999999997E-2</v>
      </c>
      <c r="K36" s="496">
        <v>1.9008333333333332E-2</v>
      </c>
    </row>
    <row r="37" spans="1:11" ht="14.1" customHeight="1">
      <c r="A37" s="498" t="s">
        <v>724</v>
      </c>
      <c r="B37" s="499">
        <v>1.0628787878787878E-2</v>
      </c>
      <c r="C37" s="499">
        <v>3.8765151515151503E-3</v>
      </c>
      <c r="D37" s="500"/>
      <c r="E37" s="498" t="s">
        <v>724</v>
      </c>
      <c r="F37" s="499">
        <v>3.3122727272727283E-2</v>
      </c>
      <c r="G37" s="499">
        <v>1.2290151515151514E-2</v>
      </c>
      <c r="I37" s="498" t="s">
        <v>724</v>
      </c>
      <c r="J37" s="499">
        <v>2.4792424242424244E-2</v>
      </c>
      <c r="K37" s="499">
        <v>1.7597727272727272E-2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36" max="16383" man="1"/>
  </rowBreaks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44"/>
  <sheetViews>
    <sheetView showGridLines="0" zoomScaleNormal="100" workbookViewId="0"/>
  </sheetViews>
  <sheetFormatPr baseColWidth="10" defaultColWidth="11" defaultRowHeight="12"/>
  <cols>
    <col min="1" max="1" width="31.75" style="194" customWidth="1"/>
    <col min="2" max="5" width="14.875" style="194" customWidth="1"/>
    <col min="6" max="16384" width="11" style="194"/>
  </cols>
  <sheetData>
    <row r="1" spans="1:5" ht="21">
      <c r="A1" s="825" t="s">
        <v>632</v>
      </c>
      <c r="B1" s="195"/>
      <c r="C1" s="195"/>
    </row>
    <row r="3" spans="1:5" ht="12.75" customHeight="1">
      <c r="A3" s="197"/>
      <c r="B3" s="421"/>
      <c r="C3" s="198"/>
      <c r="D3" s="198"/>
    </row>
    <row r="4" spans="1:5" ht="12" customHeight="1">
      <c r="A4" s="422"/>
      <c r="B4" s="423" t="s">
        <v>627</v>
      </c>
      <c r="C4" s="423" t="s">
        <v>628</v>
      </c>
      <c r="D4" s="423" t="s">
        <v>627</v>
      </c>
      <c r="E4" s="423" t="s">
        <v>628</v>
      </c>
    </row>
    <row r="5" spans="1:5" ht="12.75" thickBot="1">
      <c r="A5" s="424" t="s">
        <v>629</v>
      </c>
      <c r="B5" s="424">
        <v>2018</v>
      </c>
      <c r="C5" s="425">
        <v>2018</v>
      </c>
      <c r="D5" s="425" t="s">
        <v>948</v>
      </c>
      <c r="E5" s="425" t="s">
        <v>948</v>
      </c>
    </row>
    <row r="6" spans="1:5" ht="14.1" customHeight="1" thickTop="1">
      <c r="A6" s="426" t="s">
        <v>67</v>
      </c>
      <c r="B6" s="451">
        <v>0</v>
      </c>
      <c r="C6" s="452">
        <v>0</v>
      </c>
      <c r="D6" s="451">
        <v>0</v>
      </c>
      <c r="E6" s="452">
        <v>0</v>
      </c>
    </row>
    <row r="7" spans="1:5" ht="14.1" customHeight="1">
      <c r="A7" s="426" t="s">
        <v>68</v>
      </c>
      <c r="B7" s="501">
        <v>2.0000000000000005E-3</v>
      </c>
      <c r="C7" s="501">
        <v>1.6666666666666667E-5</v>
      </c>
      <c r="D7" s="501">
        <v>2.0651515151515138E-3</v>
      </c>
      <c r="E7" s="501">
        <v>1.68181818181818E-4</v>
      </c>
    </row>
    <row r="8" spans="1:5" ht="14.1" customHeight="1">
      <c r="A8" s="427" t="s">
        <v>69</v>
      </c>
      <c r="B8" s="501">
        <v>3.5999999999999995E-3</v>
      </c>
      <c r="C8" s="501">
        <v>2.9999999999999997E-4</v>
      </c>
      <c r="D8" s="501">
        <v>3.5999999999999951E-3</v>
      </c>
      <c r="E8" s="501">
        <v>5.7045454545454543E-4</v>
      </c>
    </row>
    <row r="9" spans="1:5" ht="14.1" customHeight="1">
      <c r="A9" s="427" t="s">
        <v>70</v>
      </c>
      <c r="B9" s="501">
        <v>6.1000000000000004E-3</v>
      </c>
      <c r="C9" s="501">
        <v>6.5833333333333336E-4</v>
      </c>
      <c r="D9" s="501">
        <v>6.1272727272727191E-3</v>
      </c>
      <c r="E9" s="501">
        <v>9.2803030303030402E-4</v>
      </c>
    </row>
    <row r="10" spans="1:5" ht="14.1" customHeight="1">
      <c r="A10" s="426" t="s">
        <v>71</v>
      </c>
      <c r="B10" s="501">
        <v>9.4166666666666687E-3</v>
      </c>
      <c r="C10" s="501">
        <v>1.5833333333333335E-3</v>
      </c>
      <c r="D10" s="501">
        <v>9.500000000000005E-3</v>
      </c>
      <c r="E10" s="501">
        <v>2.1946969696969697E-3</v>
      </c>
    </row>
    <row r="11" spans="1:5" ht="14.1" customHeight="1">
      <c r="A11" s="427" t="s">
        <v>72</v>
      </c>
      <c r="B11" s="501">
        <v>1.6408333333333334E-2</v>
      </c>
      <c r="C11" s="501">
        <v>4.8333333333333327E-3</v>
      </c>
      <c r="D11" s="501">
        <v>1.6693939393939383E-2</v>
      </c>
      <c r="E11" s="501">
        <v>5.1356060606060601E-3</v>
      </c>
    </row>
    <row r="12" spans="1:5" ht="14.1" customHeight="1">
      <c r="A12" s="427" t="s">
        <v>73</v>
      </c>
      <c r="B12" s="453">
        <v>3.505833333333333E-2</v>
      </c>
      <c r="C12" s="501">
        <v>1.355E-2</v>
      </c>
      <c r="D12" s="501">
        <v>3.4856818181818183E-2</v>
      </c>
      <c r="E12" s="501">
        <v>1.2884090909090911E-2</v>
      </c>
    </row>
    <row r="13" spans="1:5" ht="14.1" customHeight="1">
      <c r="A13" s="426" t="s">
        <v>74</v>
      </c>
      <c r="B13" s="501">
        <v>7.1141666666666672E-2</v>
      </c>
      <c r="C13" s="501">
        <v>3.0958333333333334E-2</v>
      </c>
      <c r="D13" s="501">
        <v>7.0228030303030306E-2</v>
      </c>
      <c r="E13" s="501">
        <v>2.9274242424242411E-2</v>
      </c>
    </row>
    <row r="14" spans="1:5" ht="14.1" customHeight="1">
      <c r="A14" s="427" t="s">
        <v>75</v>
      </c>
      <c r="B14" s="501">
        <v>0.22837499999999999</v>
      </c>
      <c r="C14" s="501">
        <v>0.12440833333333334</v>
      </c>
      <c r="D14" s="501">
        <v>0.22275000000000003</v>
      </c>
      <c r="E14" s="501">
        <v>0.10693939393939393</v>
      </c>
    </row>
    <row r="15" spans="1:5" ht="14.1" customHeight="1">
      <c r="A15" s="449" t="s">
        <v>673</v>
      </c>
      <c r="B15" s="502">
        <v>8.0999999999999996E-3</v>
      </c>
      <c r="C15" s="503">
        <v>2.5000000000000001E-3</v>
      </c>
      <c r="D15" s="504">
        <v>9.1000000000000004E-3</v>
      </c>
      <c r="E15" s="504">
        <v>2.8999999999999998E-3</v>
      </c>
    </row>
    <row r="18" spans="1:5">
      <c r="B18" s="423" t="s">
        <v>627</v>
      </c>
      <c r="C18" s="423" t="s">
        <v>628</v>
      </c>
      <c r="D18" s="423" t="s">
        <v>627</v>
      </c>
      <c r="E18" s="423" t="s">
        <v>628</v>
      </c>
    </row>
    <row r="19" spans="1:5" ht="12.75" thickBot="1">
      <c r="A19" s="424" t="s">
        <v>132</v>
      </c>
      <c r="B19" s="424">
        <v>2018</v>
      </c>
      <c r="C19" s="425">
        <v>2018</v>
      </c>
      <c r="D19" s="425" t="s">
        <v>948</v>
      </c>
      <c r="E19" s="425" t="s">
        <v>948</v>
      </c>
    </row>
    <row r="20" spans="1:5" ht="14.1" customHeight="1" thickTop="1">
      <c r="A20" s="427" t="s">
        <v>67</v>
      </c>
      <c r="B20" s="453">
        <v>0</v>
      </c>
      <c r="C20" s="452">
        <v>0</v>
      </c>
      <c r="D20" s="454">
        <v>0</v>
      </c>
      <c r="E20" s="454">
        <v>0</v>
      </c>
    </row>
    <row r="21" spans="1:5" ht="14.1" customHeight="1">
      <c r="A21" s="427" t="s">
        <v>68</v>
      </c>
      <c r="B21" s="453">
        <v>0</v>
      </c>
      <c r="C21" s="452">
        <v>0</v>
      </c>
      <c r="D21" s="501">
        <v>2.4651162790697684E-3</v>
      </c>
      <c r="E21" s="501">
        <v>0</v>
      </c>
    </row>
    <row r="22" spans="1:5" ht="14.1" customHeight="1">
      <c r="A22" s="427" t="s">
        <v>69</v>
      </c>
      <c r="B22" s="501">
        <v>4.0833333333333338E-3</v>
      </c>
      <c r="C22" s="501">
        <v>0</v>
      </c>
      <c r="D22" s="501">
        <v>4.1045454545454527E-3</v>
      </c>
      <c r="E22" s="501">
        <v>1.1439393939393941E-4</v>
      </c>
    </row>
    <row r="23" spans="1:5" ht="14.1" customHeight="1">
      <c r="A23" s="427" t="s">
        <v>70</v>
      </c>
      <c r="B23" s="501">
        <v>6.0749999999999997E-3</v>
      </c>
      <c r="C23" s="501">
        <v>1.5666666666666667E-3</v>
      </c>
      <c r="D23" s="501">
        <v>6.1446969696969649E-3</v>
      </c>
      <c r="E23" s="501">
        <v>8.4015151515151511E-4</v>
      </c>
    </row>
    <row r="24" spans="1:5" ht="14.1" customHeight="1">
      <c r="A24" s="426" t="s">
        <v>71</v>
      </c>
      <c r="B24" s="501">
        <v>9.6083333333333316E-3</v>
      </c>
      <c r="C24" s="501">
        <v>1.7166666666666669E-3</v>
      </c>
      <c r="D24" s="501">
        <v>9.6893939393939647E-3</v>
      </c>
      <c r="E24" s="501">
        <v>2.2477272727272741E-3</v>
      </c>
    </row>
    <row r="25" spans="1:5" ht="14.1" customHeight="1">
      <c r="A25" s="427" t="s">
        <v>72</v>
      </c>
      <c r="B25" s="501">
        <v>1.7508333333333338E-2</v>
      </c>
      <c r="C25" s="501">
        <v>1.1716666666666665E-2</v>
      </c>
      <c r="D25" s="501">
        <v>1.7622727272727304E-2</v>
      </c>
      <c r="E25" s="501">
        <v>7.9333333333333304E-3</v>
      </c>
    </row>
    <row r="26" spans="1:5" ht="14.1" customHeight="1">
      <c r="A26" s="427" t="s">
        <v>73</v>
      </c>
      <c r="B26" s="501">
        <v>3.5033333333333333E-2</v>
      </c>
      <c r="C26" s="501">
        <v>2.3358333333333332E-2</v>
      </c>
      <c r="D26" s="501">
        <v>3.4864393939393959E-2</v>
      </c>
      <c r="E26" s="501">
        <v>1.8559848484848488E-2</v>
      </c>
    </row>
    <row r="27" spans="1:5" ht="14.1" customHeight="1">
      <c r="A27" s="426" t="s">
        <v>74</v>
      </c>
      <c r="B27" s="501">
        <v>7.0724999999999996E-2</v>
      </c>
      <c r="C27" s="501">
        <v>5.3066666666666658E-2</v>
      </c>
      <c r="D27" s="501">
        <v>6.9602272727272749E-2</v>
      </c>
      <c r="E27" s="501">
        <v>3.8839393939393951E-2</v>
      </c>
    </row>
    <row r="28" spans="1:5" ht="14.1" customHeight="1">
      <c r="A28" s="427" t="s">
        <v>75</v>
      </c>
      <c r="B28" s="501">
        <v>0.23958333333333334</v>
      </c>
      <c r="C28" s="501">
        <v>0.14757500000000001</v>
      </c>
      <c r="D28" s="501">
        <v>0.22526060606060611</v>
      </c>
      <c r="E28" s="501">
        <v>0.13416212121212123</v>
      </c>
    </row>
    <row r="29" spans="1:5" ht="14.1" customHeight="1">
      <c r="A29" s="450" t="s">
        <v>168</v>
      </c>
      <c r="B29" s="502">
        <v>2.23E-2</v>
      </c>
      <c r="C29" s="503">
        <v>1.2200000000000001E-2</v>
      </c>
      <c r="D29" s="504">
        <v>3.15E-2</v>
      </c>
      <c r="E29" s="504">
        <v>1.6400000000000001E-2</v>
      </c>
    </row>
    <row r="33" spans="1:5">
      <c r="B33" s="423" t="s">
        <v>627</v>
      </c>
      <c r="C33" s="423" t="s">
        <v>628</v>
      </c>
      <c r="D33" s="423" t="s">
        <v>627</v>
      </c>
      <c r="E33" s="423" t="s">
        <v>628</v>
      </c>
    </row>
    <row r="34" spans="1:5" ht="12.75" thickBot="1">
      <c r="A34" s="424" t="s">
        <v>21</v>
      </c>
      <c r="B34" s="424">
        <v>2018</v>
      </c>
      <c r="C34" s="425">
        <v>2018</v>
      </c>
      <c r="D34" s="425" t="s">
        <v>948</v>
      </c>
      <c r="E34" s="425" t="s">
        <v>948</v>
      </c>
    </row>
    <row r="35" spans="1:5" ht="14.1" customHeight="1" thickTop="1">
      <c r="A35" s="426" t="s">
        <v>67</v>
      </c>
      <c r="B35" s="501">
        <v>8.9999999999999998E-4</v>
      </c>
      <c r="C35" s="501">
        <v>0</v>
      </c>
      <c r="D35" s="501">
        <v>7.9999999999999993E-4</v>
      </c>
      <c r="E35" s="501">
        <v>0</v>
      </c>
    </row>
    <row r="36" spans="1:5" ht="14.1" customHeight="1">
      <c r="A36" s="426" t="s">
        <v>68</v>
      </c>
      <c r="B36" s="501">
        <v>2.241666666666667E-3</v>
      </c>
      <c r="C36" s="501">
        <v>0</v>
      </c>
      <c r="D36" s="501">
        <v>2.243939393939394E-3</v>
      </c>
      <c r="E36" s="501">
        <v>1.7954545454545453E-4</v>
      </c>
    </row>
    <row r="37" spans="1:5" ht="14.1" customHeight="1">
      <c r="A37" s="427" t="s">
        <v>69</v>
      </c>
      <c r="B37" s="501">
        <v>3.6750000000000007E-3</v>
      </c>
      <c r="C37" s="501">
        <v>1.325E-3</v>
      </c>
      <c r="D37" s="501">
        <v>3.6992424242424174E-3</v>
      </c>
      <c r="E37" s="501">
        <v>9.9848484848484857E-4</v>
      </c>
    </row>
    <row r="38" spans="1:5" ht="14.1" customHeight="1">
      <c r="A38" s="427" t="s">
        <v>70</v>
      </c>
      <c r="B38" s="501">
        <v>6.1916666666666656E-3</v>
      </c>
      <c r="C38" s="501">
        <v>2.0833333333333333E-3</v>
      </c>
      <c r="D38" s="501">
        <v>6.1825757575757487E-3</v>
      </c>
      <c r="E38" s="501">
        <v>2.5348484848484848E-3</v>
      </c>
    </row>
    <row r="39" spans="1:5" ht="14.1" customHeight="1">
      <c r="A39" s="426" t="s">
        <v>71</v>
      </c>
      <c r="B39" s="501">
        <v>9.8416666666666687E-3</v>
      </c>
      <c r="C39" s="501">
        <v>3.4999999999999996E-3</v>
      </c>
      <c r="D39" s="501">
        <v>9.7530303030303189E-3</v>
      </c>
      <c r="E39" s="501">
        <v>5.8272727272727243E-3</v>
      </c>
    </row>
    <row r="40" spans="1:5" ht="14.1" customHeight="1">
      <c r="A40" s="427" t="s">
        <v>72</v>
      </c>
      <c r="B40" s="501">
        <v>1.7666666666666667E-2</v>
      </c>
      <c r="C40" s="501">
        <v>9.9833333333333354E-3</v>
      </c>
      <c r="D40" s="501">
        <v>1.7759848484848503E-2</v>
      </c>
      <c r="E40" s="501">
        <v>1.1109848484848479E-2</v>
      </c>
    </row>
    <row r="41" spans="1:5" ht="14.1" customHeight="1">
      <c r="A41" s="427" t="s">
        <v>73</v>
      </c>
      <c r="B41" s="501">
        <v>3.5525000000000001E-2</v>
      </c>
      <c r="C41" s="501">
        <v>1.6883333333333334E-2</v>
      </c>
      <c r="D41" s="501">
        <v>3.5458333333333321E-2</v>
      </c>
      <c r="E41" s="501">
        <v>2.2121969696969696E-2</v>
      </c>
    </row>
    <row r="42" spans="1:5" ht="14.1" customHeight="1">
      <c r="A42" s="426" t="s">
        <v>74</v>
      </c>
      <c r="B42" s="501">
        <v>7.0649999999999991E-2</v>
      </c>
      <c r="C42" s="501">
        <v>2.6566666666666669E-2</v>
      </c>
      <c r="D42" s="501">
        <v>7.0331060606060564E-2</v>
      </c>
      <c r="E42" s="501">
        <v>3.7996212121212125E-2</v>
      </c>
    </row>
    <row r="43" spans="1:5" ht="14.1" customHeight="1">
      <c r="A43" s="427" t="s">
        <v>75</v>
      </c>
      <c r="B43" s="501">
        <v>0.15504166666666666</v>
      </c>
      <c r="C43" s="501">
        <v>0.10360833333333332</v>
      </c>
      <c r="D43" s="501">
        <v>0.16041969696969688</v>
      </c>
      <c r="E43" s="501">
        <v>0.12395303030303031</v>
      </c>
    </row>
    <row r="44" spans="1:5" ht="14.1" customHeight="1">
      <c r="A44" s="450" t="s">
        <v>47</v>
      </c>
      <c r="B44" s="502">
        <v>2.93E-2</v>
      </c>
      <c r="C44" s="503">
        <v>1.5299999999999999E-2</v>
      </c>
      <c r="D44" s="504">
        <v>3.1699999999999999E-2</v>
      </c>
      <c r="E44" s="504">
        <v>2.0799999999999999E-2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54"/>
  <sheetViews>
    <sheetView zoomScale="120" zoomScaleNormal="120" workbookViewId="0"/>
  </sheetViews>
  <sheetFormatPr baseColWidth="10" defaultColWidth="11" defaultRowHeight="12"/>
  <cols>
    <col min="1" max="1" width="25.625" style="18" customWidth="1"/>
    <col min="2" max="4" width="10.625" style="18" customWidth="1"/>
    <col min="5" max="5" width="15.625" style="18" customWidth="1"/>
    <col min="6" max="6" width="10.625" style="18" customWidth="1"/>
    <col min="7" max="7" width="10.875" style="18" customWidth="1"/>
    <col min="8" max="16384" width="11" style="18"/>
  </cols>
  <sheetData>
    <row r="1" spans="1:6" ht="21">
      <c r="A1" s="825" t="s">
        <v>181</v>
      </c>
    </row>
    <row r="2" spans="1:6">
      <c r="A2" s="68" t="s">
        <v>153</v>
      </c>
    </row>
    <row r="3" spans="1:6" s="261" customFormat="1">
      <c r="A3" s="68"/>
    </row>
    <row r="4" spans="1:6" s="307" customFormat="1">
      <c r="A4" s="77" t="s">
        <v>152</v>
      </c>
      <c r="B4" s="308"/>
      <c r="C4" s="308"/>
      <c r="D4" s="308"/>
      <c r="E4" s="308"/>
      <c r="F4" s="308"/>
    </row>
    <row r="5" spans="1:6" s="307" customFormat="1" ht="12.75" thickBot="1">
      <c r="A5" s="78" t="s">
        <v>826</v>
      </c>
      <c r="B5" s="79" t="s">
        <v>0</v>
      </c>
      <c r="C5" s="79" t="s">
        <v>1</v>
      </c>
      <c r="D5" s="79" t="s">
        <v>2</v>
      </c>
      <c r="E5" s="80" t="s">
        <v>149</v>
      </c>
      <c r="F5" s="308"/>
    </row>
    <row r="6" spans="1:6" s="307" customFormat="1">
      <c r="A6" s="81" t="s">
        <v>3</v>
      </c>
      <c r="B6" s="81"/>
      <c r="C6" s="81"/>
      <c r="D6" s="81"/>
      <c r="E6" s="81"/>
      <c r="F6" s="308"/>
    </row>
    <row r="7" spans="1:6" s="307" customFormat="1">
      <c r="A7" s="68" t="s">
        <v>107</v>
      </c>
      <c r="B7" s="73">
        <v>150</v>
      </c>
      <c r="C7" s="73">
        <v>97205</v>
      </c>
      <c r="D7" s="82">
        <v>1</v>
      </c>
      <c r="E7" s="83" t="s">
        <v>4</v>
      </c>
      <c r="F7" s="308"/>
    </row>
    <row r="8" spans="1:6" s="307" customFormat="1">
      <c r="A8" s="15" t="s">
        <v>828</v>
      </c>
      <c r="B8" s="73">
        <v>6700</v>
      </c>
      <c r="C8" s="73">
        <v>340725</v>
      </c>
      <c r="D8" s="82">
        <v>1</v>
      </c>
      <c r="E8" s="83" t="s">
        <v>4</v>
      </c>
      <c r="F8" s="308"/>
    </row>
    <row r="9" spans="1:6" s="307" customFormat="1">
      <c r="A9" s="15" t="s">
        <v>142</v>
      </c>
      <c r="B9" s="73">
        <v>6000</v>
      </c>
      <c r="C9" s="73">
        <v>29018</v>
      </c>
      <c r="D9" s="82">
        <v>1</v>
      </c>
      <c r="E9" s="83" t="s">
        <v>4</v>
      </c>
      <c r="F9" s="308"/>
    </row>
    <row r="10" spans="1:6" s="307" customFormat="1">
      <c r="A10" s="15" t="s">
        <v>638</v>
      </c>
      <c r="B10" s="280">
        <v>9000</v>
      </c>
      <c r="C10" s="73">
        <v>80125</v>
      </c>
      <c r="D10" s="82">
        <v>1</v>
      </c>
      <c r="E10" s="83" t="s">
        <v>4</v>
      </c>
      <c r="F10" s="308"/>
    </row>
    <row r="11" spans="1:6" s="307" customFormat="1">
      <c r="A11" s="15" t="s">
        <v>160</v>
      </c>
      <c r="B11" s="73">
        <v>90000</v>
      </c>
      <c r="C11" s="73">
        <v>144490</v>
      </c>
      <c r="D11" s="82">
        <v>1</v>
      </c>
      <c r="E11" s="83" t="s">
        <v>4</v>
      </c>
      <c r="F11" s="308"/>
    </row>
    <row r="12" spans="1:6" s="308" customFormat="1">
      <c r="A12" s="15" t="s">
        <v>210</v>
      </c>
      <c r="B12" s="73">
        <v>8000</v>
      </c>
      <c r="C12" s="73">
        <v>433016</v>
      </c>
      <c r="D12" s="82">
        <v>1</v>
      </c>
      <c r="E12" s="83" t="s">
        <v>4</v>
      </c>
    </row>
    <row r="13" spans="1:6" s="307" customFormat="1">
      <c r="A13" s="15" t="s">
        <v>639</v>
      </c>
      <c r="B13" s="280">
        <v>5000000</v>
      </c>
      <c r="C13" s="73">
        <v>5000150</v>
      </c>
      <c r="D13" s="82">
        <v>1</v>
      </c>
      <c r="E13" s="83" t="s">
        <v>4</v>
      </c>
      <c r="F13" s="308"/>
    </row>
    <row r="14" spans="1:6" s="308" customFormat="1">
      <c r="A14" s="15" t="s">
        <v>841</v>
      </c>
      <c r="B14" s="552">
        <v>3000000</v>
      </c>
      <c r="C14" s="73">
        <v>3000</v>
      </c>
      <c r="D14" s="586">
        <v>1</v>
      </c>
      <c r="E14" s="83" t="s">
        <v>4</v>
      </c>
    </row>
    <row r="15" spans="1:6" s="307" customFormat="1">
      <c r="A15" s="85" t="s">
        <v>5</v>
      </c>
      <c r="B15" s="86"/>
      <c r="C15" s="86">
        <f>SUM(C7:C14)</f>
        <v>6127729</v>
      </c>
      <c r="D15" s="87"/>
      <c r="E15" s="88"/>
      <c r="F15" s="308"/>
    </row>
    <row r="16" spans="1:6" s="307" customFormat="1">
      <c r="A16" s="68"/>
      <c r="B16" s="308"/>
      <c r="C16" s="308"/>
      <c r="D16" s="308"/>
      <c r="E16" s="308"/>
      <c r="F16" s="308"/>
    </row>
    <row r="17" spans="1:10" s="261" customFormat="1">
      <c r="A17" s="77" t="s">
        <v>152</v>
      </c>
      <c r="B17" s="23"/>
      <c r="C17" s="23"/>
      <c r="D17" s="23"/>
      <c r="E17" s="23"/>
      <c r="F17" s="308"/>
    </row>
    <row r="18" spans="1:10" s="261" customFormat="1" ht="12.75" thickBot="1">
      <c r="A18" s="78" t="s">
        <v>787</v>
      </c>
      <c r="B18" s="79" t="s">
        <v>0</v>
      </c>
      <c r="C18" s="79" t="s">
        <v>1</v>
      </c>
      <c r="D18" s="79" t="s">
        <v>2</v>
      </c>
      <c r="E18" s="80" t="s">
        <v>149</v>
      </c>
      <c r="F18" s="308"/>
    </row>
    <row r="19" spans="1:10" s="261" customFormat="1">
      <c r="A19" s="72" t="s">
        <v>3</v>
      </c>
      <c r="B19" s="72"/>
      <c r="C19" s="72"/>
      <c r="D19" s="72"/>
      <c r="E19" s="72"/>
      <c r="F19" s="308"/>
    </row>
    <row r="20" spans="1:10" s="261" customFormat="1" ht="12" customHeight="1">
      <c r="A20" s="68" t="s">
        <v>107</v>
      </c>
      <c r="B20" s="73">
        <v>150</v>
      </c>
      <c r="C20" s="73">
        <v>97205</v>
      </c>
      <c r="D20" s="82">
        <v>1</v>
      </c>
      <c r="E20" s="83" t="s">
        <v>4</v>
      </c>
      <c r="F20" s="308"/>
    </row>
    <row r="21" spans="1:10" s="261" customFormat="1" ht="12" customHeight="1">
      <c r="A21" s="15" t="s">
        <v>827</v>
      </c>
      <c r="B21" s="73">
        <v>4700</v>
      </c>
      <c r="C21" s="73">
        <v>224225</v>
      </c>
      <c r="D21" s="82">
        <v>1</v>
      </c>
      <c r="E21" s="83" t="s">
        <v>4</v>
      </c>
      <c r="F21" s="308"/>
    </row>
    <row r="22" spans="1:10" s="261" customFormat="1">
      <c r="A22" s="15" t="s">
        <v>142</v>
      </c>
      <c r="B22" s="73">
        <v>6000</v>
      </c>
      <c r="C22" s="73">
        <v>29018</v>
      </c>
      <c r="D22" s="82">
        <v>1</v>
      </c>
      <c r="E22" s="83" t="s">
        <v>4</v>
      </c>
      <c r="F22" s="308"/>
    </row>
    <row r="23" spans="1:10" s="261" customFormat="1">
      <c r="A23" s="15" t="s">
        <v>638</v>
      </c>
      <c r="B23" s="280">
        <v>9000</v>
      </c>
      <c r="C23" s="73">
        <v>80125</v>
      </c>
      <c r="D23" s="82">
        <v>1</v>
      </c>
      <c r="E23" s="83" t="s">
        <v>4</v>
      </c>
      <c r="F23" s="308"/>
    </row>
    <row r="24" spans="1:10" s="261" customFormat="1">
      <c r="A24" s="15" t="s">
        <v>160</v>
      </c>
      <c r="B24" s="73">
        <v>90000</v>
      </c>
      <c r="C24" s="73">
        <v>164382</v>
      </c>
      <c r="D24" s="82">
        <v>1</v>
      </c>
      <c r="E24" s="83" t="s">
        <v>4</v>
      </c>
      <c r="F24" s="308"/>
    </row>
    <row r="25" spans="1:10" s="261" customFormat="1">
      <c r="A25" s="15" t="s">
        <v>210</v>
      </c>
      <c r="B25" s="73">
        <v>8000</v>
      </c>
      <c r="C25" s="73">
        <v>258016</v>
      </c>
      <c r="D25" s="82">
        <v>1</v>
      </c>
      <c r="E25" s="83" t="s">
        <v>4</v>
      </c>
      <c r="F25" s="308"/>
    </row>
    <row r="26" spans="1:10" s="261" customFormat="1">
      <c r="A26" s="15" t="s">
        <v>639</v>
      </c>
      <c r="B26" s="280">
        <v>4000000</v>
      </c>
      <c r="C26" s="73">
        <v>4000150</v>
      </c>
      <c r="D26" s="82">
        <v>1</v>
      </c>
      <c r="E26" s="83" t="s">
        <v>4</v>
      </c>
      <c r="F26" s="308"/>
    </row>
    <row r="27" spans="1:10" s="283" customFormat="1">
      <c r="A27" s="85" t="s">
        <v>5</v>
      </c>
      <c r="B27" s="86"/>
      <c r="C27" s="314">
        <f>SUM(C20:C26)</f>
        <v>4853121</v>
      </c>
      <c r="D27" s="87"/>
      <c r="E27" s="88"/>
      <c r="F27" s="308"/>
    </row>
    <row r="28" spans="1:10" ht="12" hidden="1" customHeight="1">
      <c r="A28" s="15"/>
      <c r="B28" s="72"/>
      <c r="C28" s="72"/>
      <c r="D28" s="82"/>
      <c r="E28" s="15"/>
      <c r="F28" s="15"/>
    </row>
    <row r="29" spans="1:10" ht="12" hidden="1" customHeight="1">
      <c r="A29" s="15"/>
      <c r="B29" s="72"/>
      <c r="C29" s="72"/>
      <c r="D29" s="82"/>
      <c r="E29" s="15"/>
      <c r="F29" s="15"/>
      <c r="J29" s="15"/>
    </row>
    <row r="30" spans="1:10" ht="12" hidden="1" customHeight="1">
      <c r="A30" s="308"/>
      <c r="B30" s="308"/>
      <c r="C30" s="308"/>
      <c r="D30" s="308"/>
      <c r="E30" s="308"/>
      <c r="F30" s="15"/>
    </row>
    <row r="31" spans="1:10">
      <c r="A31" s="308"/>
      <c r="B31" s="308"/>
      <c r="C31" s="308"/>
      <c r="D31" s="308"/>
      <c r="E31" s="308"/>
      <c r="F31" s="15"/>
    </row>
    <row r="32" spans="1:10">
      <c r="A32" s="15" t="s">
        <v>6</v>
      </c>
      <c r="B32" s="72"/>
      <c r="C32" s="72"/>
      <c r="D32" s="82"/>
      <c r="E32" s="15"/>
      <c r="F32" s="15"/>
    </row>
    <row r="33" spans="1:7" s="308" customFormat="1">
      <c r="A33" s="15"/>
      <c r="B33" s="72"/>
      <c r="C33" s="72"/>
      <c r="D33" s="82"/>
      <c r="E33" s="15"/>
      <c r="F33" s="15"/>
    </row>
    <row r="34" spans="1:7" s="308" customFormat="1">
      <c r="A34" s="15"/>
      <c r="B34" s="72"/>
      <c r="C34" s="72"/>
      <c r="D34" s="82"/>
      <c r="E34" s="15"/>
      <c r="F34" s="15"/>
    </row>
    <row r="35" spans="1:7" s="308" customFormat="1">
      <c r="A35" s="15"/>
      <c r="B35" s="72"/>
      <c r="C35" s="72"/>
      <c r="D35" s="82"/>
      <c r="E35" s="15"/>
      <c r="F35" s="15"/>
    </row>
    <row r="36" spans="1:7">
      <c r="A36" s="308"/>
      <c r="B36" s="308"/>
      <c r="C36" s="72"/>
      <c r="D36" s="82"/>
      <c r="E36" s="15"/>
      <c r="F36" s="15"/>
    </row>
    <row r="37" spans="1:7">
      <c r="A37" s="14" t="s">
        <v>144</v>
      </c>
      <c r="B37" s="72"/>
      <c r="C37" s="72"/>
      <c r="D37" s="82"/>
      <c r="E37" s="15"/>
      <c r="F37" s="15"/>
    </row>
    <row r="38" spans="1:7" s="308" customFormat="1">
      <c r="D38" s="82"/>
      <c r="E38" s="15"/>
      <c r="F38" s="15"/>
    </row>
    <row r="39" spans="1:7" s="308" customFormat="1">
      <c r="B39" s="828" t="s">
        <v>251</v>
      </c>
      <c r="C39" s="828"/>
      <c r="D39" s="82"/>
      <c r="E39" s="15"/>
      <c r="F39" s="15"/>
    </row>
    <row r="40" spans="1:7" ht="13.5" customHeight="1" thickBot="1">
      <c r="A40" s="1" t="s">
        <v>133</v>
      </c>
      <c r="B40" s="2">
        <v>43465</v>
      </c>
      <c r="C40" s="3">
        <v>43100</v>
      </c>
      <c r="D40" s="82"/>
      <c r="E40" s="15"/>
      <c r="F40" s="15"/>
    </row>
    <row r="41" spans="1:7">
      <c r="A41" s="308" t="s">
        <v>16</v>
      </c>
      <c r="B41" s="384">
        <v>19</v>
      </c>
      <c r="C41" s="569">
        <v>19</v>
      </c>
      <c r="D41" s="82"/>
      <c r="E41" s="15"/>
      <c r="F41" s="15"/>
    </row>
    <row r="42" spans="1:7">
      <c r="A42" s="15" t="s">
        <v>241</v>
      </c>
      <c r="B42" s="603">
        <v>91</v>
      </c>
      <c r="C42" s="19">
        <v>83</v>
      </c>
      <c r="D42" s="82"/>
      <c r="E42" s="15"/>
      <c r="F42" s="15"/>
    </row>
    <row r="43" spans="1:7">
      <c r="A43" s="320" t="s">
        <v>145</v>
      </c>
      <c r="B43" s="611">
        <v>21.19</v>
      </c>
      <c r="C43" s="430">
        <v>23.29</v>
      </c>
      <c r="D43" s="308"/>
      <c r="F43" s="308"/>
    </row>
    <row r="44" spans="1:7">
      <c r="A44" s="15"/>
      <c r="B44" s="72"/>
      <c r="C44" s="72"/>
      <c r="D44" s="15"/>
      <c r="E44" s="15"/>
      <c r="F44" s="15"/>
    </row>
    <row r="45" spans="1:7" s="308" customFormat="1">
      <c r="A45" s="15"/>
      <c r="B45" s="72"/>
      <c r="C45" s="72"/>
      <c r="D45" s="82"/>
      <c r="E45" s="15"/>
      <c r="F45" s="15"/>
    </row>
    <row r="46" spans="1:7">
      <c r="A46" s="14" t="s">
        <v>654</v>
      </c>
      <c r="B46" s="72"/>
      <c r="C46" s="72"/>
      <c r="D46" s="82"/>
      <c r="E46" s="15"/>
      <c r="F46" s="15"/>
    </row>
    <row r="47" spans="1:7">
      <c r="A47" s="308"/>
      <c r="D47" s="82"/>
      <c r="E47" s="15"/>
      <c r="F47" s="15"/>
    </row>
    <row r="48" spans="1:7" ht="12.75">
      <c r="A48" s="308"/>
      <c r="B48" s="826" t="s">
        <v>780</v>
      </c>
      <c r="C48" s="827"/>
      <c r="D48" s="308"/>
      <c r="E48" s="308"/>
      <c r="F48" s="308"/>
      <c r="G48" s="308"/>
    </row>
    <row r="49" spans="1:7" ht="12.75" thickBot="1">
      <c r="A49" s="1" t="s">
        <v>133</v>
      </c>
      <c r="B49" s="2">
        <v>43465</v>
      </c>
      <c r="C49" s="3">
        <v>43100</v>
      </c>
      <c r="D49" s="308"/>
      <c r="E49" s="308"/>
      <c r="F49" s="308"/>
      <c r="G49" s="308"/>
    </row>
    <row r="50" spans="1:7">
      <c r="A50" s="308" t="s">
        <v>16</v>
      </c>
      <c r="B50" s="583">
        <v>5187</v>
      </c>
      <c r="C50" s="71">
        <v>3934</v>
      </c>
      <c r="D50" s="308"/>
      <c r="E50" s="308"/>
      <c r="F50" s="308"/>
      <c r="G50" s="308"/>
    </row>
    <row r="51" spans="1:7">
      <c r="A51" s="15" t="s">
        <v>241</v>
      </c>
      <c r="B51" s="583">
        <v>24392</v>
      </c>
      <c r="C51" s="71">
        <v>16925</v>
      </c>
      <c r="D51" s="308"/>
      <c r="E51" s="308"/>
      <c r="F51" s="308"/>
      <c r="G51" s="308"/>
    </row>
    <row r="52" spans="1:7">
      <c r="A52" s="320" t="s">
        <v>145</v>
      </c>
      <c r="B52" s="610">
        <v>21.27</v>
      </c>
      <c r="C52" s="320">
        <v>23.24</v>
      </c>
      <c r="D52" s="308"/>
      <c r="E52" s="308"/>
      <c r="F52" s="308"/>
      <c r="G52" s="308"/>
    </row>
    <row r="53" spans="1:7">
      <c r="A53" s="308"/>
      <c r="B53" s="308"/>
      <c r="C53" s="308"/>
      <c r="D53" s="308"/>
      <c r="E53" s="308"/>
      <c r="F53" s="308"/>
      <c r="G53" s="308"/>
    </row>
    <row r="54" spans="1:7">
      <c r="A54" s="308"/>
      <c r="B54" s="308"/>
      <c r="C54" s="308"/>
      <c r="D54" s="308"/>
      <c r="E54" s="308"/>
      <c r="F54" s="308"/>
    </row>
  </sheetData>
  <mergeCells count="2">
    <mergeCell ref="B48:C48"/>
    <mergeCell ref="B39:C39"/>
  </mergeCells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P25"/>
  <sheetViews>
    <sheetView showGridLines="0" zoomScaleNormal="100" workbookViewId="0"/>
  </sheetViews>
  <sheetFormatPr baseColWidth="10" defaultColWidth="11" defaultRowHeight="12"/>
  <cols>
    <col min="1" max="1" width="32.75" style="194" bestFit="1" customWidth="1"/>
    <col min="2" max="2" width="11.875" style="194" bestFit="1" customWidth="1"/>
    <col min="3" max="3" width="11.125" style="194" bestFit="1" customWidth="1"/>
    <col min="4" max="4" width="11.875" style="194" bestFit="1" customWidth="1"/>
    <col min="5" max="5" width="11.125" style="194" bestFit="1" customWidth="1"/>
    <col min="6" max="8" width="11" style="194"/>
    <col min="9" max="9" width="23.125" style="194" customWidth="1"/>
    <col min="10" max="16384" width="11" style="194"/>
  </cols>
  <sheetData>
    <row r="1" spans="1:16" ht="21">
      <c r="A1" s="825" t="s">
        <v>637</v>
      </c>
      <c r="B1" s="195"/>
      <c r="C1" s="195"/>
      <c r="E1" s="308"/>
      <c r="G1" s="18"/>
    </row>
    <row r="2" spans="1:16">
      <c r="E2" s="308"/>
      <c r="G2" s="18"/>
      <c r="I2" s="813"/>
      <c r="J2" s="813"/>
      <c r="K2" s="813"/>
      <c r="L2" s="813"/>
      <c r="M2" s="813"/>
      <c r="N2" s="813"/>
      <c r="O2" s="813"/>
      <c r="P2" s="813"/>
    </row>
    <row r="3" spans="1:16" ht="12.75" customHeight="1">
      <c r="A3" s="197"/>
      <c r="B3" s="200"/>
      <c r="C3" s="198"/>
      <c r="D3" s="198"/>
      <c r="I3" s="813"/>
      <c r="J3" s="813"/>
      <c r="K3" s="813"/>
      <c r="L3" s="813"/>
      <c r="M3" s="813"/>
      <c r="N3" s="813"/>
      <c r="O3" s="813"/>
      <c r="P3" s="813"/>
    </row>
    <row r="4" spans="1:16" ht="12" customHeight="1">
      <c r="B4" s="414" t="s">
        <v>630</v>
      </c>
      <c r="C4" s="414" t="s">
        <v>631</v>
      </c>
      <c r="D4" s="414" t="s">
        <v>630</v>
      </c>
      <c r="E4" s="414" t="s">
        <v>631</v>
      </c>
      <c r="I4" s="813"/>
      <c r="J4" s="813"/>
      <c r="K4" s="813"/>
      <c r="L4" s="813"/>
      <c r="M4" s="813"/>
      <c r="N4" s="813"/>
      <c r="O4" s="813"/>
      <c r="P4" s="813"/>
    </row>
    <row r="5" spans="1:16" ht="12" customHeight="1" thickBot="1">
      <c r="A5" s="413" t="s">
        <v>626</v>
      </c>
      <c r="B5" s="413">
        <v>2017</v>
      </c>
      <c r="C5" s="412">
        <v>2017</v>
      </c>
      <c r="D5" s="412" t="s">
        <v>949</v>
      </c>
      <c r="E5" s="412" t="s">
        <v>949</v>
      </c>
      <c r="I5" s="813"/>
      <c r="J5" s="813"/>
      <c r="K5" s="813"/>
      <c r="L5" s="813"/>
      <c r="M5" s="813"/>
      <c r="N5" s="813"/>
      <c r="O5" s="813"/>
      <c r="P5" s="813"/>
    </row>
    <row r="6" spans="1:16" ht="12.95" customHeight="1" thickTop="1">
      <c r="A6" s="415" t="s">
        <v>629</v>
      </c>
      <c r="B6" s="416">
        <v>0.26900000000000002</v>
      </c>
      <c r="C6" s="417">
        <v>6.0000000000000001E-3</v>
      </c>
      <c r="D6" s="416">
        <v>0.316</v>
      </c>
      <c r="E6" s="417">
        <v>5.5E-2</v>
      </c>
      <c r="I6" s="813"/>
      <c r="J6" s="813"/>
      <c r="K6" s="813"/>
      <c r="L6" s="813"/>
      <c r="M6" s="813"/>
      <c r="N6" s="813"/>
      <c r="O6" s="813"/>
      <c r="P6" s="813"/>
    </row>
    <row r="7" spans="1:16" ht="12.95" customHeight="1">
      <c r="A7" s="418" t="s">
        <v>132</v>
      </c>
      <c r="B7" s="419">
        <v>0.53600000000000003</v>
      </c>
      <c r="C7" s="417">
        <v>0.33700000000000002</v>
      </c>
      <c r="D7" s="420">
        <v>0.54800000000000004</v>
      </c>
      <c r="E7" s="420">
        <v>0.32</v>
      </c>
      <c r="I7" s="813"/>
      <c r="J7" s="813"/>
      <c r="K7" s="813"/>
      <c r="L7" s="813"/>
      <c r="M7" s="813"/>
      <c r="N7" s="813"/>
      <c r="O7" s="813"/>
      <c r="P7" s="813"/>
    </row>
    <row r="8" spans="1:16" ht="12.95" customHeight="1">
      <c r="A8" s="418" t="s">
        <v>21</v>
      </c>
      <c r="B8" s="419">
        <v>0.439</v>
      </c>
      <c r="C8" s="417">
        <v>0.27700000000000002</v>
      </c>
      <c r="D8" s="420">
        <v>0.52100000000000002</v>
      </c>
      <c r="E8" s="420">
        <v>0.28199999999999997</v>
      </c>
      <c r="I8" s="813"/>
      <c r="J8" s="813"/>
      <c r="K8" s="813"/>
      <c r="L8" s="813"/>
      <c r="M8" s="813"/>
      <c r="N8" s="813"/>
      <c r="O8" s="813"/>
      <c r="P8" s="813"/>
    </row>
    <row r="10" spans="1:16">
      <c r="A10" s="194" t="s">
        <v>951</v>
      </c>
    </row>
    <row r="13" spans="1:16" ht="21">
      <c r="A13" s="825" t="s">
        <v>727</v>
      </c>
      <c r="B13" s="195"/>
      <c r="C13" s="195"/>
      <c r="E13" s="308"/>
    </row>
    <row r="14" spans="1:16">
      <c r="E14" s="308"/>
    </row>
    <row r="15" spans="1:16">
      <c r="A15" s="197"/>
      <c r="B15" s="200"/>
      <c r="C15" s="198"/>
      <c r="D15" s="198"/>
    </row>
    <row r="16" spans="1:16">
      <c r="B16" s="414" t="s">
        <v>630</v>
      </c>
      <c r="C16" s="414" t="s">
        <v>631</v>
      </c>
      <c r="D16" s="414" t="s">
        <v>630</v>
      </c>
      <c r="E16" s="414" t="s">
        <v>631</v>
      </c>
    </row>
    <row r="17" spans="1:5" ht="12.75" thickBot="1">
      <c r="A17" s="413" t="s">
        <v>626</v>
      </c>
      <c r="B17" s="413">
        <v>2017</v>
      </c>
      <c r="C17" s="412">
        <v>2017</v>
      </c>
      <c r="D17" s="412" t="s">
        <v>949</v>
      </c>
      <c r="E17" s="412" t="s">
        <v>949</v>
      </c>
    </row>
    <row r="18" spans="1:5" ht="12.95" customHeight="1" thickTop="1">
      <c r="A18" s="415" t="s">
        <v>629</v>
      </c>
      <c r="B18" s="416">
        <v>0.28599999999999998</v>
      </c>
      <c r="C18" s="417">
        <v>6.0000000000000001E-3</v>
      </c>
      <c r="D18" s="416">
        <v>0.32600000000000001</v>
      </c>
      <c r="E18" s="417">
        <v>3.5000000000000003E-2</v>
      </c>
    </row>
    <row r="19" spans="1:5" ht="12.95" customHeight="1">
      <c r="A19" s="418" t="s">
        <v>132</v>
      </c>
      <c r="B19" s="419">
        <v>0.40200000000000002</v>
      </c>
      <c r="C19" s="417">
        <v>0.375</v>
      </c>
      <c r="D19" s="420">
        <v>0.53300000000000003</v>
      </c>
      <c r="E19" s="420">
        <v>0.26400000000000001</v>
      </c>
    </row>
    <row r="20" spans="1:5" ht="12.95" customHeight="1">
      <c r="A20" s="418" t="s">
        <v>21</v>
      </c>
      <c r="B20" s="419">
        <v>0.438</v>
      </c>
      <c r="C20" s="417">
        <v>0.26900000000000002</v>
      </c>
      <c r="D20" s="420">
        <v>0.46300000000000002</v>
      </c>
      <c r="E20" s="420">
        <v>0.21099999999999999</v>
      </c>
    </row>
    <row r="22" spans="1:5">
      <c r="A22" s="194" t="s">
        <v>950</v>
      </c>
    </row>
    <row r="24" spans="1:5">
      <c r="A24" s="194" t="s">
        <v>952</v>
      </c>
    </row>
    <row r="25" spans="1:5">
      <c r="A25" s="194" t="s">
        <v>953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G8"/>
  <sheetViews>
    <sheetView showGridLines="0" workbookViewId="0"/>
  </sheetViews>
  <sheetFormatPr baseColWidth="10" defaultColWidth="11" defaultRowHeight="12"/>
  <cols>
    <col min="1" max="3" width="11" style="27"/>
    <col min="4" max="4" width="5.125" style="27" customWidth="1"/>
    <col min="5" max="16384" width="11" style="27"/>
  </cols>
  <sheetData>
    <row r="1" spans="1:7" ht="21">
      <c r="A1" s="825" t="s">
        <v>733</v>
      </c>
      <c r="B1" s="194"/>
      <c r="C1" s="195"/>
      <c r="D1" s="194"/>
      <c r="E1" s="194"/>
    </row>
    <row r="2" spans="1:7">
      <c r="A2" s="194"/>
      <c r="B2" s="194"/>
      <c r="C2" s="194"/>
      <c r="D2" s="194"/>
      <c r="E2" s="194"/>
    </row>
    <row r="3" spans="1:7">
      <c r="A3" s="508" t="s">
        <v>730</v>
      </c>
      <c r="E3" s="508" t="s">
        <v>21</v>
      </c>
    </row>
    <row r="5" spans="1:7" ht="12.75" thickBot="1">
      <c r="A5" s="509" t="s">
        <v>723</v>
      </c>
      <c r="B5" s="511" t="s">
        <v>731</v>
      </c>
      <c r="C5" s="511" t="s">
        <v>732</v>
      </c>
      <c r="E5" s="509" t="s">
        <v>723</v>
      </c>
      <c r="F5" s="511" t="s">
        <v>731</v>
      </c>
      <c r="G5" s="511" t="s">
        <v>732</v>
      </c>
    </row>
    <row r="6" spans="1:7" ht="13.5" customHeight="1" thickTop="1">
      <c r="A6" s="495">
        <v>2016</v>
      </c>
      <c r="B6" s="510">
        <v>2.7804258962259511E-3</v>
      </c>
      <c r="C6" s="510">
        <v>2.3979226676012013E-4</v>
      </c>
      <c r="E6" s="495">
        <v>2016</v>
      </c>
      <c r="F6" s="510">
        <v>1.1059053007654591E-2</v>
      </c>
      <c r="G6" s="510">
        <v>7.7910302770359437E-3</v>
      </c>
    </row>
    <row r="7" spans="1:7" ht="13.5" customHeight="1">
      <c r="A7" s="495">
        <v>2017</v>
      </c>
      <c r="B7" s="510">
        <v>2.5566634336990899E-3</v>
      </c>
      <c r="C7" s="510">
        <v>4.360074040469622E-4</v>
      </c>
      <c r="E7" s="495">
        <v>2017</v>
      </c>
      <c r="F7" s="510">
        <v>1.3838391011895233E-2</v>
      </c>
      <c r="G7" s="510">
        <v>6.8096381966356711E-3</v>
      </c>
    </row>
    <row r="8" spans="1:7" ht="13.5" customHeight="1">
      <c r="A8" s="495">
        <v>2018</v>
      </c>
      <c r="B8" s="510">
        <v>2.9115202344628661E-3</v>
      </c>
      <c r="C8" s="510">
        <v>1.3470011389609529E-4</v>
      </c>
      <c r="E8" s="495">
        <v>2018</v>
      </c>
      <c r="F8" s="510">
        <v>1.586020933411059E-2</v>
      </c>
      <c r="G8" s="510">
        <v>4.5037239781314979E-3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tabColor rgb="FF92D050"/>
    <pageSetUpPr fitToPage="1"/>
  </sheetPr>
  <dimension ref="A1:M30"/>
  <sheetViews>
    <sheetView showGridLines="0" zoomScaleNormal="100" workbookViewId="0"/>
  </sheetViews>
  <sheetFormatPr baseColWidth="10" defaultColWidth="11" defaultRowHeight="12"/>
  <cols>
    <col min="1" max="1" width="21.25" style="18" customWidth="1"/>
    <col min="2" max="2" width="9.875" style="18" customWidth="1"/>
    <col min="3" max="3" width="14.125" style="18" customWidth="1"/>
    <col min="4" max="4" width="11.125" style="18" customWidth="1"/>
    <col min="5" max="5" width="2.125" style="18" customWidth="1"/>
    <col min="6" max="6" width="15.125" style="18" customWidth="1"/>
    <col min="7" max="7" width="11.125" style="18" customWidth="1"/>
    <col min="8" max="8" width="2.125" style="18" customWidth="1"/>
    <col min="9" max="9" width="15.625" style="18" customWidth="1"/>
    <col min="10" max="11" width="16.125" style="18" customWidth="1"/>
    <col min="12" max="12" width="11" style="18" customWidth="1"/>
    <col min="13" max="16384" width="11" style="18"/>
  </cols>
  <sheetData>
    <row r="1" spans="1:13" ht="21">
      <c r="A1" s="825" t="s">
        <v>671</v>
      </c>
      <c r="F1" s="15"/>
      <c r="G1" s="15"/>
      <c r="H1" s="15"/>
      <c r="I1" s="15"/>
    </row>
    <row r="3" spans="1:13">
      <c r="A3" s="201"/>
    </row>
    <row r="4" spans="1:13" ht="12.75">
      <c r="A4" s="202"/>
      <c r="C4" s="845">
        <v>2018</v>
      </c>
      <c r="D4" s="846"/>
      <c r="E4" s="203"/>
      <c r="F4" s="847">
        <v>2017</v>
      </c>
      <c r="G4" s="846"/>
    </row>
    <row r="5" spans="1:13" ht="39" thickBot="1">
      <c r="A5" s="844" t="s">
        <v>158</v>
      </c>
      <c r="B5" s="844"/>
      <c r="C5" s="80" t="s">
        <v>157</v>
      </c>
      <c r="D5" s="179" t="s">
        <v>192</v>
      </c>
      <c r="E5" s="179"/>
      <c r="F5" s="204" t="s">
        <v>157</v>
      </c>
      <c r="G5" s="205" t="s">
        <v>193</v>
      </c>
      <c r="H5" s="1"/>
      <c r="L5" s="206"/>
      <c r="M5" s="206"/>
    </row>
    <row r="6" spans="1:13" s="308" customFormat="1">
      <c r="A6" s="455" t="s">
        <v>674</v>
      </c>
      <c r="B6" s="455"/>
      <c r="C6" s="62"/>
      <c r="D6" s="456"/>
      <c r="E6" s="456"/>
      <c r="F6" s="442"/>
      <c r="G6" s="443"/>
      <c r="H6" s="15"/>
      <c r="L6" s="206"/>
      <c r="M6" s="206"/>
    </row>
    <row r="7" spans="1:13" s="308" customFormat="1">
      <c r="A7" s="58" t="s">
        <v>104</v>
      </c>
      <c r="B7" s="58"/>
      <c r="C7" s="180">
        <v>42698.741999999998</v>
      </c>
      <c r="D7" s="207">
        <f>23859.693/C7</f>
        <v>0.55879147446545385</v>
      </c>
      <c r="E7" s="443"/>
      <c r="F7" s="180">
        <v>36733.525999999998</v>
      </c>
      <c r="G7" s="207">
        <v>0.55051845553840928</v>
      </c>
      <c r="H7" s="15"/>
      <c r="L7" s="206"/>
      <c r="M7" s="206"/>
    </row>
    <row r="8" spans="1:13" s="308" customFormat="1">
      <c r="A8" s="58" t="s">
        <v>270</v>
      </c>
      <c r="B8" s="58"/>
      <c r="C8" s="180">
        <f>30240.353+0.673</f>
        <v>30241.025999999998</v>
      </c>
      <c r="D8" s="207">
        <f>5190.564/C8</f>
        <v>0.17163981142703294</v>
      </c>
      <c r="E8" s="443"/>
      <c r="F8" s="180">
        <v>26904.261999999999</v>
      </c>
      <c r="G8" s="207">
        <v>0.17255853366280779</v>
      </c>
      <c r="H8" s="15"/>
      <c r="L8" s="206"/>
      <c r="M8" s="206"/>
    </row>
    <row r="9" spans="1:13" s="308" customFormat="1">
      <c r="A9" s="444" t="s">
        <v>103</v>
      </c>
      <c r="B9" s="444"/>
      <c r="C9" s="446">
        <v>10587.543</v>
      </c>
      <c r="D9" s="445">
        <f>618.064/C9</f>
        <v>5.8376527963097766E-2</v>
      </c>
      <c r="E9" s="446"/>
      <c r="F9" s="446">
        <v>9886.982</v>
      </c>
      <c r="G9" s="445">
        <v>6.4609503688789968E-2</v>
      </c>
      <c r="H9" s="21"/>
      <c r="L9" s="206"/>
      <c r="M9" s="206"/>
    </row>
    <row r="10" spans="1:13">
      <c r="A10" s="102" t="s">
        <v>22</v>
      </c>
      <c r="B10" s="60"/>
      <c r="C10" s="60"/>
      <c r="D10" s="60"/>
      <c r="E10" s="60"/>
      <c r="F10" s="60"/>
      <c r="G10" s="481"/>
      <c r="L10" s="208"/>
    </row>
    <row r="11" spans="1:13">
      <c r="A11" s="65" t="s">
        <v>92</v>
      </c>
      <c r="B11" s="65"/>
      <c r="C11" s="180">
        <v>135229.54699999999</v>
      </c>
      <c r="D11" s="207">
        <f>118956.212/C11</f>
        <v>0.87966139530142773</v>
      </c>
      <c r="E11" s="207"/>
      <c r="F11" s="180">
        <v>131569.682</v>
      </c>
      <c r="G11" s="207">
        <v>0.88456913652797298</v>
      </c>
      <c r="L11" s="208"/>
    </row>
    <row r="12" spans="1:13">
      <c r="A12" s="65" t="s">
        <v>61</v>
      </c>
      <c r="B12" s="60"/>
      <c r="C12" s="180">
        <v>5949.77</v>
      </c>
      <c r="D12" s="207">
        <f>5061.319/C12</f>
        <v>0.85067473196442889</v>
      </c>
      <c r="E12" s="207"/>
      <c r="F12" s="180">
        <v>5924.4380000000001</v>
      </c>
      <c r="G12" s="207">
        <v>0.85278046626532333</v>
      </c>
      <c r="L12" s="208"/>
    </row>
    <row r="13" spans="1:13" ht="12" customHeight="1">
      <c r="A13" s="65" t="s">
        <v>93</v>
      </c>
      <c r="B13" s="60"/>
      <c r="C13" s="180">
        <f>370.355+4797.872</f>
        <v>5168.2270000000008</v>
      </c>
      <c r="D13" s="207">
        <f>(22.013+228.242)/C13</f>
        <v>4.842182822078054E-2</v>
      </c>
      <c r="E13" s="199" t="s">
        <v>95</v>
      </c>
      <c r="F13" s="180">
        <v>4602.8670000000002</v>
      </c>
      <c r="G13" s="207">
        <v>4.21263529882571E-2</v>
      </c>
      <c r="H13" s="199" t="s">
        <v>95</v>
      </c>
      <c r="L13" s="208"/>
    </row>
    <row r="14" spans="1:13">
      <c r="A14" s="103" t="s">
        <v>91</v>
      </c>
      <c r="B14" s="209"/>
      <c r="C14" s="638">
        <f>SUM(C7:C13)</f>
        <v>229874.85500000001</v>
      </c>
      <c r="D14" s="210"/>
      <c r="E14" s="210"/>
      <c r="F14" s="210">
        <f>SUM(F7:F13)</f>
        <v>215621.75699999998</v>
      </c>
      <c r="G14" s="210"/>
      <c r="H14" s="211"/>
      <c r="L14" s="71"/>
    </row>
    <row r="15" spans="1:13" ht="13.5" customHeight="1">
      <c r="A15" s="212"/>
      <c r="B15" s="212"/>
      <c r="C15" s="213"/>
      <c r="D15" s="214"/>
      <c r="E15" s="214"/>
      <c r="F15" s="214"/>
      <c r="G15" s="214"/>
      <c r="H15" s="214"/>
      <c r="I15" s="214"/>
      <c r="J15" s="214"/>
      <c r="K15" s="214"/>
    </row>
    <row r="17" spans="1:9" ht="14.25">
      <c r="A17" s="308" t="s">
        <v>925</v>
      </c>
      <c r="B17" s="308"/>
      <c r="C17" s="308"/>
      <c r="D17" s="308"/>
      <c r="E17" s="308"/>
      <c r="F17" s="308"/>
      <c r="G17" s="308"/>
      <c r="H17" s="308"/>
      <c r="I17" s="308"/>
    </row>
    <row r="18" spans="1:9" ht="14.25">
      <c r="A18" s="308" t="s">
        <v>926</v>
      </c>
      <c r="B18" s="308"/>
      <c r="C18" s="308"/>
      <c r="D18" s="308"/>
      <c r="E18" s="308"/>
      <c r="F18" s="308"/>
      <c r="G18" s="308"/>
      <c r="H18" s="308"/>
      <c r="I18" s="308"/>
    </row>
    <row r="19" spans="1:9">
      <c r="A19" s="308" t="s">
        <v>94</v>
      </c>
      <c r="B19" s="308"/>
      <c r="C19" s="308"/>
      <c r="D19" s="308"/>
      <c r="E19" s="308"/>
      <c r="F19" s="308"/>
      <c r="G19" s="308"/>
      <c r="H19" s="308"/>
      <c r="I19" s="308"/>
    </row>
    <row r="20" spans="1:9">
      <c r="A20" s="308"/>
      <c r="B20" s="308"/>
      <c r="C20" s="308"/>
      <c r="D20" s="308"/>
      <c r="E20" s="308"/>
      <c r="F20" s="308"/>
      <c r="G20" s="308"/>
      <c r="H20" s="308"/>
      <c r="I20" s="308"/>
    </row>
    <row r="21" spans="1:9">
      <c r="A21" s="308" t="s">
        <v>666</v>
      </c>
      <c r="B21" s="308"/>
      <c r="C21" s="308"/>
      <c r="D21" s="308"/>
      <c r="E21" s="308"/>
      <c r="F21" s="308"/>
      <c r="G21" s="308"/>
      <c r="H21" s="308"/>
      <c r="I21" s="308"/>
    </row>
    <row r="30" spans="1:9">
      <c r="F30" s="308"/>
    </row>
  </sheetData>
  <mergeCells count="3">
    <mergeCell ref="A5:B5"/>
    <mergeCell ref="C4:D4"/>
    <mergeCell ref="F4:G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Footer>&amp;R&amp;A</oddFooter>
  </headerFooter>
  <rowBreaks count="1" manualBreakCount="1">
    <brk id="47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tabColor rgb="FF92D050"/>
    <pageSetUpPr fitToPage="1"/>
  </sheetPr>
  <dimension ref="A1:K13"/>
  <sheetViews>
    <sheetView zoomScaleNormal="100" workbookViewId="0"/>
  </sheetViews>
  <sheetFormatPr baseColWidth="10" defaultColWidth="11" defaultRowHeight="12"/>
  <cols>
    <col min="1" max="1" width="20" style="18" customWidth="1"/>
    <col min="2" max="2" width="14.75" style="18" customWidth="1"/>
    <col min="3" max="3" width="10.25" style="18" customWidth="1"/>
    <col min="4" max="4" width="11.875" style="18" customWidth="1"/>
    <col min="5" max="5" width="10.375" style="18" customWidth="1"/>
    <col min="6" max="6" width="11.875" style="18" customWidth="1"/>
    <col min="7" max="7" width="9.875" style="18" bestFit="1" customWidth="1"/>
    <col min="8" max="8" width="11.375" style="18" customWidth="1"/>
    <col min="9" max="9" width="9.375" style="18" customWidth="1"/>
    <col min="10" max="16384" width="11" style="18"/>
  </cols>
  <sheetData>
    <row r="1" spans="1:11" ht="21">
      <c r="A1" s="825" t="s">
        <v>188</v>
      </c>
      <c r="B1" s="182"/>
      <c r="C1" s="182"/>
      <c r="D1" s="182"/>
      <c r="E1" s="182"/>
      <c r="F1" s="182"/>
      <c r="G1" s="182"/>
      <c r="H1" s="182"/>
      <c r="I1" s="182"/>
    </row>
    <row r="2" spans="1:11">
      <c r="B2" s="15"/>
      <c r="C2" s="15"/>
      <c r="D2" s="15"/>
      <c r="E2" s="15"/>
      <c r="F2" s="15"/>
      <c r="G2" s="15"/>
      <c r="H2" s="15"/>
      <c r="I2" s="15"/>
    </row>
    <row r="3" spans="1:11" ht="24.75" thickBot="1">
      <c r="A3" s="850" t="s">
        <v>133</v>
      </c>
      <c r="B3" s="850"/>
      <c r="C3" s="215" t="s">
        <v>836</v>
      </c>
      <c r="D3" s="149" t="s">
        <v>835</v>
      </c>
      <c r="E3" s="697" t="s">
        <v>800</v>
      </c>
      <c r="F3" s="698" t="s">
        <v>799</v>
      </c>
      <c r="G3" s="697" t="s">
        <v>720</v>
      </c>
      <c r="H3" s="698" t="s">
        <v>721</v>
      </c>
      <c r="I3" s="697" t="s">
        <v>659</v>
      </c>
    </row>
    <row r="4" spans="1:11" ht="12" customHeight="1">
      <c r="A4" s="851" t="s">
        <v>78</v>
      </c>
      <c r="B4" s="851"/>
      <c r="C4" s="148">
        <f>SUM(C5:C7)</f>
        <v>146347.54399999999</v>
      </c>
      <c r="D4" s="639">
        <f>(C4-E4)/E4</f>
        <v>2.9913069163106189E-2</v>
      </c>
      <c r="E4" s="150">
        <v>142096.98699999999</v>
      </c>
      <c r="F4" s="288">
        <f>(E4-G4)/G4</f>
        <v>2.7885787242661376E-2</v>
      </c>
      <c r="G4" s="150">
        <v>138242</v>
      </c>
      <c r="H4" s="288">
        <f>(G4-I4)/I4</f>
        <v>1.7390472405596154E-2</v>
      </c>
      <c r="I4" s="150">
        <v>135879</v>
      </c>
      <c r="K4" s="23"/>
    </row>
    <row r="5" spans="1:11" ht="12" customHeight="1">
      <c r="A5" s="852" t="s">
        <v>79</v>
      </c>
      <c r="B5" s="853"/>
      <c r="C5" s="214">
        <v>5949.77</v>
      </c>
      <c r="D5" s="639">
        <f t="shared" ref="D5:F8" si="0">(C5-E5)/E5</f>
        <v>4.2758486121384567E-3</v>
      </c>
      <c r="E5" s="167">
        <v>5924.4380000000001</v>
      </c>
      <c r="F5" s="288">
        <f t="shared" si="0"/>
        <v>6.4971777817724272E-2</v>
      </c>
      <c r="G5" s="167">
        <v>5563</v>
      </c>
      <c r="H5" s="288">
        <f>(G5-I5)/I5</f>
        <v>-3.0667363652204217E-2</v>
      </c>
      <c r="I5" s="167">
        <v>5739</v>
      </c>
      <c r="K5" s="23"/>
    </row>
    <row r="6" spans="1:11" ht="12" customHeight="1">
      <c r="A6" s="852" t="s">
        <v>161</v>
      </c>
      <c r="B6" s="853"/>
      <c r="C6" s="214">
        <v>135229.54699999999</v>
      </c>
      <c r="D6" s="639">
        <f>(C6-E6)/E6</f>
        <v>2.7816932779392067E-2</v>
      </c>
      <c r="E6" s="167">
        <v>131569.682</v>
      </c>
      <c r="F6" s="288">
        <f>(E6-G6)/G6</f>
        <v>2.7783756337247004E-2</v>
      </c>
      <c r="G6" s="167">
        <v>128013</v>
      </c>
      <c r="H6" s="288">
        <f>(G6-I6)/I6</f>
        <v>-4.3726428722017037E-4</v>
      </c>
      <c r="I6" s="167">
        <v>128069</v>
      </c>
    </row>
    <row r="7" spans="1:11" ht="12" customHeight="1">
      <c r="A7" s="852" t="s">
        <v>162</v>
      </c>
      <c r="B7" s="853"/>
      <c r="C7" s="214">
        <f>370.355+4797.872</f>
        <v>5168.2270000000008</v>
      </c>
      <c r="D7" s="639">
        <f t="shared" si="0"/>
        <v>0.12282779406834926</v>
      </c>
      <c r="E7" s="167">
        <v>4602.8670000000002</v>
      </c>
      <c r="F7" s="288">
        <f t="shared" si="0"/>
        <v>-1.3530432918988386E-2</v>
      </c>
      <c r="G7" s="167">
        <v>4666</v>
      </c>
      <c r="H7" s="288">
        <f>(G7-I7)/I7</f>
        <v>1.2530178657653308</v>
      </c>
      <c r="I7" s="167">
        <v>2071</v>
      </c>
    </row>
    <row r="8" spans="1:11" ht="12" customHeight="1">
      <c r="A8" s="854" t="s">
        <v>104</v>
      </c>
      <c r="B8" s="854"/>
      <c r="C8" s="214">
        <v>42698.741999999998</v>
      </c>
      <c r="D8" s="639">
        <f t="shared" si="0"/>
        <v>0.1623915983453372</v>
      </c>
      <c r="E8" s="167">
        <v>36733.525999999998</v>
      </c>
      <c r="F8" s="288">
        <f t="shared" si="0"/>
        <v>8.8787894955243293E-2</v>
      </c>
      <c r="G8" s="167">
        <v>33738</v>
      </c>
      <c r="H8" s="288">
        <f>(G8-I8)/I8</f>
        <v>-0.11348766324197913</v>
      </c>
      <c r="I8" s="167">
        <v>38057</v>
      </c>
    </row>
    <row r="9" spans="1:11" s="308" customFormat="1" ht="12" customHeight="1">
      <c r="A9" s="335" t="s">
        <v>801</v>
      </c>
      <c r="B9" s="335"/>
      <c r="C9" s="214">
        <f>30240.353+0.673</f>
        <v>30241.025999999998</v>
      </c>
      <c r="D9" s="639">
        <f>(C9-E9)/E9</f>
        <v>0.12402362123889514</v>
      </c>
      <c r="E9" s="167">
        <v>26904.261999999999</v>
      </c>
      <c r="F9" s="288">
        <f>(E9-G9)/G9</f>
        <v>-1.6405439988301143E-2</v>
      </c>
      <c r="G9" s="167">
        <v>27353</v>
      </c>
      <c r="H9" s="288">
        <f t="shared" ref="H9:H10" si="1">(G9-I9)/I9</f>
        <v>-9.0928850891175191E-3</v>
      </c>
      <c r="I9" s="167">
        <v>27604</v>
      </c>
    </row>
    <row r="10" spans="1:11">
      <c r="A10" s="851" t="s">
        <v>163</v>
      </c>
      <c r="B10" s="851"/>
      <c r="C10" s="216">
        <v>10587.543</v>
      </c>
      <c r="D10" s="639">
        <f>(C10-E10)/E10</f>
        <v>7.0856910632587339E-2</v>
      </c>
      <c r="E10" s="289">
        <v>9886.982</v>
      </c>
      <c r="F10" s="288">
        <f>(E10-G10)/G10</f>
        <v>-0.1256648390519986</v>
      </c>
      <c r="G10" s="289">
        <v>11308</v>
      </c>
      <c r="H10" s="288">
        <f t="shared" si="1"/>
        <v>-3.9660297239915071E-2</v>
      </c>
      <c r="I10" s="289">
        <v>11775</v>
      </c>
    </row>
    <row r="11" spans="1:11">
      <c r="A11" s="85" t="s">
        <v>5</v>
      </c>
      <c r="B11" s="211"/>
      <c r="C11" s="188">
        <f>C4+C8+C9+C10</f>
        <v>229874.85499999998</v>
      </c>
      <c r="D11" s="217">
        <f>(C11-E11)/E11</f>
        <v>6.6102318236837432E-2</v>
      </c>
      <c r="E11" s="699">
        <f>E4+E8+E9+E10</f>
        <v>215621.75699999995</v>
      </c>
      <c r="F11" s="700">
        <f>(E11-G11)/G11</f>
        <v>2.3645714746891412E-2</v>
      </c>
      <c r="G11" s="699">
        <f>G4+G8+G9+G10</f>
        <v>210641</v>
      </c>
      <c r="H11" s="700">
        <f>(G11-I11)/I11</f>
        <v>-1.253545226542906E-2</v>
      </c>
      <c r="I11" s="699">
        <f>I4+I8+I9+I10</f>
        <v>213315</v>
      </c>
    </row>
    <row r="12" spans="1:11">
      <c r="A12" s="57"/>
      <c r="B12" s="57"/>
      <c r="C12" s="57"/>
      <c r="D12" s="57"/>
      <c r="E12" s="213"/>
      <c r="F12" s="57"/>
      <c r="G12" s="218"/>
      <c r="H12" s="219"/>
      <c r="I12" s="218"/>
    </row>
    <row r="13" spans="1:11">
      <c r="A13" s="848"/>
      <c r="B13" s="849"/>
      <c r="C13" s="849"/>
      <c r="D13" s="849"/>
      <c r="E13" s="849"/>
      <c r="F13" s="849"/>
      <c r="G13" s="849"/>
      <c r="H13" s="849"/>
      <c r="I13" s="849"/>
    </row>
  </sheetData>
  <mergeCells count="8">
    <mergeCell ref="A13:I13"/>
    <mergeCell ref="A3:B3"/>
    <mergeCell ref="A4:B4"/>
    <mergeCell ref="A5:B5"/>
    <mergeCell ref="A6:B6"/>
    <mergeCell ref="A7:B7"/>
    <mergeCell ref="A8:B8"/>
    <mergeCell ref="A10:B10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14" max="16383" man="1"/>
  </rowBreaks>
  <colBreaks count="1" manualBreakCount="1">
    <brk id="1" max="1048575" man="1"/>
  </colBreaks>
  <ignoredErrors>
    <ignoredError sqref="C12 C4" formulaRange="1"/>
    <ignoredError sqref="D12:I12" formula="1" formulaRange="1"/>
    <ignoredError sqref="E11:G11 H11 D7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0">
    <tabColor rgb="FF92D050"/>
    <pageSetUpPr fitToPage="1"/>
  </sheetPr>
  <dimension ref="A1:I31"/>
  <sheetViews>
    <sheetView zoomScaleNormal="100" workbookViewId="0"/>
  </sheetViews>
  <sheetFormatPr baseColWidth="10" defaultColWidth="11" defaultRowHeight="12"/>
  <cols>
    <col min="1" max="1" width="39.75" style="18" customWidth="1"/>
    <col min="2" max="2" width="33.875" style="18" bestFit="1" customWidth="1"/>
    <col min="3" max="4" width="10" style="18" customWidth="1"/>
    <col min="5" max="5" width="11" style="18" customWidth="1"/>
    <col min="6" max="16384" width="11" style="18"/>
  </cols>
  <sheetData>
    <row r="1" spans="1:9" ht="21">
      <c r="A1" s="825" t="s">
        <v>963</v>
      </c>
      <c r="B1" s="220"/>
      <c r="C1" s="182"/>
      <c r="D1" s="15"/>
    </row>
    <row r="2" spans="1:9">
      <c r="A2" s="15"/>
      <c r="B2" s="15"/>
      <c r="C2" s="15"/>
      <c r="D2" s="15"/>
    </row>
    <row r="3" spans="1:9">
      <c r="A3" s="15"/>
      <c r="B3" s="15"/>
    </row>
    <row r="4" spans="1:9" ht="12.75" thickBot="1">
      <c r="A4" s="1"/>
      <c r="B4" s="78" t="s">
        <v>84</v>
      </c>
      <c r="C4" s="2">
        <v>43465</v>
      </c>
      <c r="D4" s="2">
        <v>43100</v>
      </c>
    </row>
    <row r="5" spans="1:9" s="308" customFormat="1">
      <c r="A5" s="221" t="s">
        <v>675</v>
      </c>
      <c r="B5" s="222" t="s">
        <v>718</v>
      </c>
      <c r="C5" s="603">
        <v>39</v>
      </c>
      <c r="D5" s="19">
        <v>37</v>
      </c>
      <c r="G5" s="222"/>
      <c r="H5" s="19"/>
      <c r="I5" s="19"/>
    </row>
    <row r="6" spans="1:9" s="308" customFormat="1">
      <c r="A6" s="221"/>
      <c r="B6" s="222" t="s">
        <v>859</v>
      </c>
      <c r="C6" s="603">
        <v>21</v>
      </c>
      <c r="D6" s="19">
        <v>15</v>
      </c>
      <c r="G6" s="222"/>
      <c r="H6" s="19"/>
      <c r="I6" s="19"/>
    </row>
    <row r="7" spans="1:9" s="308" customFormat="1">
      <c r="A7" s="221"/>
      <c r="B7" s="308" t="s">
        <v>250</v>
      </c>
      <c r="C7" s="604">
        <v>33</v>
      </c>
      <c r="D7" s="321">
        <v>24</v>
      </c>
      <c r="G7" s="222"/>
      <c r="H7" s="19"/>
      <c r="I7" s="19"/>
    </row>
    <row r="8" spans="1:9" s="308" customFormat="1">
      <c r="B8" s="222" t="s">
        <v>803</v>
      </c>
      <c r="C8" s="603">
        <v>19</v>
      </c>
      <c r="D8" s="19">
        <v>13</v>
      </c>
      <c r="G8" s="222"/>
      <c r="H8" s="19"/>
      <c r="I8" s="19"/>
    </row>
    <row r="9" spans="1:9" s="308" customFormat="1">
      <c r="A9" s="15"/>
      <c r="B9" s="15" t="s">
        <v>804</v>
      </c>
      <c r="C9" s="603">
        <v>24</v>
      </c>
      <c r="D9" s="19">
        <v>24</v>
      </c>
      <c r="G9" s="15"/>
      <c r="H9" s="19"/>
      <c r="I9" s="19"/>
    </row>
    <row r="10" spans="1:9" s="308" customFormat="1">
      <c r="A10" s="15"/>
      <c r="B10" s="222" t="s">
        <v>802</v>
      </c>
      <c r="C10" s="603">
        <v>38</v>
      </c>
      <c r="D10" s="19">
        <v>23</v>
      </c>
      <c r="H10" s="321"/>
      <c r="I10" s="321"/>
    </row>
    <row r="11" spans="1:9" s="308" customFormat="1">
      <c r="B11" s="222" t="s">
        <v>805</v>
      </c>
      <c r="C11" s="603">
        <v>28</v>
      </c>
      <c r="D11" s="19">
        <v>14</v>
      </c>
      <c r="G11" s="222"/>
      <c r="H11" s="19"/>
      <c r="I11" s="19"/>
    </row>
    <row r="12" spans="1:9" s="308" customFormat="1">
      <c r="B12" s="308" t="s">
        <v>860</v>
      </c>
      <c r="C12" s="604">
        <v>47</v>
      </c>
      <c r="D12" s="321">
        <v>0</v>
      </c>
      <c r="G12" s="222"/>
      <c r="H12" s="19"/>
      <c r="I12" s="19"/>
    </row>
    <row r="13" spans="1:9">
      <c r="A13" s="221"/>
      <c r="B13" s="223" t="s">
        <v>86</v>
      </c>
      <c r="C13" s="605">
        <v>102</v>
      </c>
      <c r="D13" s="322">
        <v>59</v>
      </c>
      <c r="G13" s="223"/>
      <c r="H13" s="322"/>
      <c r="I13" s="322"/>
    </row>
    <row r="14" spans="1:9">
      <c r="A14" s="224" t="s">
        <v>99</v>
      </c>
      <c r="B14" s="225"/>
      <c r="C14" s="606">
        <f>SUM(C5:C13)</f>
        <v>351</v>
      </c>
      <c r="D14" s="701">
        <f>SUM(D5:D13)</f>
        <v>209</v>
      </c>
      <c r="G14" s="222"/>
      <c r="H14" s="19"/>
      <c r="I14" s="19"/>
    </row>
    <row r="15" spans="1:9">
      <c r="A15" s="221" t="s">
        <v>87</v>
      </c>
      <c r="B15" s="90" t="s">
        <v>806</v>
      </c>
      <c r="C15" s="604">
        <v>20</v>
      </c>
      <c r="D15" s="321">
        <v>20</v>
      </c>
    </row>
    <row r="16" spans="1:9" s="308" customFormat="1">
      <c r="A16" s="221"/>
      <c r="B16" s="15" t="s">
        <v>660</v>
      </c>
      <c r="C16" s="604">
        <v>77</v>
      </c>
      <c r="D16" s="321"/>
    </row>
    <row r="17" spans="1:6" s="308" customFormat="1">
      <c r="A17" s="221"/>
      <c r="B17" s="15" t="s">
        <v>88</v>
      </c>
      <c r="C17" s="659">
        <v>8</v>
      </c>
      <c r="D17" s="321"/>
    </row>
    <row r="18" spans="1:6">
      <c r="A18" s="224" t="s">
        <v>131</v>
      </c>
      <c r="B18" s="211"/>
      <c r="C18" s="607">
        <f>SUM(C15:C17)</f>
        <v>105</v>
      </c>
      <c r="D18" s="699">
        <f>SUM(D15:D15)</f>
        <v>20</v>
      </c>
    </row>
    <row r="19" spans="1:6" s="308" customFormat="1">
      <c r="A19" s="221" t="s">
        <v>100</v>
      </c>
      <c r="B19" s="15" t="s">
        <v>660</v>
      </c>
      <c r="C19" s="608"/>
      <c r="D19" s="176">
        <v>60</v>
      </c>
    </row>
    <row r="20" spans="1:6">
      <c r="A20" s="221"/>
      <c r="B20" s="15" t="s">
        <v>88</v>
      </c>
      <c r="C20" s="608"/>
      <c r="D20" s="660">
        <v>2</v>
      </c>
    </row>
    <row r="21" spans="1:6">
      <c r="A21" s="226" t="s">
        <v>676</v>
      </c>
      <c r="B21" s="211"/>
      <c r="C21" s="607">
        <f>C19+C20</f>
        <v>0</v>
      </c>
      <c r="D21" s="699">
        <f>D19+D20</f>
        <v>62</v>
      </c>
    </row>
    <row r="22" spans="1:6" s="308" customFormat="1">
      <c r="A22" s="438" t="s">
        <v>91</v>
      </c>
      <c r="B22" s="439"/>
      <c r="C22" s="609">
        <f>C14+C18+C21</f>
        <v>456</v>
      </c>
      <c r="D22" s="702">
        <f>D14+D18+D21</f>
        <v>291</v>
      </c>
    </row>
    <row r="23" spans="1:6" s="308" customFormat="1" ht="11.25" customHeight="1">
      <c r="A23" s="437"/>
      <c r="B23" s="15"/>
      <c r="C23" s="175"/>
      <c r="D23" s="175"/>
    </row>
    <row r="24" spans="1:6">
      <c r="A24" s="227"/>
      <c r="C24" s="71"/>
      <c r="D24" s="71"/>
      <c r="F24" s="23"/>
    </row>
    <row r="25" spans="1:6">
      <c r="A25" s="656" t="s">
        <v>954</v>
      </c>
      <c r="B25" s="655"/>
      <c r="C25" s="57"/>
      <c r="D25" s="57"/>
    </row>
    <row r="26" spans="1:6">
      <c r="A26" s="18" t="s">
        <v>729</v>
      </c>
    </row>
    <row r="31" spans="1:6">
      <c r="A31" s="15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>
    <oddFooter>&amp;R&amp;A</oddFooter>
  </headerFooter>
  <ignoredErrors>
    <ignoredError sqref="C14:D14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1">
    <tabColor rgb="FF92D050"/>
    <pageSetUpPr fitToPage="1"/>
  </sheetPr>
  <dimension ref="A1:G17"/>
  <sheetViews>
    <sheetView zoomScaleNormal="100" workbookViewId="0"/>
  </sheetViews>
  <sheetFormatPr baseColWidth="10" defaultColWidth="11" defaultRowHeight="12"/>
  <cols>
    <col min="1" max="1" width="38.75" style="18" bestFit="1" customWidth="1"/>
    <col min="2" max="2" width="6.75" style="18" customWidth="1"/>
    <col min="3" max="3" width="6.625" style="18" customWidth="1"/>
    <col min="4" max="4" width="10.25" style="18" customWidth="1"/>
    <col min="5" max="5" width="8.5" style="18" customWidth="1"/>
    <col min="6" max="6" width="11.5" style="18" customWidth="1"/>
    <col min="7" max="16384" width="11" style="18"/>
  </cols>
  <sheetData>
    <row r="1" spans="1:7" ht="21">
      <c r="A1" s="825" t="s">
        <v>596</v>
      </c>
      <c r="B1" s="220"/>
      <c r="C1" s="182"/>
    </row>
    <row r="2" spans="1:7">
      <c r="A2" s="15" t="s">
        <v>151</v>
      </c>
      <c r="B2" s="181"/>
      <c r="C2" s="15"/>
    </row>
    <row r="3" spans="1:7">
      <c r="A3" s="228"/>
      <c r="B3" s="181"/>
      <c r="C3" s="15"/>
    </row>
    <row r="4" spans="1:7" ht="60.75" customHeight="1" thickBot="1">
      <c r="A4" s="63">
        <v>2018</v>
      </c>
      <c r="B4" s="105" t="s">
        <v>137</v>
      </c>
      <c r="C4" s="105" t="s">
        <v>138</v>
      </c>
      <c r="D4" s="105" t="s">
        <v>254</v>
      </c>
      <c r="E4" s="105" t="s">
        <v>255</v>
      </c>
      <c r="F4" s="105" t="s">
        <v>89</v>
      </c>
    </row>
    <row r="5" spans="1:7">
      <c r="A5" s="91" t="s">
        <v>85</v>
      </c>
      <c r="B5" s="160">
        <v>351</v>
      </c>
      <c r="C5" s="160">
        <v>351</v>
      </c>
      <c r="D5" s="160">
        <v>0</v>
      </c>
      <c r="E5" s="567">
        <v>53</v>
      </c>
      <c r="F5" s="229">
        <v>0</v>
      </c>
      <c r="G5" s="308"/>
    </row>
    <row r="6" spans="1:7">
      <c r="A6" s="91" t="s">
        <v>719</v>
      </c>
      <c r="B6" s="160">
        <v>105</v>
      </c>
      <c r="C6" s="160">
        <v>105</v>
      </c>
      <c r="D6" s="230">
        <v>4</v>
      </c>
      <c r="E6" s="230">
        <f>-17+77</f>
        <v>60</v>
      </c>
      <c r="F6" s="230">
        <v>0</v>
      </c>
    </row>
    <row r="7" spans="1:7">
      <c r="A7" s="92" t="s">
        <v>100</v>
      </c>
      <c r="B7" s="579"/>
      <c r="C7" s="579"/>
      <c r="D7" s="579"/>
      <c r="E7" s="579"/>
      <c r="F7" s="579"/>
    </row>
    <row r="8" spans="1:7">
      <c r="A8" s="74" t="s">
        <v>5</v>
      </c>
      <c r="B8" s="143">
        <f>SUM(B5:B7)</f>
        <v>456</v>
      </c>
      <c r="C8" s="143">
        <f>SUM(C5:C7)</f>
        <v>456</v>
      </c>
      <c r="D8" s="305">
        <f>SUM(D5:D7)</f>
        <v>4</v>
      </c>
      <c r="E8" s="305">
        <f>SUM(E5:E7)</f>
        <v>113</v>
      </c>
      <c r="F8" s="305">
        <f>SUM(F5:F7)</f>
        <v>0</v>
      </c>
    </row>
    <row r="9" spans="1:7" s="308" customFormat="1">
      <c r="A9" s="81"/>
      <c r="B9" s="142"/>
      <c r="C9" s="142"/>
      <c r="D9" s="161"/>
      <c r="E9" s="161"/>
      <c r="F9" s="161"/>
    </row>
    <row r="10" spans="1:7" s="308" customFormat="1">
      <c r="A10" s="81"/>
      <c r="B10" s="142"/>
      <c r="C10" s="142"/>
      <c r="D10" s="161"/>
      <c r="E10" s="161"/>
      <c r="F10" s="161"/>
    </row>
    <row r="11" spans="1:7" ht="60.75" thickBot="1">
      <c r="A11" s="557">
        <v>2017</v>
      </c>
      <c r="B11" s="303" t="s">
        <v>137</v>
      </c>
      <c r="C11" s="303" t="s">
        <v>138</v>
      </c>
      <c r="D11" s="303" t="s">
        <v>254</v>
      </c>
      <c r="E11" s="303" t="s">
        <v>255</v>
      </c>
      <c r="F11" s="303" t="s">
        <v>89</v>
      </c>
    </row>
    <row r="12" spans="1:7">
      <c r="A12" s="91" t="s">
        <v>85</v>
      </c>
      <c r="B12" s="160">
        <v>209</v>
      </c>
      <c r="C12" s="160">
        <v>209</v>
      </c>
      <c r="D12" s="160">
        <v>-15</v>
      </c>
      <c r="E12" s="567">
        <v>-18</v>
      </c>
      <c r="F12" s="229">
        <v>0</v>
      </c>
    </row>
    <row r="13" spans="1:7">
      <c r="A13" s="91" t="s">
        <v>719</v>
      </c>
      <c r="B13" s="160">
        <v>20</v>
      </c>
      <c r="C13" s="160">
        <v>20</v>
      </c>
      <c r="D13" s="230">
        <v>19</v>
      </c>
      <c r="E13" s="230">
        <v>-17</v>
      </c>
      <c r="F13" s="230">
        <v>-17</v>
      </c>
    </row>
    <row r="14" spans="1:7">
      <c r="A14" s="92" t="s">
        <v>100</v>
      </c>
      <c r="B14" s="160">
        <v>62</v>
      </c>
      <c r="C14" s="160">
        <v>62</v>
      </c>
      <c r="D14" s="160">
        <v>0</v>
      </c>
      <c r="E14" s="160">
        <v>60</v>
      </c>
      <c r="F14" s="160">
        <v>60</v>
      </c>
    </row>
    <row r="15" spans="1:7">
      <c r="A15" s="703" t="s">
        <v>5</v>
      </c>
      <c r="B15" s="687">
        <f>SUM(B12:B14)</f>
        <v>291</v>
      </c>
      <c r="C15" s="687">
        <f>SUM(C12:C14)</f>
        <v>291</v>
      </c>
      <c r="D15" s="704">
        <f>SUM(D12:D14)</f>
        <v>4</v>
      </c>
      <c r="E15" s="704">
        <f>SUM(E12:E14)</f>
        <v>25</v>
      </c>
      <c r="F15" s="704">
        <f>SUM(F12:F14)</f>
        <v>43</v>
      </c>
    </row>
    <row r="16" spans="1:7">
      <c r="A16" s="81"/>
      <c r="B16" s="142"/>
      <c r="C16" s="142"/>
      <c r="D16" s="161"/>
      <c r="E16" s="161"/>
      <c r="F16" s="161"/>
    </row>
    <row r="17" spans="1:6">
      <c r="A17" s="227"/>
      <c r="B17" s="142"/>
      <c r="C17" s="142"/>
      <c r="D17" s="161"/>
      <c r="E17" s="161"/>
      <c r="F17" s="161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2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2">
    <tabColor rgb="FF92D050"/>
    <pageSetUpPr fitToPage="1"/>
  </sheetPr>
  <dimension ref="A1:D8"/>
  <sheetViews>
    <sheetView zoomScaleNormal="100" workbookViewId="0"/>
  </sheetViews>
  <sheetFormatPr baseColWidth="10" defaultColWidth="11" defaultRowHeight="12"/>
  <cols>
    <col min="1" max="1" width="36" style="18" customWidth="1"/>
    <col min="2" max="2" width="12.625" style="18" customWidth="1"/>
    <col min="3" max="16384" width="11" style="18"/>
  </cols>
  <sheetData>
    <row r="1" spans="1:4" ht="21">
      <c r="A1" s="825" t="s">
        <v>190</v>
      </c>
      <c r="B1" s="181"/>
      <c r="C1" s="15"/>
      <c r="D1" s="15"/>
    </row>
    <row r="2" spans="1:4">
      <c r="A2" s="181"/>
      <c r="B2" s="181"/>
      <c r="C2" s="15"/>
      <c r="D2" s="15"/>
    </row>
    <row r="3" spans="1:4" ht="24.75" thickBot="1">
      <c r="A3" s="249" t="s">
        <v>133</v>
      </c>
      <c r="B3" s="231" t="s">
        <v>837</v>
      </c>
      <c r="C3" s="440" t="s">
        <v>807</v>
      </c>
      <c r="D3" s="15"/>
    </row>
    <row r="4" spans="1:4">
      <c r="A4" s="15" t="s">
        <v>62</v>
      </c>
      <c r="B4" s="161">
        <v>456</v>
      </c>
      <c r="C4" s="160">
        <v>229</v>
      </c>
      <c r="D4" s="90"/>
    </row>
    <row r="5" spans="1:4">
      <c r="A5" s="15" t="s">
        <v>63</v>
      </c>
      <c r="B5" s="161">
        <v>0</v>
      </c>
      <c r="C5" s="160">
        <v>0</v>
      </c>
      <c r="D5" s="90"/>
    </row>
    <row r="6" spans="1:4">
      <c r="A6" s="15" t="s">
        <v>33</v>
      </c>
      <c r="B6" s="161">
        <v>0</v>
      </c>
      <c r="C6" s="160">
        <v>62</v>
      </c>
      <c r="D6" s="90"/>
    </row>
    <row r="7" spans="1:4">
      <c r="A7" s="85" t="s">
        <v>5</v>
      </c>
      <c r="B7" s="652">
        <f>SUM(B4:B6)</f>
        <v>456</v>
      </c>
      <c r="C7" s="232">
        <f>SUM(C4:C6)</f>
        <v>291</v>
      </c>
      <c r="D7" s="90"/>
    </row>
    <row r="8" spans="1:4">
      <c r="D8" s="90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tabColor rgb="FF92D050"/>
    <pageSetUpPr fitToPage="1"/>
  </sheetPr>
  <dimension ref="A1:E10"/>
  <sheetViews>
    <sheetView zoomScaleNormal="100" workbookViewId="0"/>
  </sheetViews>
  <sheetFormatPr baseColWidth="10" defaultColWidth="11" defaultRowHeight="12"/>
  <cols>
    <col min="1" max="1" width="4.625" style="18" customWidth="1"/>
    <col min="2" max="2" width="29.125" style="18" customWidth="1"/>
    <col min="3" max="5" width="11.625" style="18" customWidth="1"/>
    <col min="6" max="16384" width="11" style="18"/>
  </cols>
  <sheetData>
    <row r="1" spans="1:5" ht="21">
      <c r="A1" s="825" t="s">
        <v>256</v>
      </c>
    </row>
    <row r="3" spans="1:5" ht="26.25">
      <c r="A3" s="856" t="s">
        <v>133</v>
      </c>
      <c r="B3" s="856"/>
      <c r="C3" s="858" t="s">
        <v>90</v>
      </c>
      <c r="D3" s="326" t="s">
        <v>839</v>
      </c>
      <c r="E3" s="327" t="s">
        <v>838</v>
      </c>
    </row>
    <row r="4" spans="1:5" ht="12.75" thickBot="1">
      <c r="A4" s="857"/>
      <c r="B4" s="857"/>
      <c r="C4" s="859"/>
      <c r="D4" s="233"/>
      <c r="E4" s="234"/>
    </row>
    <row r="5" spans="1:5" ht="14.25">
      <c r="A5" s="855" t="s">
        <v>257</v>
      </c>
      <c r="B5" s="855"/>
      <c r="C5" s="71">
        <v>222246</v>
      </c>
      <c r="D5" s="653">
        <v>1427</v>
      </c>
      <c r="E5" s="71">
        <v>1655</v>
      </c>
    </row>
    <row r="6" spans="1:5" s="308" customFormat="1">
      <c r="A6" s="324" t="s">
        <v>252</v>
      </c>
      <c r="B6" s="324"/>
      <c r="C6" s="580"/>
      <c r="D6" s="150">
        <v>892</v>
      </c>
      <c r="E6" s="150">
        <v>933</v>
      </c>
    </row>
    <row r="7" spans="1:5" ht="12.75" customHeight="1">
      <c r="A7" s="224" t="s">
        <v>148</v>
      </c>
      <c r="B7" s="103"/>
      <c r="C7" s="236">
        <f>SUM(C5:C6)</f>
        <v>222246</v>
      </c>
      <c r="D7" s="236">
        <f>SUM(D5:D6)</f>
        <v>2319</v>
      </c>
      <c r="E7" s="237">
        <f>SUM(E5:E6)</f>
        <v>2588</v>
      </c>
    </row>
    <row r="10" spans="1:5" ht="14.25">
      <c r="A10" s="325" t="s">
        <v>269</v>
      </c>
      <c r="B10" s="325"/>
      <c r="C10" s="325"/>
      <c r="D10" s="325"/>
    </row>
  </sheetData>
  <mergeCells count="3">
    <mergeCell ref="A5:B5"/>
    <mergeCell ref="A3:B4"/>
    <mergeCell ref="C3:C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tabColor rgb="FF92D050"/>
    <pageSetUpPr fitToPage="1"/>
  </sheetPr>
  <dimension ref="A1:L43"/>
  <sheetViews>
    <sheetView showGridLines="0" zoomScaleNormal="100" workbookViewId="0"/>
  </sheetViews>
  <sheetFormatPr baseColWidth="10" defaultColWidth="11" defaultRowHeight="12"/>
  <cols>
    <col min="1" max="1" width="42.5" style="18" customWidth="1"/>
    <col min="2" max="2" width="26.5" style="18" customWidth="1"/>
    <col min="3" max="4" width="10" style="18" customWidth="1"/>
    <col min="5" max="5" width="21" style="18" customWidth="1"/>
    <col min="6" max="16384" width="11" style="18"/>
  </cols>
  <sheetData>
    <row r="1" spans="1:12" ht="21">
      <c r="A1" s="825" t="s">
        <v>964</v>
      </c>
      <c r="B1" s="297"/>
      <c r="C1" s="297"/>
      <c r="D1" s="298"/>
      <c r="E1" s="298"/>
      <c r="F1" s="299"/>
      <c r="G1" s="300"/>
      <c r="H1" s="300"/>
    </row>
    <row r="2" spans="1:12" ht="21">
      <c r="A2" s="825" t="s">
        <v>965</v>
      </c>
      <c r="B2" s="297"/>
      <c r="C2" s="297"/>
      <c r="D2" s="298"/>
      <c r="E2" s="298"/>
      <c r="F2" s="299"/>
      <c r="G2" s="300"/>
      <c r="H2" s="300"/>
    </row>
    <row r="3" spans="1:12" ht="12.75">
      <c r="A3" s="298"/>
      <c r="B3" s="860"/>
      <c r="C3" s="860"/>
      <c r="D3" s="300"/>
      <c r="E3" s="291"/>
      <c r="F3" s="290"/>
      <c r="G3" s="290"/>
      <c r="H3" s="290"/>
      <c r="I3" s="290"/>
      <c r="J3" s="137"/>
      <c r="K3" s="137"/>
      <c r="L3" s="137"/>
    </row>
    <row r="4" spans="1:12" ht="13.5" thickBot="1">
      <c r="A4" s="815" t="s">
        <v>955</v>
      </c>
      <c r="B4" s="238">
        <v>43465</v>
      </c>
      <c r="C4" s="239">
        <v>43100</v>
      </c>
      <c r="D4" s="300"/>
    </row>
    <row r="5" spans="1:12" ht="12.75">
      <c r="A5" s="240" t="s">
        <v>211</v>
      </c>
      <c r="B5" s="599">
        <v>-42</v>
      </c>
      <c r="C5" s="301">
        <v>-45</v>
      </c>
      <c r="D5" s="300"/>
    </row>
    <row r="6" spans="1:12" ht="12.75">
      <c r="A6" s="240" t="s">
        <v>212</v>
      </c>
      <c r="B6" s="599">
        <v>-24</v>
      </c>
      <c r="C6" s="301">
        <v>-16</v>
      </c>
      <c r="D6" s="300"/>
    </row>
    <row r="7" spans="1:12" ht="12.75">
      <c r="A7" s="240" t="s">
        <v>213</v>
      </c>
      <c r="B7" s="599">
        <v>-90</v>
      </c>
      <c r="C7" s="301">
        <v>-83</v>
      </c>
      <c r="D7" s="300"/>
    </row>
    <row r="8" spans="1:12" ht="12.75">
      <c r="A8" s="240" t="s">
        <v>214</v>
      </c>
      <c r="B8" s="599">
        <v>129</v>
      </c>
      <c r="C8" s="301">
        <v>121</v>
      </c>
      <c r="D8" s="300"/>
    </row>
    <row r="9" spans="1:12" ht="12.75">
      <c r="A9" s="240" t="s">
        <v>215</v>
      </c>
      <c r="B9" s="599">
        <v>9</v>
      </c>
      <c r="C9" s="301">
        <v>1</v>
      </c>
      <c r="D9" s="300"/>
    </row>
    <row r="10" spans="1:12" ht="12.75">
      <c r="A10" s="302" t="s">
        <v>216</v>
      </c>
      <c r="B10" s="601">
        <f>SUM(B5:B9)</f>
        <v>-18</v>
      </c>
      <c r="C10" s="323">
        <f>SUM(C5:C9)</f>
        <v>-22</v>
      </c>
      <c r="D10" s="300"/>
    </row>
    <row r="11" spans="1:12" ht="12.75">
      <c r="A11" s="240"/>
      <c r="B11" s="599"/>
      <c r="C11" s="301"/>
      <c r="D11" s="300"/>
    </row>
    <row r="12" spans="1:12" ht="12.75">
      <c r="A12" s="240"/>
      <c r="B12" s="599"/>
      <c r="C12" s="301"/>
      <c r="D12" s="300"/>
    </row>
    <row r="13" spans="1:12" ht="12.75">
      <c r="A13" s="240"/>
      <c r="B13" s="599"/>
      <c r="C13" s="301"/>
      <c r="D13" s="300"/>
    </row>
    <row r="14" spans="1:12" ht="12.75">
      <c r="A14" s="240" t="s">
        <v>217</v>
      </c>
      <c r="B14" s="599"/>
      <c r="C14" s="301"/>
      <c r="D14" s="300"/>
    </row>
    <row r="15" spans="1:12" ht="12.75">
      <c r="A15" s="240" t="s">
        <v>218</v>
      </c>
      <c r="B15" s="599">
        <v>-21</v>
      </c>
      <c r="C15" s="301">
        <v>-11</v>
      </c>
      <c r="D15" s="300"/>
    </row>
    <row r="16" spans="1:12" ht="12.75">
      <c r="A16" s="240" t="s">
        <v>219</v>
      </c>
      <c r="B16" s="599">
        <v>3</v>
      </c>
      <c r="C16" s="301">
        <v>0</v>
      </c>
      <c r="D16" s="300"/>
    </row>
    <row r="17" spans="1:4" ht="12.75">
      <c r="A17" s="240" t="s">
        <v>220</v>
      </c>
      <c r="B17" s="599">
        <v>1</v>
      </c>
      <c r="C17" s="301">
        <v>-3</v>
      </c>
      <c r="D17" s="300"/>
    </row>
    <row r="18" spans="1:4" ht="12.75">
      <c r="A18" s="240" t="s">
        <v>221</v>
      </c>
      <c r="B18" s="599">
        <v>-1</v>
      </c>
      <c r="C18" s="301">
        <v>2</v>
      </c>
      <c r="D18" s="300"/>
    </row>
    <row r="19" spans="1:4" ht="12.75">
      <c r="A19" s="240" t="s">
        <v>222</v>
      </c>
      <c r="B19" s="599">
        <v>1</v>
      </c>
      <c r="C19" s="301">
        <v>-1</v>
      </c>
      <c r="D19" s="300"/>
    </row>
    <row r="20" spans="1:4" ht="12.75">
      <c r="A20" s="240" t="s">
        <v>223</v>
      </c>
      <c r="B20" s="599">
        <v>4</v>
      </c>
      <c r="C20" s="301">
        <v>-2</v>
      </c>
      <c r="D20" s="300"/>
    </row>
    <row r="21" spans="1:4" ht="12.75">
      <c r="A21" s="240" t="s">
        <v>224</v>
      </c>
      <c r="B21" s="599">
        <v>-6</v>
      </c>
      <c r="C21" s="301">
        <v>-7</v>
      </c>
      <c r="D21" s="300"/>
    </row>
    <row r="22" spans="1:4" ht="12.75">
      <c r="A22" s="241" t="s">
        <v>225</v>
      </c>
      <c r="B22" s="600">
        <v>1</v>
      </c>
      <c r="C22" s="602">
        <v>0</v>
      </c>
      <c r="D22" s="300"/>
    </row>
    <row r="23" spans="1:4" ht="12.75">
      <c r="A23" s="302" t="s">
        <v>216</v>
      </c>
      <c r="B23" s="601">
        <f t="shared" ref="B23:C23" si="0">SUM(B15:B22)</f>
        <v>-18</v>
      </c>
      <c r="C23" s="323">
        <f t="shared" si="0"/>
        <v>-22</v>
      </c>
      <c r="D23" s="300"/>
    </row>
    <row r="24" spans="1:4" ht="12.75">
      <c r="A24" s="240"/>
      <c r="B24" s="599"/>
      <c r="C24" s="301"/>
      <c r="D24" s="300"/>
    </row>
    <row r="25" spans="1:4" ht="12.75">
      <c r="A25" s="240"/>
      <c r="B25" s="599"/>
      <c r="C25" s="301"/>
      <c r="D25" s="300"/>
    </row>
    <row r="26" spans="1:4" ht="12.75">
      <c r="A26" s="240"/>
      <c r="B26" s="599"/>
      <c r="C26" s="301"/>
      <c r="D26" s="300"/>
    </row>
    <row r="27" spans="1:4" ht="12.75">
      <c r="A27" s="240" t="s">
        <v>217</v>
      </c>
      <c r="B27" s="599"/>
      <c r="C27" s="301"/>
      <c r="D27" s="300"/>
    </row>
    <row r="28" spans="1:4" ht="12.75">
      <c r="A28" s="240" t="s">
        <v>108</v>
      </c>
      <c r="B28" s="599">
        <v>0</v>
      </c>
      <c r="C28" s="301">
        <v>17</v>
      </c>
      <c r="D28" s="300"/>
    </row>
    <row r="29" spans="1:4" ht="12.75">
      <c r="A29" s="240" t="s">
        <v>109</v>
      </c>
      <c r="B29" s="599">
        <v>-13</v>
      </c>
      <c r="C29" s="301">
        <v>-27</v>
      </c>
      <c r="D29" s="300"/>
    </row>
    <row r="30" spans="1:4" ht="12.75">
      <c r="A30" s="240" t="s">
        <v>110</v>
      </c>
      <c r="B30" s="599">
        <v>0</v>
      </c>
      <c r="C30" s="301">
        <v>-11</v>
      </c>
      <c r="D30" s="300"/>
    </row>
    <row r="31" spans="1:4" ht="12.75">
      <c r="A31" s="240" t="s">
        <v>226</v>
      </c>
      <c r="B31" s="599">
        <v>-1</v>
      </c>
      <c r="C31" s="301">
        <v>-1</v>
      </c>
      <c r="D31" s="300"/>
    </row>
    <row r="32" spans="1:4" ht="12.75">
      <c r="A32" s="240" t="s">
        <v>33</v>
      </c>
      <c r="B32" s="599">
        <v>-4</v>
      </c>
      <c r="C32" s="301">
        <v>0</v>
      </c>
      <c r="D32" s="300"/>
    </row>
    <row r="33" spans="1:9" ht="12.75">
      <c r="A33" s="302" t="s">
        <v>216</v>
      </c>
      <c r="B33" s="601">
        <f t="shared" ref="B33:C33" si="1">SUM(B28:B32)</f>
        <v>-18</v>
      </c>
      <c r="C33" s="323">
        <f t="shared" si="1"/>
        <v>-22</v>
      </c>
      <c r="D33" s="300"/>
    </row>
    <row r="35" spans="1:9">
      <c r="A35" s="240"/>
    </row>
    <row r="36" spans="1:9" ht="12.75">
      <c r="A36" s="240" t="s">
        <v>227</v>
      </c>
      <c r="B36" s="240"/>
      <c r="C36" s="240"/>
      <c r="D36" s="240"/>
      <c r="E36" s="240"/>
      <c r="F36" s="296"/>
      <c r="G36" s="296"/>
      <c r="H36" s="296"/>
      <c r="I36" s="296"/>
    </row>
    <row r="37" spans="1:9" ht="12.75">
      <c r="A37" s="240" t="s">
        <v>228</v>
      </c>
      <c r="B37" s="240"/>
      <c r="C37" s="240"/>
      <c r="D37" s="240"/>
      <c r="E37" s="240"/>
      <c r="F37" s="296"/>
      <c r="G37" s="296"/>
      <c r="H37" s="296"/>
      <c r="I37" s="296"/>
    </row>
    <row r="38" spans="1:9" ht="12.75">
      <c r="A38" s="240" t="s">
        <v>808</v>
      </c>
      <c r="B38" s="240"/>
      <c r="C38" s="240"/>
      <c r="D38" s="240"/>
      <c r="E38" s="240"/>
      <c r="F38" s="296"/>
      <c r="G38" s="296"/>
      <c r="H38" s="296"/>
      <c r="I38" s="296"/>
    </row>
    <row r="39" spans="1:9" ht="12.75">
      <c r="A39" s="240"/>
      <c r="B39" s="240"/>
      <c r="C39" s="240"/>
      <c r="D39" s="240"/>
      <c r="E39" s="240"/>
      <c r="F39" s="296"/>
      <c r="G39" s="296"/>
      <c r="H39" s="296"/>
      <c r="I39" s="296"/>
    </row>
    <row r="40" spans="1:9" ht="12.75">
      <c r="A40" s="240" t="s">
        <v>809</v>
      </c>
      <c r="B40" s="240"/>
      <c r="C40" s="240"/>
      <c r="D40" s="240"/>
      <c r="E40" s="240"/>
      <c r="F40" s="296"/>
      <c r="G40" s="296"/>
      <c r="H40" s="296"/>
      <c r="I40" s="296"/>
    </row>
    <row r="41" spans="1:9" ht="12.75">
      <c r="A41" s="240" t="s">
        <v>810</v>
      </c>
      <c r="B41" s="240"/>
      <c r="C41" s="240"/>
      <c r="D41" s="240"/>
      <c r="E41" s="240"/>
      <c r="F41" s="296"/>
      <c r="G41" s="296"/>
      <c r="H41" s="296"/>
      <c r="I41" s="296"/>
    </row>
    <row r="42" spans="1:9" ht="12.75">
      <c r="A42" s="240"/>
      <c r="B42" s="240"/>
      <c r="C42" s="240"/>
      <c r="D42" s="240"/>
      <c r="E42" s="240"/>
      <c r="F42" s="296"/>
      <c r="G42" s="296"/>
      <c r="H42" s="296"/>
      <c r="I42" s="296"/>
    </row>
    <row r="43" spans="1:9">
      <c r="A43" s="240"/>
      <c r="B43" s="240"/>
      <c r="C43" s="240"/>
      <c r="D43" s="240"/>
      <c r="E43" s="240"/>
    </row>
  </sheetData>
  <mergeCells count="1">
    <mergeCell ref="B3:C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30" max="16383" man="1"/>
  </rowBreaks>
  <colBreaks count="1" manualBreakCount="1">
    <brk id="1" max="1048575" man="1"/>
  </colBreaks>
  <ignoredErrors>
    <ignoredError sqref="B10:C1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1:X54"/>
  <sheetViews>
    <sheetView zoomScaleNormal="100" workbookViewId="0"/>
  </sheetViews>
  <sheetFormatPr baseColWidth="10" defaultColWidth="11" defaultRowHeight="12.75"/>
  <cols>
    <col min="1" max="1" width="4.375" style="340" customWidth="1"/>
    <col min="2" max="2" width="75.25" style="340" bestFit="1" customWidth="1"/>
    <col min="3" max="8" width="35.625" style="340" hidden="1" customWidth="1"/>
    <col min="9" max="10" width="35.625" style="340" customWidth="1"/>
    <col min="11" max="11" width="3.75" style="340" customWidth="1"/>
    <col min="12" max="14" width="35.625" style="340" customWidth="1"/>
    <col min="15" max="15" width="3.75" style="340" customWidth="1"/>
    <col min="16" max="24" width="25.625" style="340" customWidth="1"/>
    <col min="25" max="16384" width="11" style="340"/>
  </cols>
  <sheetData>
    <row r="1" spans="1:24" ht="21">
      <c r="A1" s="825" t="s">
        <v>601</v>
      </c>
      <c r="C1" s="341"/>
      <c r="D1" s="341"/>
      <c r="E1" s="341"/>
      <c r="F1" s="341"/>
      <c r="G1" s="341"/>
      <c r="H1" s="341"/>
      <c r="I1" s="341"/>
      <c r="J1" s="341"/>
    </row>
    <row r="2" spans="1:24">
      <c r="B2" s="341"/>
      <c r="C2" s="341" t="s">
        <v>277</v>
      </c>
      <c r="D2" s="341"/>
      <c r="E2" s="341"/>
      <c r="F2" s="341"/>
      <c r="G2" s="341"/>
      <c r="H2" s="341"/>
      <c r="I2" s="341"/>
      <c r="J2" s="341"/>
    </row>
    <row r="3" spans="1:24" ht="15">
      <c r="B3" s="344"/>
      <c r="C3" s="389"/>
      <c r="D3" s="343"/>
      <c r="E3" s="344"/>
      <c r="F3" s="344"/>
      <c r="G3" s="344"/>
      <c r="H3" s="344"/>
      <c r="I3" s="344"/>
      <c r="J3" s="344"/>
      <c r="L3" s="861" t="s">
        <v>653</v>
      </c>
      <c r="M3" s="862"/>
      <c r="N3" s="657"/>
      <c r="P3" s="861" t="s">
        <v>914</v>
      </c>
      <c r="Q3" s="863"/>
      <c r="R3" s="863"/>
      <c r="S3" s="863"/>
      <c r="T3" s="863"/>
      <c r="U3" s="863"/>
      <c r="V3" s="863"/>
      <c r="W3" s="863"/>
      <c r="X3" s="863"/>
    </row>
    <row r="4" spans="1:24" ht="13.5" thickBot="1">
      <c r="A4" s="388">
        <v>1</v>
      </c>
      <c r="B4" s="348" t="s">
        <v>278</v>
      </c>
      <c r="C4" s="349" t="s">
        <v>602</v>
      </c>
      <c r="D4" s="349" t="s">
        <v>602</v>
      </c>
      <c r="E4" s="349" t="s">
        <v>602</v>
      </c>
      <c r="F4" s="349" t="s">
        <v>602</v>
      </c>
      <c r="G4" s="349" t="s">
        <v>602</v>
      </c>
      <c r="H4" s="349" t="s">
        <v>602</v>
      </c>
      <c r="I4" s="349" t="s">
        <v>602</v>
      </c>
      <c r="J4" s="349" t="s">
        <v>602</v>
      </c>
      <c r="L4" s="349" t="s">
        <v>603</v>
      </c>
      <c r="M4" s="349" t="s">
        <v>603</v>
      </c>
      <c r="N4" s="349" t="s">
        <v>603</v>
      </c>
      <c r="P4" s="349" t="s">
        <v>616</v>
      </c>
      <c r="Q4" s="349" t="s">
        <v>616</v>
      </c>
      <c r="R4" s="349" t="s">
        <v>616</v>
      </c>
      <c r="S4" s="349" t="s">
        <v>616</v>
      </c>
      <c r="T4" s="349" t="s">
        <v>616</v>
      </c>
      <c r="U4" s="349" t="s">
        <v>616</v>
      </c>
      <c r="V4" s="349" t="s">
        <v>616</v>
      </c>
      <c r="W4" s="349" t="s">
        <v>616</v>
      </c>
      <c r="X4" s="349" t="s">
        <v>616</v>
      </c>
    </row>
    <row r="5" spans="1:24">
      <c r="A5" s="387">
        <v>2</v>
      </c>
      <c r="B5" s="345" t="s">
        <v>279</v>
      </c>
      <c r="C5" s="312">
        <v>10552672</v>
      </c>
      <c r="D5" s="312">
        <v>10552664</v>
      </c>
      <c r="E5" s="312" t="s">
        <v>681</v>
      </c>
      <c r="F5" s="312" t="s">
        <v>770</v>
      </c>
      <c r="G5" s="312" t="s">
        <v>784</v>
      </c>
      <c r="H5" s="312" t="s">
        <v>956</v>
      </c>
      <c r="I5" s="312" t="s">
        <v>771</v>
      </c>
      <c r="J5" s="312" t="s">
        <v>896</v>
      </c>
      <c r="L5" s="386" t="s">
        <v>641</v>
      </c>
      <c r="M5" s="386" t="s">
        <v>610</v>
      </c>
      <c r="N5" s="386" t="s">
        <v>916</v>
      </c>
      <c r="O5" s="654"/>
      <c r="P5" s="386" t="s">
        <v>617</v>
      </c>
      <c r="Q5" s="386" t="s">
        <v>648</v>
      </c>
      <c r="R5" s="386" t="s">
        <v>649</v>
      </c>
      <c r="S5" s="386" t="s">
        <v>650</v>
      </c>
      <c r="T5" s="386" t="s">
        <v>686</v>
      </c>
      <c r="U5" s="386" t="s">
        <v>815</v>
      </c>
      <c r="V5" s="386" t="s">
        <v>905</v>
      </c>
      <c r="W5" s="386" t="s">
        <v>906</v>
      </c>
      <c r="X5" s="386" t="s">
        <v>907</v>
      </c>
    </row>
    <row r="6" spans="1:24">
      <c r="A6" s="387">
        <v>3</v>
      </c>
      <c r="B6" s="345" t="s">
        <v>280</v>
      </c>
      <c r="C6" s="312" t="s">
        <v>281</v>
      </c>
      <c r="D6" s="312" t="s">
        <v>281</v>
      </c>
      <c r="E6" s="312" t="s">
        <v>281</v>
      </c>
      <c r="F6" s="312" t="s">
        <v>281</v>
      </c>
      <c r="G6" s="312" t="s">
        <v>281</v>
      </c>
      <c r="H6" s="312" t="s">
        <v>281</v>
      </c>
      <c r="I6" s="312" t="s">
        <v>281</v>
      </c>
      <c r="J6" s="312" t="s">
        <v>281</v>
      </c>
      <c r="L6" s="654"/>
      <c r="M6" s="654"/>
      <c r="N6" s="654"/>
      <c r="O6" s="654"/>
      <c r="P6" s="386" t="s">
        <v>768</v>
      </c>
      <c r="Q6" s="386" t="s">
        <v>768</v>
      </c>
      <c r="R6" s="386" t="s">
        <v>768</v>
      </c>
      <c r="S6" s="386" t="s">
        <v>768</v>
      </c>
      <c r="T6" s="386" t="s">
        <v>768</v>
      </c>
      <c r="U6" s="386" t="s">
        <v>768</v>
      </c>
      <c r="V6" s="386" t="s">
        <v>768</v>
      </c>
      <c r="W6" s="386" t="s">
        <v>768</v>
      </c>
      <c r="X6" s="386" t="s">
        <v>768</v>
      </c>
    </row>
    <row r="7" spans="1:24" ht="13.5" customHeight="1" thickBot="1">
      <c r="A7" s="388"/>
      <c r="B7" s="406" t="s">
        <v>282</v>
      </c>
      <c r="C7" s="347"/>
      <c r="D7" s="347"/>
      <c r="E7" s="347"/>
      <c r="F7" s="347"/>
      <c r="G7" s="347"/>
      <c r="H7" s="347"/>
      <c r="I7" s="347"/>
      <c r="J7" s="347"/>
      <c r="L7" s="347"/>
      <c r="M7" s="347"/>
      <c r="N7" s="347"/>
      <c r="O7" s="654"/>
      <c r="P7" s="403"/>
      <c r="Q7" s="405"/>
      <c r="R7" s="403"/>
      <c r="S7" s="403"/>
      <c r="T7" s="403"/>
      <c r="U7" s="403"/>
      <c r="V7" s="405"/>
      <c r="W7" s="405"/>
      <c r="X7" s="405"/>
    </row>
    <row r="8" spans="1:24">
      <c r="A8" s="387">
        <v>4</v>
      </c>
      <c r="B8" s="345" t="s">
        <v>283</v>
      </c>
      <c r="C8" s="312" t="s">
        <v>284</v>
      </c>
      <c r="D8" s="312" t="s">
        <v>284</v>
      </c>
      <c r="E8" s="312" t="s">
        <v>682</v>
      </c>
      <c r="F8" s="312" t="s">
        <v>682</v>
      </c>
      <c r="G8" s="312" t="s">
        <v>682</v>
      </c>
      <c r="H8" s="312" t="s">
        <v>682</v>
      </c>
      <c r="I8" s="312" t="s">
        <v>284</v>
      </c>
      <c r="J8" s="312" t="s">
        <v>284</v>
      </c>
      <c r="L8" s="312" t="s">
        <v>285</v>
      </c>
      <c r="M8" s="312" t="s">
        <v>284</v>
      </c>
      <c r="N8" s="312" t="s">
        <v>284</v>
      </c>
      <c r="O8" s="654"/>
      <c r="P8" s="386" t="s">
        <v>477</v>
      </c>
      <c r="Q8" s="386" t="s">
        <v>515</v>
      </c>
      <c r="R8" s="386" t="s">
        <v>477</v>
      </c>
      <c r="S8" s="386" t="s">
        <v>477</v>
      </c>
      <c r="T8" s="386" t="s">
        <v>477</v>
      </c>
      <c r="U8" s="386" t="s">
        <v>477</v>
      </c>
      <c r="V8" s="386" t="s">
        <v>515</v>
      </c>
      <c r="W8" s="386" t="s">
        <v>515</v>
      </c>
      <c r="X8" s="386" t="s">
        <v>515</v>
      </c>
    </row>
    <row r="9" spans="1:24">
      <c r="A9" s="387">
        <v>5</v>
      </c>
      <c r="B9" s="345" t="s">
        <v>286</v>
      </c>
      <c r="C9" s="312" t="s">
        <v>287</v>
      </c>
      <c r="D9" s="312" t="s">
        <v>287</v>
      </c>
      <c r="E9" s="312" t="s">
        <v>682</v>
      </c>
      <c r="F9" s="312" t="s">
        <v>682</v>
      </c>
      <c r="G9" s="312" t="s">
        <v>682</v>
      </c>
      <c r="H9" s="312" t="s">
        <v>682</v>
      </c>
      <c r="I9" s="312" t="s">
        <v>284</v>
      </c>
      <c r="J9" s="312" t="s">
        <v>284</v>
      </c>
      <c r="L9" s="312" t="s">
        <v>285</v>
      </c>
      <c r="M9" s="386" t="s">
        <v>625</v>
      </c>
      <c r="N9" s="386" t="s">
        <v>625</v>
      </c>
      <c r="O9" s="654"/>
      <c r="P9" s="386" t="s">
        <v>477</v>
      </c>
      <c r="Q9" s="386" t="s">
        <v>515</v>
      </c>
      <c r="R9" s="386" t="s">
        <v>477</v>
      </c>
      <c r="S9" s="386" t="s">
        <v>477</v>
      </c>
      <c r="T9" s="386" t="s">
        <v>477</v>
      </c>
      <c r="U9" s="386" t="s">
        <v>477</v>
      </c>
      <c r="V9" s="386" t="s">
        <v>515</v>
      </c>
      <c r="W9" s="386" t="s">
        <v>515</v>
      </c>
      <c r="X9" s="386" t="s">
        <v>515</v>
      </c>
    </row>
    <row r="10" spans="1:24">
      <c r="A10" s="387">
        <v>6</v>
      </c>
      <c r="B10" s="345" t="s">
        <v>288</v>
      </c>
      <c r="C10" s="312" t="s">
        <v>289</v>
      </c>
      <c r="D10" s="312" t="s">
        <v>289</v>
      </c>
      <c r="E10" s="312" t="s">
        <v>289</v>
      </c>
      <c r="F10" s="312" t="s">
        <v>289</v>
      </c>
      <c r="G10" s="312" t="s">
        <v>289</v>
      </c>
      <c r="H10" s="312" t="s">
        <v>289</v>
      </c>
      <c r="I10" s="312" t="s">
        <v>289</v>
      </c>
      <c r="J10" s="312" t="s">
        <v>289</v>
      </c>
      <c r="L10" s="386" t="s">
        <v>624</v>
      </c>
      <c r="M10" s="386" t="s">
        <v>624</v>
      </c>
      <c r="N10" s="386" t="s">
        <v>624</v>
      </c>
      <c r="P10" s="386" t="s">
        <v>624</v>
      </c>
      <c r="Q10" s="386" t="s">
        <v>624</v>
      </c>
      <c r="R10" s="386" t="s">
        <v>624</v>
      </c>
      <c r="S10" s="386" t="s">
        <v>624</v>
      </c>
      <c r="T10" s="386" t="s">
        <v>624</v>
      </c>
      <c r="U10" s="386" t="s">
        <v>624</v>
      </c>
      <c r="V10" s="386" t="s">
        <v>624</v>
      </c>
      <c r="W10" s="386" t="s">
        <v>624</v>
      </c>
      <c r="X10" s="386" t="s">
        <v>624</v>
      </c>
    </row>
    <row r="11" spans="1:24">
      <c r="A11" s="387">
        <v>7</v>
      </c>
      <c r="B11" s="90" t="s">
        <v>290</v>
      </c>
      <c r="C11" s="270"/>
      <c r="D11" s="270"/>
      <c r="E11" s="270"/>
      <c r="F11" s="270"/>
      <c r="G11" s="270"/>
      <c r="H11" s="270"/>
      <c r="I11" s="270"/>
      <c r="J11" s="270"/>
      <c r="L11" s="386" t="s">
        <v>579</v>
      </c>
      <c r="M11" s="386" t="s">
        <v>126</v>
      </c>
      <c r="N11" s="386" t="s">
        <v>126</v>
      </c>
      <c r="P11" s="386" t="s">
        <v>126</v>
      </c>
      <c r="Q11" s="386" t="s">
        <v>618</v>
      </c>
      <c r="R11" s="386" t="s">
        <v>126</v>
      </c>
      <c r="S11" s="386" t="s">
        <v>126</v>
      </c>
      <c r="T11" s="386" t="s">
        <v>126</v>
      </c>
      <c r="U11" s="386" t="s">
        <v>126</v>
      </c>
      <c r="V11" s="386" t="s">
        <v>618</v>
      </c>
      <c r="W11" s="386" t="s">
        <v>618</v>
      </c>
      <c r="X11" s="386" t="s">
        <v>618</v>
      </c>
    </row>
    <row r="12" spans="1:24">
      <c r="A12" s="387">
        <v>8</v>
      </c>
      <c r="B12" s="90" t="s">
        <v>291</v>
      </c>
      <c r="C12" s="312" t="s">
        <v>897</v>
      </c>
      <c r="D12" s="312" t="s">
        <v>292</v>
      </c>
      <c r="E12" s="312" t="s">
        <v>823</v>
      </c>
      <c r="F12" s="312" t="s">
        <v>769</v>
      </c>
      <c r="G12" s="312" t="s">
        <v>898</v>
      </c>
      <c r="H12" s="312" t="s">
        <v>785</v>
      </c>
      <c r="I12" s="312" t="s">
        <v>772</v>
      </c>
      <c r="J12" s="312" t="s">
        <v>899</v>
      </c>
      <c r="L12" s="386">
        <v>500000000</v>
      </c>
      <c r="M12" s="386">
        <v>299600000</v>
      </c>
      <c r="N12" s="386">
        <v>225000000</v>
      </c>
      <c r="P12" s="386">
        <v>350000000</v>
      </c>
      <c r="Q12" s="386">
        <v>475000000</v>
      </c>
      <c r="R12" s="386">
        <v>300000000</v>
      </c>
      <c r="S12" s="386">
        <v>180000000</v>
      </c>
      <c r="T12" s="386">
        <v>250000000</v>
      </c>
      <c r="U12" s="386">
        <v>100000000</v>
      </c>
      <c r="V12" s="386">
        <v>250000000</v>
      </c>
      <c r="W12" s="386">
        <v>475000000</v>
      </c>
      <c r="X12" s="386">
        <v>400000000</v>
      </c>
    </row>
    <row r="13" spans="1:24">
      <c r="A13" s="387">
        <v>9</v>
      </c>
      <c r="B13" s="90" t="s">
        <v>293</v>
      </c>
      <c r="C13" s="160" t="s">
        <v>294</v>
      </c>
      <c r="D13" s="312" t="s">
        <v>292</v>
      </c>
      <c r="E13" s="160" t="s">
        <v>683</v>
      </c>
      <c r="F13" s="312" t="s">
        <v>769</v>
      </c>
      <c r="G13" s="312" t="s">
        <v>898</v>
      </c>
      <c r="H13" s="312" t="s">
        <v>785</v>
      </c>
      <c r="I13" s="312" t="s">
        <v>772</v>
      </c>
      <c r="J13" s="312" t="s">
        <v>899</v>
      </c>
      <c r="L13" s="386">
        <v>500000000</v>
      </c>
      <c r="M13" s="386">
        <v>400000000</v>
      </c>
      <c r="N13" s="386">
        <v>225000000</v>
      </c>
      <c r="P13" s="386">
        <v>350000000</v>
      </c>
      <c r="Q13" s="386">
        <v>475000000</v>
      </c>
      <c r="R13" s="386">
        <v>300000000</v>
      </c>
      <c r="S13" s="386">
        <v>180000000</v>
      </c>
      <c r="T13" s="386">
        <v>250000000</v>
      </c>
      <c r="U13" s="386">
        <v>100000000</v>
      </c>
      <c r="V13" s="386">
        <v>250000000</v>
      </c>
      <c r="W13" s="386">
        <v>475000000</v>
      </c>
      <c r="X13" s="386">
        <v>400000000</v>
      </c>
    </row>
    <row r="14" spans="1:24">
      <c r="A14" s="387" t="s">
        <v>599</v>
      </c>
      <c r="B14" s="90" t="s">
        <v>295</v>
      </c>
      <c r="C14" s="312" t="s">
        <v>296</v>
      </c>
      <c r="D14" s="312" t="s">
        <v>296</v>
      </c>
      <c r="E14" s="312" t="s">
        <v>296</v>
      </c>
      <c r="F14" s="312" t="s">
        <v>296</v>
      </c>
      <c r="G14" s="312" t="s">
        <v>296</v>
      </c>
      <c r="H14" s="312" t="s">
        <v>296</v>
      </c>
      <c r="I14" s="312" t="s">
        <v>296</v>
      </c>
      <c r="J14" s="312" t="s">
        <v>296</v>
      </c>
      <c r="L14" s="386">
        <v>100</v>
      </c>
      <c r="M14" s="386">
        <v>100</v>
      </c>
      <c r="N14" s="386">
        <v>100</v>
      </c>
      <c r="P14" s="386">
        <v>100</v>
      </c>
      <c r="Q14" s="386">
        <v>100</v>
      </c>
      <c r="R14" s="386">
        <v>100</v>
      </c>
      <c r="S14" s="386">
        <v>100</v>
      </c>
      <c r="T14" s="386">
        <v>100</v>
      </c>
      <c r="U14" s="386">
        <v>100</v>
      </c>
      <c r="V14" s="386">
        <v>100</v>
      </c>
      <c r="W14" s="386">
        <v>100</v>
      </c>
      <c r="X14" s="386">
        <v>100</v>
      </c>
    </row>
    <row r="15" spans="1:24">
      <c r="A15" s="387" t="s">
        <v>600</v>
      </c>
      <c r="B15" s="90" t="s">
        <v>297</v>
      </c>
      <c r="C15" s="312" t="s">
        <v>298</v>
      </c>
      <c r="D15" s="312" t="s">
        <v>298</v>
      </c>
      <c r="E15" s="312" t="s">
        <v>298</v>
      </c>
      <c r="F15" s="312" t="s">
        <v>298</v>
      </c>
      <c r="G15" s="312" t="s">
        <v>298</v>
      </c>
      <c r="H15" s="312" t="s">
        <v>298</v>
      </c>
      <c r="I15" s="312" t="s">
        <v>298</v>
      </c>
      <c r="J15" s="312" t="s">
        <v>298</v>
      </c>
      <c r="L15" s="386">
        <v>100</v>
      </c>
      <c r="M15" s="386">
        <v>100</v>
      </c>
      <c r="N15" s="386">
        <v>100</v>
      </c>
      <c r="P15" s="386">
        <v>100</v>
      </c>
      <c r="Q15" s="386">
        <v>100</v>
      </c>
      <c r="R15" s="386">
        <v>100</v>
      </c>
      <c r="S15" s="386">
        <v>100</v>
      </c>
      <c r="T15" s="386">
        <v>100</v>
      </c>
      <c r="U15" s="386">
        <v>100</v>
      </c>
      <c r="V15" s="386">
        <v>100</v>
      </c>
      <c r="W15" s="386">
        <v>100</v>
      </c>
      <c r="X15" s="386">
        <v>100</v>
      </c>
    </row>
    <row r="16" spans="1:24">
      <c r="A16" s="387">
        <v>10</v>
      </c>
      <c r="B16" s="90" t="s">
        <v>299</v>
      </c>
      <c r="C16" s="312" t="s">
        <v>300</v>
      </c>
      <c r="D16" s="312" t="s">
        <v>300</v>
      </c>
      <c r="E16" s="312" t="s">
        <v>300</v>
      </c>
      <c r="F16" s="312" t="s">
        <v>300</v>
      </c>
      <c r="G16" s="312" t="s">
        <v>300</v>
      </c>
      <c r="H16" s="312" t="s">
        <v>300</v>
      </c>
      <c r="I16" s="386" t="s">
        <v>825</v>
      </c>
      <c r="J16" s="386" t="s">
        <v>825</v>
      </c>
      <c r="L16" s="386" t="s">
        <v>611</v>
      </c>
      <c r="M16" s="386" t="s">
        <v>611</v>
      </c>
      <c r="N16" s="386" t="s">
        <v>611</v>
      </c>
      <c r="P16" s="386" t="s">
        <v>611</v>
      </c>
      <c r="Q16" s="386" t="s">
        <v>611</v>
      </c>
      <c r="R16" s="386" t="s">
        <v>611</v>
      </c>
      <c r="S16" s="386" t="s">
        <v>611</v>
      </c>
      <c r="T16" s="386" t="s">
        <v>611</v>
      </c>
      <c r="U16" s="386" t="s">
        <v>611</v>
      </c>
      <c r="V16" s="386" t="s">
        <v>611</v>
      </c>
      <c r="W16" s="386" t="s">
        <v>611</v>
      </c>
      <c r="X16" s="386" t="s">
        <v>611</v>
      </c>
    </row>
    <row r="17" spans="1:24">
      <c r="A17" s="387">
        <v>11</v>
      </c>
      <c r="B17" s="90" t="s">
        <v>301</v>
      </c>
      <c r="C17" s="407">
        <v>40156</v>
      </c>
      <c r="D17" s="407">
        <v>40156</v>
      </c>
      <c r="E17" s="407">
        <v>42359</v>
      </c>
      <c r="F17" s="407">
        <v>42864</v>
      </c>
      <c r="G17" s="407">
        <v>42970</v>
      </c>
      <c r="H17" s="407">
        <v>43364</v>
      </c>
      <c r="I17" s="407">
        <v>42915</v>
      </c>
      <c r="J17" s="407">
        <v>43377</v>
      </c>
      <c r="L17" s="397">
        <v>42074</v>
      </c>
      <c r="M17" s="397">
        <v>41695</v>
      </c>
      <c r="N17" s="397">
        <v>43398</v>
      </c>
      <c r="P17" s="397">
        <v>41815</v>
      </c>
      <c r="Q17" s="397">
        <v>41705</v>
      </c>
      <c r="R17" s="397">
        <v>42270</v>
      </c>
      <c r="S17" s="397">
        <v>42276</v>
      </c>
      <c r="T17" s="397">
        <v>42531</v>
      </c>
      <c r="U17" s="397">
        <v>43070</v>
      </c>
      <c r="V17" s="397">
        <v>43273</v>
      </c>
      <c r="W17" s="397">
        <v>43406</v>
      </c>
      <c r="X17" s="397">
        <v>43381</v>
      </c>
    </row>
    <row r="18" spans="1:24">
      <c r="A18" s="387">
        <v>12</v>
      </c>
      <c r="B18" s="90" t="s">
        <v>302</v>
      </c>
      <c r="C18" s="312" t="s">
        <v>303</v>
      </c>
      <c r="D18" s="312" t="s">
        <v>303</v>
      </c>
      <c r="E18" s="312" t="s">
        <v>130</v>
      </c>
      <c r="F18" s="312" t="s">
        <v>130</v>
      </c>
      <c r="G18" s="312" t="s">
        <v>130</v>
      </c>
      <c r="H18" s="312" t="s">
        <v>130</v>
      </c>
      <c r="I18" s="312" t="s">
        <v>303</v>
      </c>
      <c r="J18" s="312" t="s">
        <v>303</v>
      </c>
      <c r="L18" s="386" t="s">
        <v>130</v>
      </c>
      <c r="M18" s="386" t="s">
        <v>303</v>
      </c>
      <c r="N18" s="386" t="s">
        <v>303</v>
      </c>
      <c r="P18" s="386" t="s">
        <v>303</v>
      </c>
      <c r="Q18" s="386" t="s">
        <v>130</v>
      </c>
      <c r="R18" s="386" t="s">
        <v>303</v>
      </c>
      <c r="S18" s="386" t="s">
        <v>303</v>
      </c>
      <c r="T18" s="386" t="s">
        <v>303</v>
      </c>
      <c r="U18" s="386" t="s">
        <v>303</v>
      </c>
      <c r="V18" s="386" t="s">
        <v>130</v>
      </c>
      <c r="W18" s="386" t="s">
        <v>130</v>
      </c>
      <c r="X18" s="386" t="s">
        <v>130</v>
      </c>
    </row>
    <row r="19" spans="1:24">
      <c r="A19" s="387">
        <v>13</v>
      </c>
      <c r="B19" s="90" t="s">
        <v>304</v>
      </c>
      <c r="C19" s="312" t="s">
        <v>305</v>
      </c>
      <c r="D19" s="312" t="s">
        <v>305</v>
      </c>
      <c r="E19" s="407">
        <v>47838</v>
      </c>
      <c r="F19" s="407">
        <v>46882</v>
      </c>
      <c r="G19" s="407">
        <v>47353</v>
      </c>
      <c r="H19" s="407">
        <v>47017</v>
      </c>
      <c r="I19" s="407" t="s">
        <v>305</v>
      </c>
      <c r="J19" s="407" t="s">
        <v>305</v>
      </c>
      <c r="L19" s="397">
        <v>45727</v>
      </c>
      <c r="M19" s="386" t="s">
        <v>305</v>
      </c>
      <c r="N19" s="386" t="s">
        <v>305</v>
      </c>
      <c r="P19" s="397"/>
      <c r="Q19" s="397">
        <v>45358</v>
      </c>
      <c r="R19" s="397"/>
      <c r="S19" s="397"/>
      <c r="T19" s="397"/>
      <c r="U19" s="397"/>
      <c r="V19" s="397">
        <v>46926</v>
      </c>
      <c r="W19" s="397">
        <v>47059</v>
      </c>
      <c r="X19" s="397">
        <v>47764</v>
      </c>
    </row>
    <row r="20" spans="1:24">
      <c r="A20" s="387">
        <v>14</v>
      </c>
      <c r="B20" s="90" t="s">
        <v>306</v>
      </c>
      <c r="C20" s="312" t="s">
        <v>307</v>
      </c>
      <c r="D20" s="312" t="s">
        <v>307</v>
      </c>
      <c r="E20" s="312" t="s">
        <v>684</v>
      </c>
      <c r="F20" s="312" t="s">
        <v>684</v>
      </c>
      <c r="G20" s="312" t="s">
        <v>307</v>
      </c>
      <c r="H20" s="312" t="s">
        <v>307</v>
      </c>
      <c r="I20" s="312" t="s">
        <v>307</v>
      </c>
      <c r="J20" s="312" t="s">
        <v>307</v>
      </c>
      <c r="L20" s="386" t="s">
        <v>307</v>
      </c>
      <c r="M20" s="386" t="s">
        <v>307</v>
      </c>
      <c r="N20" s="386" t="s">
        <v>307</v>
      </c>
      <c r="P20" s="397" t="s">
        <v>307</v>
      </c>
      <c r="Q20" s="397" t="s">
        <v>307</v>
      </c>
      <c r="R20" s="397" t="s">
        <v>307</v>
      </c>
      <c r="S20" s="397" t="s">
        <v>307</v>
      </c>
      <c r="T20" s="397" t="s">
        <v>307</v>
      </c>
      <c r="U20" s="397" t="s">
        <v>307</v>
      </c>
      <c r="V20" s="397" t="s">
        <v>307</v>
      </c>
      <c r="W20" s="397" t="s">
        <v>307</v>
      </c>
      <c r="X20" s="397" t="s">
        <v>307</v>
      </c>
    </row>
    <row r="21" spans="1:24" ht="36">
      <c r="A21" s="387">
        <v>15</v>
      </c>
      <c r="B21" s="90" t="s">
        <v>308</v>
      </c>
      <c r="C21" s="408">
        <v>43808</v>
      </c>
      <c r="D21" s="408">
        <v>43808</v>
      </c>
      <c r="E21" s="312" t="s">
        <v>334</v>
      </c>
      <c r="F21" s="312" t="s">
        <v>334</v>
      </c>
      <c r="G21" s="407">
        <v>45527</v>
      </c>
      <c r="H21" s="407">
        <v>45190</v>
      </c>
      <c r="I21" s="407">
        <v>44741</v>
      </c>
      <c r="J21" s="407">
        <v>45203</v>
      </c>
      <c r="L21" s="397" t="s">
        <v>642</v>
      </c>
      <c r="M21" s="386" t="s">
        <v>612</v>
      </c>
      <c r="N21" s="409" t="s">
        <v>917</v>
      </c>
      <c r="P21" s="397">
        <v>43594</v>
      </c>
      <c r="Q21" s="397">
        <v>43531</v>
      </c>
      <c r="R21" s="397">
        <v>44097</v>
      </c>
      <c r="S21" s="397">
        <v>44103</v>
      </c>
      <c r="T21" s="397">
        <v>44322</v>
      </c>
      <c r="U21" s="397">
        <v>44896</v>
      </c>
      <c r="V21" s="397">
        <v>45099</v>
      </c>
      <c r="W21" s="397">
        <v>45232</v>
      </c>
      <c r="X21" s="397">
        <v>45938</v>
      </c>
    </row>
    <row r="22" spans="1:24">
      <c r="A22" s="387">
        <v>16</v>
      </c>
      <c r="B22" s="90" t="s">
        <v>309</v>
      </c>
      <c r="C22" s="270" t="s">
        <v>310</v>
      </c>
      <c r="D22" s="270" t="s">
        <v>310</v>
      </c>
      <c r="E22" s="312" t="s">
        <v>334</v>
      </c>
      <c r="F22" s="312" t="s">
        <v>334</v>
      </c>
      <c r="G22" s="312" t="s">
        <v>311</v>
      </c>
      <c r="H22" s="312" t="s">
        <v>311</v>
      </c>
      <c r="I22" s="312" t="s">
        <v>334</v>
      </c>
      <c r="J22" s="312" t="s">
        <v>334</v>
      </c>
      <c r="L22" s="386" t="s">
        <v>613</v>
      </c>
      <c r="M22" s="386" t="s">
        <v>613</v>
      </c>
      <c r="N22" s="386" t="s">
        <v>613</v>
      </c>
      <c r="P22" s="386" t="s">
        <v>613</v>
      </c>
      <c r="Q22" s="386" t="s">
        <v>613</v>
      </c>
      <c r="R22" s="386" t="s">
        <v>613</v>
      </c>
      <c r="S22" s="386" t="s">
        <v>613</v>
      </c>
      <c r="T22" s="386" t="s">
        <v>613</v>
      </c>
      <c r="U22" s="386" t="s">
        <v>613</v>
      </c>
      <c r="V22" s="386" t="s">
        <v>613</v>
      </c>
      <c r="W22" s="386" t="s">
        <v>613</v>
      </c>
      <c r="X22" s="386" t="s">
        <v>613</v>
      </c>
    </row>
    <row r="23" spans="1:24" ht="13.5" thickBot="1">
      <c r="A23" s="388"/>
      <c r="B23" s="348" t="s">
        <v>312</v>
      </c>
      <c r="C23" s="347"/>
      <c r="D23" s="347"/>
      <c r="E23" s="347"/>
      <c r="F23" s="347"/>
      <c r="G23" s="347"/>
      <c r="H23" s="347"/>
      <c r="I23" s="347"/>
      <c r="J23" s="347"/>
      <c r="L23" s="347"/>
      <c r="M23" s="347"/>
      <c r="N23" s="347"/>
      <c r="P23" s="404"/>
      <c r="Q23" s="404"/>
      <c r="R23" s="404"/>
      <c r="S23" s="404"/>
      <c r="T23" s="404"/>
      <c r="U23" s="404"/>
      <c r="V23" s="404"/>
      <c r="W23" s="404"/>
      <c r="X23" s="404"/>
    </row>
    <row r="24" spans="1:24">
      <c r="A24" s="387">
        <v>17</v>
      </c>
      <c r="B24" s="90" t="s">
        <v>313</v>
      </c>
      <c r="C24" s="312" t="s">
        <v>314</v>
      </c>
      <c r="D24" s="312" t="s">
        <v>315</v>
      </c>
      <c r="E24" s="312" t="s">
        <v>314</v>
      </c>
      <c r="F24" s="312" t="s">
        <v>315</v>
      </c>
      <c r="G24" s="312" t="s">
        <v>315</v>
      </c>
      <c r="H24" s="312" t="s">
        <v>315</v>
      </c>
      <c r="I24" s="312" t="s">
        <v>315</v>
      </c>
      <c r="J24" s="312" t="s">
        <v>315</v>
      </c>
      <c r="L24" s="312" t="s">
        <v>315</v>
      </c>
      <c r="M24" s="312" t="s">
        <v>315</v>
      </c>
      <c r="N24" s="312" t="s">
        <v>315</v>
      </c>
      <c r="P24" s="312" t="s">
        <v>315</v>
      </c>
      <c r="Q24" s="312" t="s">
        <v>315</v>
      </c>
      <c r="R24" s="312" t="s">
        <v>315</v>
      </c>
      <c r="S24" s="312" t="s">
        <v>315</v>
      </c>
      <c r="T24" s="312" t="s">
        <v>315</v>
      </c>
      <c r="U24" s="312" t="s">
        <v>315</v>
      </c>
      <c r="V24" s="312" t="s">
        <v>315</v>
      </c>
      <c r="W24" s="312" t="s">
        <v>315</v>
      </c>
      <c r="X24" s="312" t="s">
        <v>315</v>
      </c>
    </row>
    <row r="25" spans="1:24" ht="25.5" customHeight="1">
      <c r="A25" s="396">
        <v>18</v>
      </c>
      <c r="B25" s="90" t="s">
        <v>316</v>
      </c>
      <c r="C25" s="346" t="s">
        <v>317</v>
      </c>
      <c r="D25" s="270" t="s">
        <v>664</v>
      </c>
      <c r="E25" s="346" t="s">
        <v>685</v>
      </c>
      <c r="F25" s="346" t="s">
        <v>773</v>
      </c>
      <c r="G25" s="346" t="s">
        <v>786</v>
      </c>
      <c r="H25" s="346" t="s">
        <v>786</v>
      </c>
      <c r="I25" s="346" t="s">
        <v>774</v>
      </c>
      <c r="J25" s="346" t="s">
        <v>900</v>
      </c>
      <c r="L25" s="401" t="s">
        <v>901</v>
      </c>
      <c r="M25" s="401" t="s">
        <v>902</v>
      </c>
      <c r="N25" s="401" t="s">
        <v>902</v>
      </c>
      <c r="P25" s="386" t="s">
        <v>816</v>
      </c>
      <c r="Q25" s="386" t="s">
        <v>908</v>
      </c>
      <c r="R25" s="386" t="s">
        <v>909</v>
      </c>
      <c r="S25" s="386" t="s">
        <v>909</v>
      </c>
      <c r="T25" s="386" t="s">
        <v>910</v>
      </c>
      <c r="U25" s="386" t="s">
        <v>816</v>
      </c>
      <c r="V25" s="386" t="s">
        <v>911</v>
      </c>
      <c r="W25" s="386" t="s">
        <v>912</v>
      </c>
      <c r="X25" s="386" t="s">
        <v>913</v>
      </c>
    </row>
    <row r="26" spans="1:24">
      <c r="A26" s="387">
        <v>19</v>
      </c>
      <c r="B26" s="90" t="s">
        <v>318</v>
      </c>
      <c r="C26" s="312" t="s">
        <v>319</v>
      </c>
      <c r="D26" s="312" t="s">
        <v>319</v>
      </c>
      <c r="E26" s="312" t="s">
        <v>319</v>
      </c>
      <c r="F26" s="312" t="s">
        <v>319</v>
      </c>
      <c r="G26" s="312" t="s">
        <v>319</v>
      </c>
      <c r="H26" s="312" t="s">
        <v>319</v>
      </c>
      <c r="I26" s="312" t="s">
        <v>319</v>
      </c>
      <c r="J26" s="312" t="s">
        <v>319</v>
      </c>
      <c r="L26" s="386" t="s">
        <v>319</v>
      </c>
      <c r="M26" s="386" t="s">
        <v>319</v>
      </c>
      <c r="N26" s="386" t="s">
        <v>319</v>
      </c>
      <c r="P26" s="386" t="s">
        <v>319</v>
      </c>
      <c r="Q26" s="386" t="s">
        <v>319</v>
      </c>
      <c r="R26" s="386" t="s">
        <v>319</v>
      </c>
      <c r="S26" s="386" t="s">
        <v>319</v>
      </c>
      <c r="T26" s="386" t="s">
        <v>319</v>
      </c>
      <c r="U26" s="386" t="s">
        <v>319</v>
      </c>
      <c r="V26" s="386" t="s">
        <v>319</v>
      </c>
      <c r="W26" s="386" t="s">
        <v>319</v>
      </c>
      <c r="X26" s="386" t="s">
        <v>319</v>
      </c>
    </row>
    <row r="27" spans="1:24">
      <c r="A27" s="387" t="s">
        <v>320</v>
      </c>
      <c r="B27" s="90" t="s">
        <v>321</v>
      </c>
      <c r="C27" s="312" t="s">
        <v>322</v>
      </c>
      <c r="D27" s="312" t="s">
        <v>322</v>
      </c>
      <c r="E27" s="312" t="s">
        <v>323</v>
      </c>
      <c r="F27" s="312" t="s">
        <v>323</v>
      </c>
      <c r="G27" s="312" t="s">
        <v>323</v>
      </c>
      <c r="H27" s="312" t="s">
        <v>323</v>
      </c>
      <c r="I27" s="312" t="s">
        <v>903</v>
      </c>
      <c r="J27" s="312" t="s">
        <v>903</v>
      </c>
      <c r="L27" s="386" t="s">
        <v>323</v>
      </c>
      <c r="M27" s="386" t="s">
        <v>614</v>
      </c>
      <c r="N27" s="386" t="s">
        <v>614</v>
      </c>
      <c r="P27" s="386" t="s">
        <v>323</v>
      </c>
      <c r="Q27" s="386" t="s">
        <v>614</v>
      </c>
      <c r="R27" s="386" t="s">
        <v>323</v>
      </c>
      <c r="S27" s="386" t="s">
        <v>323</v>
      </c>
      <c r="T27" s="386" t="s">
        <v>323</v>
      </c>
      <c r="U27" s="386" t="s">
        <v>323</v>
      </c>
      <c r="V27" s="386" t="s">
        <v>614</v>
      </c>
      <c r="W27" s="386" t="s">
        <v>614</v>
      </c>
      <c r="X27" s="386" t="s">
        <v>614</v>
      </c>
    </row>
    <row r="28" spans="1:24">
      <c r="A28" s="387" t="s">
        <v>324</v>
      </c>
      <c r="B28" s="90" t="s">
        <v>325</v>
      </c>
      <c r="C28" s="312" t="s">
        <v>322</v>
      </c>
      <c r="D28" s="312" t="s">
        <v>322</v>
      </c>
      <c r="E28" s="312" t="s">
        <v>323</v>
      </c>
      <c r="F28" s="312" t="s">
        <v>323</v>
      </c>
      <c r="G28" s="312" t="s">
        <v>323</v>
      </c>
      <c r="H28" s="312" t="s">
        <v>323</v>
      </c>
      <c r="I28" s="312" t="s">
        <v>323</v>
      </c>
      <c r="J28" s="312" t="s">
        <v>323</v>
      </c>
      <c r="L28" s="386" t="s">
        <v>323</v>
      </c>
      <c r="M28" s="386" t="s">
        <v>614</v>
      </c>
      <c r="N28" s="386" t="s">
        <v>614</v>
      </c>
      <c r="P28" s="386" t="s">
        <v>323</v>
      </c>
      <c r="Q28" s="386" t="s">
        <v>614</v>
      </c>
      <c r="R28" s="386" t="s">
        <v>323</v>
      </c>
      <c r="S28" s="386" t="s">
        <v>323</v>
      </c>
      <c r="T28" s="386" t="s">
        <v>323</v>
      </c>
      <c r="U28" s="386" t="s">
        <v>323</v>
      </c>
      <c r="V28" s="386" t="s">
        <v>614</v>
      </c>
      <c r="W28" s="386" t="s">
        <v>614</v>
      </c>
      <c r="X28" s="386" t="s">
        <v>614</v>
      </c>
    </row>
    <row r="29" spans="1:24">
      <c r="A29" s="396">
        <v>21</v>
      </c>
      <c r="B29" s="90" t="s">
        <v>326</v>
      </c>
      <c r="C29" s="312" t="s">
        <v>307</v>
      </c>
      <c r="D29" s="312" t="s">
        <v>307</v>
      </c>
      <c r="E29" s="312" t="s">
        <v>319</v>
      </c>
      <c r="F29" s="312" t="s">
        <v>319</v>
      </c>
      <c r="G29" s="312" t="s">
        <v>319</v>
      </c>
      <c r="H29" s="312" t="s">
        <v>319</v>
      </c>
      <c r="I29" s="312" t="s">
        <v>319</v>
      </c>
      <c r="J29" s="312" t="s">
        <v>319</v>
      </c>
      <c r="L29" s="386" t="s">
        <v>319</v>
      </c>
      <c r="M29" s="386" t="s">
        <v>319</v>
      </c>
      <c r="N29" s="386" t="s">
        <v>319</v>
      </c>
      <c r="P29" s="386" t="s">
        <v>319</v>
      </c>
      <c r="Q29" s="386" t="s">
        <v>812</v>
      </c>
      <c r="R29" s="386" t="s">
        <v>319</v>
      </c>
      <c r="S29" s="386" t="s">
        <v>319</v>
      </c>
      <c r="T29" s="386" t="s">
        <v>319</v>
      </c>
      <c r="U29" s="386" t="s">
        <v>319</v>
      </c>
      <c r="V29" s="386" t="s">
        <v>812</v>
      </c>
      <c r="W29" s="386" t="s">
        <v>812</v>
      </c>
      <c r="X29" s="386" t="s">
        <v>812</v>
      </c>
    </row>
    <row r="30" spans="1:24">
      <c r="A30" s="387">
        <v>22</v>
      </c>
      <c r="B30" s="90" t="s">
        <v>327</v>
      </c>
      <c r="C30" s="312" t="s">
        <v>328</v>
      </c>
      <c r="D30" s="312" t="s">
        <v>328</v>
      </c>
      <c r="E30" s="312" t="s">
        <v>329</v>
      </c>
      <c r="F30" s="312" t="s">
        <v>329</v>
      </c>
      <c r="G30" s="312" t="s">
        <v>329</v>
      </c>
      <c r="H30" s="312" t="s">
        <v>329</v>
      </c>
      <c r="I30" s="312" t="s">
        <v>328</v>
      </c>
      <c r="J30" s="312" t="s">
        <v>328</v>
      </c>
      <c r="L30" s="386" t="s">
        <v>319</v>
      </c>
      <c r="M30" s="386" t="s">
        <v>319</v>
      </c>
      <c r="N30" s="386" t="s">
        <v>319</v>
      </c>
      <c r="P30" s="312" t="s">
        <v>329</v>
      </c>
      <c r="Q30" s="312" t="s">
        <v>328</v>
      </c>
      <c r="R30" s="312" t="s">
        <v>329</v>
      </c>
      <c r="S30" s="312" t="s">
        <v>329</v>
      </c>
      <c r="T30" s="312" t="s">
        <v>329</v>
      </c>
      <c r="U30" s="312" t="s">
        <v>329</v>
      </c>
      <c r="V30" s="312" t="s">
        <v>328</v>
      </c>
      <c r="W30" s="312" t="s">
        <v>328</v>
      </c>
      <c r="X30" s="312" t="s">
        <v>328</v>
      </c>
    </row>
    <row r="31" spans="1:24" ht="13.5" thickBot="1">
      <c r="A31" s="388"/>
      <c r="B31" s="348" t="s">
        <v>330</v>
      </c>
      <c r="C31" s="347"/>
      <c r="D31" s="347"/>
      <c r="E31" s="347"/>
      <c r="F31" s="347"/>
      <c r="G31" s="347"/>
      <c r="H31" s="347"/>
      <c r="I31" s="347"/>
      <c r="J31" s="347"/>
      <c r="L31" s="347"/>
      <c r="M31" s="347"/>
      <c r="N31" s="347"/>
      <c r="P31" s="404"/>
      <c r="Q31" s="404"/>
      <c r="R31" s="404"/>
      <c r="S31" s="404"/>
      <c r="T31" s="404"/>
      <c r="U31" s="404"/>
      <c r="V31" s="404"/>
      <c r="W31" s="404"/>
      <c r="X31" s="404"/>
    </row>
    <row r="32" spans="1:24" ht="12.75" customHeight="1">
      <c r="A32" s="396">
        <v>23</v>
      </c>
      <c r="B32" s="90" t="s">
        <v>331</v>
      </c>
      <c r="C32" s="312" t="s">
        <v>332</v>
      </c>
      <c r="D32" s="312" t="s">
        <v>332</v>
      </c>
      <c r="E32" s="312" t="s">
        <v>332</v>
      </c>
      <c r="F32" s="312" t="s">
        <v>332</v>
      </c>
      <c r="G32" s="312" t="s">
        <v>332</v>
      </c>
      <c r="H32" s="312" t="s">
        <v>332</v>
      </c>
      <c r="I32" s="312" t="s">
        <v>332</v>
      </c>
      <c r="J32" s="312" t="s">
        <v>332</v>
      </c>
      <c r="L32" s="312" t="s">
        <v>332</v>
      </c>
      <c r="M32" s="312" t="s">
        <v>332</v>
      </c>
      <c r="N32" s="312" t="s">
        <v>332</v>
      </c>
      <c r="P32" s="399" t="s">
        <v>812</v>
      </c>
      <c r="Q32" s="396" t="s">
        <v>332</v>
      </c>
      <c r="R32" s="399" t="s">
        <v>812</v>
      </c>
      <c r="S32" s="399" t="s">
        <v>812</v>
      </c>
      <c r="T32" s="399" t="s">
        <v>812</v>
      </c>
      <c r="U32" s="399" t="s">
        <v>812</v>
      </c>
      <c r="V32" s="396" t="s">
        <v>332</v>
      </c>
      <c r="W32" s="396" t="s">
        <v>332</v>
      </c>
      <c r="X32" s="396" t="s">
        <v>332</v>
      </c>
    </row>
    <row r="33" spans="1:24" ht="168">
      <c r="A33" s="387">
        <v>24</v>
      </c>
      <c r="B33" s="90" t="s">
        <v>333</v>
      </c>
      <c r="C33" s="312" t="s">
        <v>334</v>
      </c>
      <c r="D33" s="312" t="s">
        <v>334</v>
      </c>
      <c r="E33" s="312" t="s">
        <v>334</v>
      </c>
      <c r="F33" s="312" t="s">
        <v>334</v>
      </c>
      <c r="G33" s="312" t="s">
        <v>334</v>
      </c>
      <c r="H33" s="312" t="s">
        <v>334</v>
      </c>
      <c r="I33" s="312" t="s">
        <v>334</v>
      </c>
      <c r="J33" s="312" t="s">
        <v>334</v>
      </c>
      <c r="L33" s="386" t="s">
        <v>334</v>
      </c>
      <c r="M33" s="386" t="s">
        <v>334</v>
      </c>
      <c r="N33" s="386" t="s">
        <v>334</v>
      </c>
      <c r="P33" s="399" t="s">
        <v>619</v>
      </c>
      <c r="Q33" s="91" t="s">
        <v>334</v>
      </c>
      <c r="R33" s="399" t="s">
        <v>619</v>
      </c>
      <c r="S33" s="399" t="s">
        <v>619</v>
      </c>
      <c r="T33" s="399" t="s">
        <v>619</v>
      </c>
      <c r="U33" s="399" t="s">
        <v>619</v>
      </c>
      <c r="V33" s="91" t="s">
        <v>334</v>
      </c>
      <c r="W33" s="91" t="s">
        <v>334</v>
      </c>
      <c r="X33" s="91" t="s">
        <v>334</v>
      </c>
    </row>
    <row r="34" spans="1:24">
      <c r="A34" s="387"/>
      <c r="B34" s="90"/>
      <c r="C34" s="312"/>
      <c r="D34" s="312"/>
      <c r="E34" s="312"/>
      <c r="F34" s="312"/>
      <c r="G34" s="312"/>
      <c r="H34" s="312"/>
      <c r="I34" s="312"/>
      <c r="J34" s="312"/>
      <c r="L34" s="386"/>
      <c r="M34" s="386"/>
      <c r="N34" s="386"/>
      <c r="P34" s="399"/>
      <c r="Q34" s="91"/>
      <c r="R34" s="399"/>
      <c r="S34" s="399"/>
      <c r="T34" s="399"/>
      <c r="U34" s="399"/>
      <c r="V34" s="91"/>
      <c r="W34" s="91"/>
      <c r="X34" s="91"/>
    </row>
    <row r="35" spans="1:24" ht="12.75" customHeight="1">
      <c r="A35" s="387">
        <v>25</v>
      </c>
      <c r="B35" s="90" t="s">
        <v>335</v>
      </c>
      <c r="C35" s="312" t="s">
        <v>334</v>
      </c>
      <c r="D35" s="312" t="s">
        <v>334</v>
      </c>
      <c r="E35" s="312" t="s">
        <v>334</v>
      </c>
      <c r="F35" s="312" t="s">
        <v>334</v>
      </c>
      <c r="G35" s="312" t="s">
        <v>334</v>
      </c>
      <c r="H35" s="312" t="s">
        <v>334</v>
      </c>
      <c r="I35" s="312" t="s">
        <v>334</v>
      </c>
      <c r="J35" s="312" t="s">
        <v>334</v>
      </c>
      <c r="L35" s="386" t="s">
        <v>334</v>
      </c>
      <c r="M35" s="386" t="s">
        <v>334</v>
      </c>
      <c r="N35" s="386" t="s">
        <v>334</v>
      </c>
      <c r="P35" s="396" t="s">
        <v>813</v>
      </c>
      <c r="Q35" s="91" t="s">
        <v>334</v>
      </c>
      <c r="R35" s="396" t="s">
        <v>813</v>
      </c>
      <c r="S35" s="396" t="s">
        <v>813</v>
      </c>
      <c r="T35" s="396" t="s">
        <v>813</v>
      </c>
      <c r="U35" s="396" t="s">
        <v>813</v>
      </c>
      <c r="V35" s="91" t="s">
        <v>334</v>
      </c>
      <c r="W35" s="91" t="s">
        <v>334</v>
      </c>
      <c r="X35" s="91" t="s">
        <v>334</v>
      </c>
    </row>
    <row r="36" spans="1:24">
      <c r="A36" s="387">
        <v>26</v>
      </c>
      <c r="B36" s="90" t="s">
        <v>336</v>
      </c>
      <c r="C36" s="312" t="s">
        <v>334</v>
      </c>
      <c r="D36" s="312" t="s">
        <v>334</v>
      </c>
      <c r="E36" s="312" t="s">
        <v>334</v>
      </c>
      <c r="F36" s="312" t="s">
        <v>334</v>
      </c>
      <c r="G36" s="312" t="s">
        <v>334</v>
      </c>
      <c r="H36" s="312" t="s">
        <v>334</v>
      </c>
      <c r="I36" s="312" t="s">
        <v>334</v>
      </c>
      <c r="J36" s="312" t="s">
        <v>334</v>
      </c>
      <c r="L36" s="386" t="s">
        <v>334</v>
      </c>
      <c r="M36" s="386" t="s">
        <v>334</v>
      </c>
      <c r="N36" s="386" t="s">
        <v>334</v>
      </c>
      <c r="P36" s="396" t="s">
        <v>813</v>
      </c>
      <c r="Q36" s="91" t="s">
        <v>334</v>
      </c>
      <c r="R36" s="396" t="s">
        <v>813</v>
      </c>
      <c r="S36" s="396" t="s">
        <v>813</v>
      </c>
      <c r="T36" s="396" t="s">
        <v>813</v>
      </c>
      <c r="U36" s="396" t="s">
        <v>813</v>
      </c>
      <c r="V36" s="91" t="s">
        <v>334</v>
      </c>
      <c r="W36" s="91" t="s">
        <v>334</v>
      </c>
      <c r="X36" s="91" t="s">
        <v>334</v>
      </c>
    </row>
    <row r="37" spans="1:24">
      <c r="A37" s="387">
        <v>27</v>
      </c>
      <c r="B37" s="90" t="s">
        <v>337</v>
      </c>
      <c r="C37" s="312" t="s">
        <v>334</v>
      </c>
      <c r="D37" s="312" t="s">
        <v>334</v>
      </c>
      <c r="E37" s="312" t="s">
        <v>334</v>
      </c>
      <c r="F37" s="312" t="s">
        <v>334</v>
      </c>
      <c r="G37" s="312" t="s">
        <v>334</v>
      </c>
      <c r="H37" s="312" t="s">
        <v>334</v>
      </c>
      <c r="I37" s="312" t="s">
        <v>334</v>
      </c>
      <c r="J37" s="312" t="s">
        <v>334</v>
      </c>
      <c r="L37" s="386" t="s">
        <v>334</v>
      </c>
      <c r="M37" s="386" t="s">
        <v>334</v>
      </c>
      <c r="N37" s="386" t="s">
        <v>334</v>
      </c>
      <c r="P37" s="396" t="s">
        <v>813</v>
      </c>
      <c r="Q37" s="91" t="s">
        <v>334</v>
      </c>
      <c r="R37" s="396" t="s">
        <v>813</v>
      </c>
      <c r="S37" s="396" t="s">
        <v>813</v>
      </c>
      <c r="T37" s="396" t="s">
        <v>813</v>
      </c>
      <c r="U37" s="396" t="s">
        <v>813</v>
      </c>
      <c r="V37" s="91" t="s">
        <v>334</v>
      </c>
      <c r="W37" s="91" t="s">
        <v>334</v>
      </c>
      <c r="X37" s="91" t="s">
        <v>334</v>
      </c>
    </row>
    <row r="38" spans="1:24">
      <c r="A38" s="387">
        <v>28</v>
      </c>
      <c r="B38" s="90" t="s">
        <v>338</v>
      </c>
      <c r="C38" s="312" t="s">
        <v>334</v>
      </c>
      <c r="D38" s="312" t="s">
        <v>334</v>
      </c>
      <c r="E38" s="312" t="s">
        <v>334</v>
      </c>
      <c r="F38" s="312" t="s">
        <v>334</v>
      </c>
      <c r="G38" s="312" t="s">
        <v>334</v>
      </c>
      <c r="H38" s="312" t="s">
        <v>334</v>
      </c>
      <c r="I38" s="312" t="s">
        <v>334</v>
      </c>
      <c r="J38" s="312" t="s">
        <v>334</v>
      </c>
      <c r="L38" s="386" t="s">
        <v>334</v>
      </c>
      <c r="M38" s="386" t="s">
        <v>334</v>
      </c>
      <c r="N38" s="386" t="s">
        <v>334</v>
      </c>
      <c r="P38" s="396" t="s">
        <v>813</v>
      </c>
      <c r="Q38" s="91" t="s">
        <v>334</v>
      </c>
      <c r="R38" s="396" t="s">
        <v>813</v>
      </c>
      <c r="S38" s="396" t="s">
        <v>813</v>
      </c>
      <c r="T38" s="396" t="s">
        <v>813</v>
      </c>
      <c r="U38" s="396" t="s">
        <v>813</v>
      </c>
      <c r="V38" s="91" t="s">
        <v>334</v>
      </c>
      <c r="W38" s="91" t="s">
        <v>334</v>
      </c>
      <c r="X38" s="91" t="s">
        <v>334</v>
      </c>
    </row>
    <row r="39" spans="1:24">
      <c r="A39" s="387">
        <v>29</v>
      </c>
      <c r="B39" s="90" t="s">
        <v>339</v>
      </c>
      <c r="C39" s="312" t="s">
        <v>334</v>
      </c>
      <c r="D39" s="312" t="s">
        <v>334</v>
      </c>
      <c r="E39" s="312" t="s">
        <v>334</v>
      </c>
      <c r="F39" s="312" t="s">
        <v>334</v>
      </c>
      <c r="G39" s="312" t="s">
        <v>334</v>
      </c>
      <c r="H39" s="312" t="s">
        <v>334</v>
      </c>
      <c r="I39" s="312" t="s">
        <v>334</v>
      </c>
      <c r="J39" s="312" t="s">
        <v>334</v>
      </c>
      <c r="L39" s="386" t="s">
        <v>334</v>
      </c>
      <c r="M39" s="386" t="s">
        <v>334</v>
      </c>
      <c r="N39" s="386" t="s">
        <v>334</v>
      </c>
      <c r="P39" s="396" t="s">
        <v>813</v>
      </c>
      <c r="Q39" s="91" t="s">
        <v>334</v>
      </c>
      <c r="R39" s="396" t="s">
        <v>813</v>
      </c>
      <c r="S39" s="396" t="s">
        <v>813</v>
      </c>
      <c r="T39" s="396" t="s">
        <v>813</v>
      </c>
      <c r="U39" s="396" t="s">
        <v>813</v>
      </c>
      <c r="V39" s="91" t="s">
        <v>334</v>
      </c>
      <c r="W39" s="91" t="s">
        <v>334</v>
      </c>
      <c r="X39" s="91" t="s">
        <v>334</v>
      </c>
    </row>
    <row r="40" spans="1:24">
      <c r="A40" s="396">
        <v>30</v>
      </c>
      <c r="B40" s="90" t="s">
        <v>340</v>
      </c>
      <c r="C40" s="312" t="s">
        <v>307</v>
      </c>
      <c r="D40" s="312" t="s">
        <v>307</v>
      </c>
      <c r="E40" s="312" t="s">
        <v>334</v>
      </c>
      <c r="F40" s="312" t="s">
        <v>334</v>
      </c>
      <c r="G40" s="312" t="s">
        <v>334</v>
      </c>
      <c r="H40" s="312" t="s">
        <v>334</v>
      </c>
      <c r="I40" s="312" t="s">
        <v>307</v>
      </c>
      <c r="J40" s="312" t="s">
        <v>307</v>
      </c>
      <c r="L40" s="386" t="s">
        <v>319</v>
      </c>
      <c r="M40" s="386" t="s">
        <v>307</v>
      </c>
      <c r="N40" s="386" t="s">
        <v>307</v>
      </c>
      <c r="P40" s="399" t="s">
        <v>812</v>
      </c>
      <c r="Q40" s="91" t="s">
        <v>334</v>
      </c>
      <c r="R40" s="399" t="s">
        <v>812</v>
      </c>
      <c r="S40" s="399" t="s">
        <v>812</v>
      </c>
      <c r="T40" s="399" t="s">
        <v>812</v>
      </c>
      <c r="U40" s="399" t="s">
        <v>812</v>
      </c>
      <c r="V40" s="91" t="s">
        <v>334</v>
      </c>
      <c r="W40" s="91" t="s">
        <v>334</v>
      </c>
      <c r="X40" s="91" t="s">
        <v>334</v>
      </c>
    </row>
    <row r="41" spans="1:24">
      <c r="A41" s="396"/>
      <c r="B41" s="90"/>
      <c r="C41" s="312"/>
      <c r="D41" s="312"/>
      <c r="E41" s="312"/>
      <c r="F41" s="312"/>
      <c r="G41" s="312"/>
      <c r="H41" s="312"/>
      <c r="I41" s="312"/>
      <c r="J41" s="312"/>
      <c r="L41" s="386"/>
      <c r="M41" s="386"/>
      <c r="N41" s="386"/>
      <c r="P41" s="399"/>
      <c r="Q41" s="91"/>
      <c r="R41" s="399"/>
      <c r="S41" s="399"/>
      <c r="T41" s="399"/>
      <c r="U41" s="399"/>
      <c r="V41" s="91"/>
      <c r="W41" s="91"/>
      <c r="X41" s="91"/>
    </row>
    <row r="42" spans="1:24" ht="216">
      <c r="A42" s="396">
        <v>31</v>
      </c>
      <c r="B42" s="90" t="s">
        <v>341</v>
      </c>
      <c r="C42" s="270" t="s">
        <v>342</v>
      </c>
      <c r="D42" s="270" t="s">
        <v>342</v>
      </c>
      <c r="E42" s="312" t="s">
        <v>334</v>
      </c>
      <c r="F42" s="312" t="s">
        <v>334</v>
      </c>
      <c r="G42" s="312" t="s">
        <v>334</v>
      </c>
      <c r="H42" s="312" t="s">
        <v>334</v>
      </c>
      <c r="I42" s="270" t="s">
        <v>904</v>
      </c>
      <c r="J42" s="270" t="s">
        <v>904</v>
      </c>
      <c r="L42" s="386" t="s">
        <v>334</v>
      </c>
      <c r="M42" s="399" t="s">
        <v>811</v>
      </c>
      <c r="N42" s="399" t="s">
        <v>918</v>
      </c>
      <c r="P42" s="400" t="s">
        <v>814</v>
      </c>
      <c r="Q42" s="91" t="s">
        <v>334</v>
      </c>
      <c r="R42" s="400" t="s">
        <v>814</v>
      </c>
      <c r="S42" s="400" t="s">
        <v>814</v>
      </c>
      <c r="T42" s="400" t="s">
        <v>814</v>
      </c>
      <c r="U42" s="400" t="s">
        <v>814</v>
      </c>
      <c r="V42" s="91" t="s">
        <v>334</v>
      </c>
      <c r="W42" s="91" t="s">
        <v>334</v>
      </c>
      <c r="X42" s="91" t="s">
        <v>334</v>
      </c>
    </row>
    <row r="43" spans="1:24" ht="180">
      <c r="A43" s="396">
        <v>32</v>
      </c>
      <c r="B43" s="90" t="s">
        <v>343</v>
      </c>
      <c r="C43" s="312" t="s">
        <v>344</v>
      </c>
      <c r="D43" s="312" t="s">
        <v>344</v>
      </c>
      <c r="E43" s="312" t="s">
        <v>334</v>
      </c>
      <c r="F43" s="312" t="s">
        <v>334</v>
      </c>
      <c r="G43" s="312" t="s">
        <v>334</v>
      </c>
      <c r="H43" s="312" t="s">
        <v>334</v>
      </c>
      <c r="I43" s="312" t="s">
        <v>344</v>
      </c>
      <c r="J43" s="312" t="s">
        <v>344</v>
      </c>
      <c r="L43" s="386" t="s">
        <v>334</v>
      </c>
      <c r="M43" s="386" t="s">
        <v>344</v>
      </c>
      <c r="N43" s="386" t="s">
        <v>344</v>
      </c>
      <c r="P43" s="399" t="s">
        <v>620</v>
      </c>
      <c r="Q43" s="91" t="s">
        <v>334</v>
      </c>
      <c r="R43" s="399" t="s">
        <v>620</v>
      </c>
      <c r="S43" s="399" t="s">
        <v>620</v>
      </c>
      <c r="T43" s="399" t="s">
        <v>620</v>
      </c>
      <c r="U43" s="399" t="s">
        <v>620</v>
      </c>
      <c r="V43" s="91" t="s">
        <v>334</v>
      </c>
      <c r="W43" s="91" t="s">
        <v>334</v>
      </c>
      <c r="X43" s="91" t="s">
        <v>334</v>
      </c>
    </row>
    <row r="44" spans="1:24">
      <c r="A44" s="396"/>
      <c r="B44" s="90"/>
      <c r="C44" s="312"/>
      <c r="D44" s="312"/>
      <c r="E44" s="312"/>
      <c r="F44" s="312"/>
      <c r="G44" s="312"/>
      <c r="H44" s="312"/>
      <c r="I44" s="312"/>
      <c r="J44" s="312"/>
      <c r="L44" s="386"/>
      <c r="M44" s="386"/>
      <c r="N44" s="386"/>
      <c r="P44" s="399"/>
      <c r="Q44" s="91"/>
      <c r="R44" s="399"/>
      <c r="S44" s="399"/>
      <c r="T44" s="399"/>
      <c r="U44" s="399"/>
      <c r="V44" s="91"/>
      <c r="W44" s="91"/>
      <c r="X44" s="91"/>
    </row>
    <row r="45" spans="1:24">
      <c r="A45" s="387">
        <v>33</v>
      </c>
      <c r="B45" s="90" t="s">
        <v>345</v>
      </c>
      <c r="C45" s="312" t="s">
        <v>346</v>
      </c>
      <c r="D45" s="312" t="s">
        <v>346</v>
      </c>
      <c r="E45" s="312" t="s">
        <v>334</v>
      </c>
      <c r="F45" s="312" t="s">
        <v>334</v>
      </c>
      <c r="G45" s="312" t="s">
        <v>334</v>
      </c>
      <c r="H45" s="312" t="s">
        <v>334</v>
      </c>
      <c r="I45" s="312" t="s">
        <v>346</v>
      </c>
      <c r="J45" s="312" t="s">
        <v>346</v>
      </c>
      <c r="L45" s="386" t="s">
        <v>334</v>
      </c>
      <c r="M45" s="386" t="s">
        <v>346</v>
      </c>
      <c r="N45" s="386" t="s">
        <v>346</v>
      </c>
      <c r="P45" s="396" t="s">
        <v>346</v>
      </c>
      <c r="Q45" s="396" t="s">
        <v>334</v>
      </c>
      <c r="R45" s="396" t="s">
        <v>346</v>
      </c>
      <c r="S45" s="396" t="s">
        <v>346</v>
      </c>
      <c r="T45" s="396" t="s">
        <v>346</v>
      </c>
      <c r="U45" s="396" t="s">
        <v>346</v>
      </c>
      <c r="V45" s="396" t="s">
        <v>334</v>
      </c>
      <c r="W45" s="396" t="s">
        <v>334</v>
      </c>
      <c r="X45" s="396" t="s">
        <v>334</v>
      </c>
    </row>
    <row r="46" spans="1:24" ht="72">
      <c r="A46" s="396">
        <v>34</v>
      </c>
      <c r="B46" s="90" t="s">
        <v>347</v>
      </c>
      <c r="C46" s="270" t="s">
        <v>348</v>
      </c>
      <c r="D46" s="270" t="s">
        <v>348</v>
      </c>
      <c r="E46" s="312" t="s">
        <v>334</v>
      </c>
      <c r="F46" s="312" t="s">
        <v>334</v>
      </c>
      <c r="G46" s="312" t="s">
        <v>334</v>
      </c>
      <c r="H46" s="312" t="s">
        <v>334</v>
      </c>
      <c r="I46" s="312" t="s">
        <v>775</v>
      </c>
      <c r="J46" s="312" t="s">
        <v>775</v>
      </c>
      <c r="L46" s="386" t="s">
        <v>334</v>
      </c>
      <c r="M46" s="402" t="s">
        <v>615</v>
      </c>
      <c r="N46" s="402" t="s">
        <v>775</v>
      </c>
      <c r="P46" s="399" t="s">
        <v>623</v>
      </c>
      <c r="Q46" s="396"/>
      <c r="R46" s="399" t="s">
        <v>623</v>
      </c>
      <c r="S46" s="399" t="s">
        <v>623</v>
      </c>
      <c r="T46" s="399" t="s">
        <v>623</v>
      </c>
      <c r="U46" s="399" t="s">
        <v>623</v>
      </c>
      <c r="V46" s="396"/>
      <c r="W46" s="396"/>
      <c r="X46" s="396"/>
    </row>
    <row r="47" spans="1:24" ht="60">
      <c r="A47" s="396">
        <v>35</v>
      </c>
      <c r="B47" s="90" t="s">
        <v>349</v>
      </c>
      <c r="C47" s="312" t="s">
        <v>285</v>
      </c>
      <c r="D47" s="312" t="s">
        <v>285</v>
      </c>
      <c r="E47" s="312" t="s">
        <v>350</v>
      </c>
      <c r="F47" s="312" t="s">
        <v>350</v>
      </c>
      <c r="G47" s="312" t="s">
        <v>350</v>
      </c>
      <c r="H47" s="312" t="s">
        <v>350</v>
      </c>
      <c r="I47" s="312" t="s">
        <v>285</v>
      </c>
      <c r="J47" s="312" t="s">
        <v>285</v>
      </c>
      <c r="L47" s="398" t="s">
        <v>643</v>
      </c>
      <c r="M47" s="400" t="s">
        <v>915</v>
      </c>
      <c r="N47" s="400" t="s">
        <v>915</v>
      </c>
      <c r="P47" s="396" t="s">
        <v>618</v>
      </c>
      <c r="Q47" s="396" t="s">
        <v>621</v>
      </c>
      <c r="R47" s="396" t="s">
        <v>618</v>
      </c>
      <c r="S47" s="396" t="s">
        <v>618</v>
      </c>
      <c r="T47" s="396" t="s">
        <v>618</v>
      </c>
      <c r="U47" s="396" t="s">
        <v>618</v>
      </c>
      <c r="V47" s="396" t="s">
        <v>621</v>
      </c>
      <c r="W47" s="396" t="s">
        <v>621</v>
      </c>
      <c r="X47" s="396" t="s">
        <v>621</v>
      </c>
    </row>
    <row r="48" spans="1:24">
      <c r="A48" s="387">
        <v>36</v>
      </c>
      <c r="B48" s="90" t="s">
        <v>351</v>
      </c>
      <c r="C48" s="312" t="s">
        <v>307</v>
      </c>
      <c r="D48" s="312" t="s">
        <v>307</v>
      </c>
      <c r="E48" s="312" t="s">
        <v>334</v>
      </c>
      <c r="F48" s="312" t="s">
        <v>334</v>
      </c>
      <c r="G48" s="312" t="s">
        <v>334</v>
      </c>
      <c r="H48" s="312" t="s">
        <v>334</v>
      </c>
      <c r="I48" s="312" t="s">
        <v>334</v>
      </c>
      <c r="J48" s="312" t="s">
        <v>334</v>
      </c>
      <c r="L48" s="386" t="s">
        <v>319</v>
      </c>
      <c r="M48" s="386" t="s">
        <v>319</v>
      </c>
      <c r="N48" s="386" t="s">
        <v>319</v>
      </c>
      <c r="P48" s="396" t="s">
        <v>334</v>
      </c>
      <c r="Q48" s="396" t="s">
        <v>334</v>
      </c>
      <c r="R48" s="396" t="s">
        <v>334</v>
      </c>
      <c r="S48" s="396" t="s">
        <v>334</v>
      </c>
      <c r="T48" s="396" t="s">
        <v>334</v>
      </c>
      <c r="U48" s="396" t="s">
        <v>334</v>
      </c>
      <c r="V48" s="396" t="s">
        <v>334</v>
      </c>
      <c r="W48" s="396" t="s">
        <v>334</v>
      </c>
      <c r="X48" s="396" t="s">
        <v>334</v>
      </c>
    </row>
    <row r="49" spans="1:24" ht="12.75" customHeight="1">
      <c r="A49" s="387">
        <v>37</v>
      </c>
      <c r="B49" s="90" t="s">
        <v>352</v>
      </c>
      <c r="C49" s="270" t="s">
        <v>353</v>
      </c>
      <c r="D49" s="270" t="s">
        <v>353</v>
      </c>
      <c r="E49" s="312" t="s">
        <v>334</v>
      </c>
      <c r="F49" s="312" t="s">
        <v>334</v>
      </c>
      <c r="G49" s="312" t="s">
        <v>334</v>
      </c>
      <c r="H49" s="312" t="s">
        <v>334</v>
      </c>
      <c r="I49" s="312" t="s">
        <v>334</v>
      </c>
      <c r="J49" s="312" t="s">
        <v>334</v>
      </c>
      <c r="L49" s="386" t="s">
        <v>334</v>
      </c>
      <c r="M49" s="386" t="s">
        <v>334</v>
      </c>
      <c r="N49" s="386" t="s">
        <v>334</v>
      </c>
      <c r="P49" s="91" t="s">
        <v>334</v>
      </c>
      <c r="Q49" s="91" t="s">
        <v>334</v>
      </c>
      <c r="R49" s="91" t="s">
        <v>334</v>
      </c>
      <c r="S49" s="91" t="s">
        <v>334</v>
      </c>
      <c r="T49" s="91" t="s">
        <v>334</v>
      </c>
      <c r="U49" s="91" t="s">
        <v>334</v>
      </c>
      <c r="V49" s="91" t="s">
        <v>334</v>
      </c>
      <c r="W49" s="91" t="s">
        <v>334</v>
      </c>
      <c r="X49" s="91" t="s">
        <v>334</v>
      </c>
    </row>
    <row r="50" spans="1:24">
      <c r="B50" s="342"/>
      <c r="C50" s="342"/>
      <c r="D50" s="342"/>
      <c r="E50" s="342"/>
      <c r="F50" s="342"/>
      <c r="G50" s="342"/>
      <c r="H50" s="342"/>
      <c r="M50" s="460"/>
      <c r="N50" s="654"/>
      <c r="O50" s="460"/>
      <c r="P50" s="460"/>
      <c r="Q50" s="460"/>
      <c r="R50" s="473"/>
      <c r="S50" s="473"/>
      <c r="T50" s="560"/>
    </row>
    <row r="52" spans="1:24">
      <c r="A52" s="90"/>
      <c r="B52" s="90"/>
      <c r="C52" s="90"/>
      <c r="D52" s="477"/>
      <c r="E52" s="477"/>
      <c r="F52" s="477"/>
      <c r="G52" s="477"/>
      <c r="H52" s="477"/>
      <c r="L52" s="460" t="s">
        <v>651</v>
      </c>
      <c r="N52" s="654"/>
      <c r="P52" s="460" t="s">
        <v>652</v>
      </c>
    </row>
    <row r="53" spans="1:24">
      <c r="A53" s="90"/>
      <c r="B53" s="90"/>
      <c r="C53" s="90"/>
      <c r="D53" s="476"/>
      <c r="E53" s="476"/>
      <c r="F53" s="476"/>
      <c r="G53" s="476"/>
      <c r="H53" s="476"/>
    </row>
    <row r="54" spans="1:24">
      <c r="A54" s="90"/>
      <c r="B54" s="90"/>
      <c r="C54" s="90"/>
    </row>
  </sheetData>
  <mergeCells count="2">
    <mergeCell ref="L3:M3"/>
    <mergeCell ref="P3:X3"/>
  </mergeCells>
  <pageMargins left="0.7" right="0.7" top="0.75" bottom="0.75" header="0.3" footer="0.3"/>
  <pageSetup paperSize="8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G37"/>
  <sheetViews>
    <sheetView zoomScaleNormal="100" workbookViewId="0"/>
  </sheetViews>
  <sheetFormatPr baseColWidth="10" defaultColWidth="11" defaultRowHeight="12"/>
  <cols>
    <col min="1" max="1" width="23.125" style="308" customWidth="1"/>
    <col min="2" max="2" width="9.5" style="308" customWidth="1"/>
    <col min="3" max="3" width="10.25" style="308" customWidth="1"/>
    <col min="4" max="4" width="11.25" style="308" customWidth="1"/>
    <col min="5" max="5" width="17.5" style="308" customWidth="1"/>
    <col min="6" max="6" width="10.625" style="308" customWidth="1"/>
    <col min="7" max="7" width="11.625" style="308" customWidth="1"/>
    <col min="8" max="16384" width="11" style="242"/>
  </cols>
  <sheetData>
    <row r="1" spans="1:7" ht="21">
      <c r="A1" s="825" t="s">
        <v>146</v>
      </c>
      <c r="B1" s="89"/>
      <c r="C1" s="89"/>
      <c r="D1" s="89"/>
      <c r="E1" s="89"/>
      <c r="F1" s="90"/>
    </row>
    <row r="2" spans="1:7" ht="14.25">
      <c r="A2" s="91" t="s">
        <v>781</v>
      </c>
      <c r="B2" s="91"/>
      <c r="C2" s="91"/>
      <c r="D2" s="315"/>
      <c r="E2" s="91"/>
      <c r="F2" s="90"/>
    </row>
    <row r="3" spans="1:7">
      <c r="A3" s="91" t="s">
        <v>143</v>
      </c>
      <c r="B3" s="91"/>
      <c r="C3" s="91"/>
      <c r="D3" s="91"/>
      <c r="E3" s="91"/>
      <c r="F3" s="90"/>
    </row>
    <row r="4" spans="1:7" ht="12" customHeight="1">
      <c r="A4" s="829" t="s">
        <v>788</v>
      </c>
      <c r="B4" s="829"/>
      <c r="C4" s="829"/>
      <c r="D4" s="829"/>
      <c r="E4" s="829"/>
      <c r="F4" s="90"/>
    </row>
    <row r="5" spans="1:7">
      <c r="A5" s="90" t="s">
        <v>762</v>
      </c>
      <c r="B5" s="92"/>
      <c r="C5" s="92"/>
      <c r="D5" s="93"/>
      <c r="E5" s="90"/>
      <c r="F5" s="90"/>
    </row>
    <row r="6" spans="1:7">
      <c r="A6" s="90"/>
      <c r="B6" s="92"/>
      <c r="C6" s="92"/>
      <c r="D6" s="93"/>
      <c r="E6" s="90"/>
      <c r="F6" s="90"/>
    </row>
    <row r="7" spans="1:7">
      <c r="A7" s="90"/>
      <c r="B7" s="92"/>
      <c r="C7" s="92"/>
      <c r="D7" s="93"/>
      <c r="E7" s="90"/>
      <c r="F7" s="90"/>
    </row>
    <row r="8" spans="1:7" ht="21">
      <c r="A8" s="825" t="s">
        <v>147</v>
      </c>
      <c r="B8" s="92"/>
      <c r="C8" s="92"/>
      <c r="D8" s="93"/>
      <c r="E8" s="90"/>
      <c r="F8" s="90"/>
      <c r="G8" s="460"/>
    </row>
    <row r="9" spans="1:7">
      <c r="A9" s="91" t="s">
        <v>782</v>
      </c>
      <c r="B9" s="91"/>
      <c r="C9" s="91"/>
      <c r="D9" s="91"/>
      <c r="E9" s="91"/>
      <c r="F9" s="90"/>
      <c r="G9" s="460"/>
    </row>
    <row r="10" spans="1:7" s="308" customFormat="1">
      <c r="A10" s="91" t="s">
        <v>242</v>
      </c>
      <c r="B10" s="91"/>
      <c r="C10" s="91"/>
      <c r="D10" s="91"/>
      <c r="E10" s="91"/>
      <c r="F10" s="90"/>
      <c r="G10" s="460"/>
    </row>
    <row r="11" spans="1:7" s="308" customFormat="1">
      <c r="A11" s="90"/>
      <c r="B11" s="92"/>
      <c r="C11" s="92"/>
      <c r="D11" s="93"/>
      <c r="E11" s="90"/>
      <c r="F11" s="90"/>
      <c r="G11" s="460"/>
    </row>
    <row r="13" spans="1:7" ht="21">
      <c r="A13" s="825" t="s">
        <v>146</v>
      </c>
      <c r="B13" s="460"/>
      <c r="C13" s="460"/>
    </row>
    <row r="15" spans="1:7" ht="39" thickBot="1">
      <c r="A15" s="78" t="s">
        <v>134</v>
      </c>
      <c r="B15" s="94" t="s">
        <v>831</v>
      </c>
      <c r="C15" s="94" t="s">
        <v>832</v>
      </c>
      <c r="D15" s="94" t="s">
        <v>833</v>
      </c>
      <c r="E15" s="95" t="s">
        <v>829</v>
      </c>
      <c r="F15" s="95" t="s">
        <v>830</v>
      </c>
      <c r="G15" s="95" t="s">
        <v>789</v>
      </c>
    </row>
    <row r="16" spans="1:7" ht="14.25">
      <c r="A16" s="308" t="s">
        <v>234</v>
      </c>
      <c r="B16" s="317">
        <v>4.8099999999999996</v>
      </c>
      <c r="C16" s="19">
        <v>3674</v>
      </c>
      <c r="D16" s="612">
        <v>16.760000000000002</v>
      </c>
      <c r="E16" s="317">
        <v>9.52</v>
      </c>
      <c r="F16" s="19">
        <v>7093</v>
      </c>
      <c r="G16" s="316">
        <v>16.68</v>
      </c>
    </row>
    <row r="17" spans="1:7" ht="14.25" customHeight="1">
      <c r="A17" s="308" t="s">
        <v>123</v>
      </c>
      <c r="B17" s="317">
        <v>14.41</v>
      </c>
      <c r="C17" s="19">
        <v>1592</v>
      </c>
      <c r="D17" s="612">
        <v>18.37</v>
      </c>
      <c r="E17" s="317">
        <v>19.239999999999998</v>
      </c>
      <c r="F17" s="19">
        <v>1971</v>
      </c>
      <c r="G17" s="316">
        <v>22.87</v>
      </c>
    </row>
    <row r="18" spans="1:7" s="308" customFormat="1" ht="14.25">
      <c r="A18" s="308" t="s">
        <v>763</v>
      </c>
      <c r="B18" s="317">
        <v>24.15</v>
      </c>
      <c r="C18" s="19">
        <v>4561</v>
      </c>
      <c r="D18" s="612">
        <v>22.15</v>
      </c>
      <c r="E18" s="317">
        <v>24.15</v>
      </c>
      <c r="F18" s="19">
        <v>3247</v>
      </c>
      <c r="G18" s="316">
        <v>29.57</v>
      </c>
    </row>
    <row r="19" spans="1:7" ht="14.25" customHeight="1">
      <c r="A19" s="21" t="s">
        <v>764</v>
      </c>
      <c r="B19" s="319">
        <v>17.87</v>
      </c>
      <c r="C19" s="262">
        <v>926</v>
      </c>
      <c r="D19" s="611">
        <v>22.01</v>
      </c>
      <c r="E19" s="319">
        <v>17.850000000000001</v>
      </c>
      <c r="F19" s="22">
        <v>894</v>
      </c>
      <c r="G19" s="96">
        <v>24.3</v>
      </c>
    </row>
    <row r="20" spans="1:7">
      <c r="B20" s="71"/>
      <c r="C20" s="71"/>
    </row>
    <row r="21" spans="1:7" s="308" customFormat="1" ht="14.25">
      <c r="A21" s="97" t="s">
        <v>923</v>
      </c>
      <c r="B21" s="71"/>
      <c r="C21" s="71"/>
    </row>
    <row r="22" spans="1:7" ht="14.25">
      <c r="A22" s="97" t="s">
        <v>263</v>
      </c>
      <c r="B22" s="71"/>
      <c r="C22" s="71"/>
    </row>
    <row r="24" spans="1:7">
      <c r="A24" s="460" t="s">
        <v>232</v>
      </c>
      <c r="B24" s="460"/>
      <c r="C24" s="460"/>
      <c r="D24" s="460"/>
      <c r="E24" s="460"/>
    </row>
    <row r="25" spans="1:7">
      <c r="A25" s="308" t="s">
        <v>765</v>
      </c>
    </row>
    <row r="37" spans="6:6" ht="14.25">
      <c r="F37" s="97"/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7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1:F151"/>
  <sheetViews>
    <sheetView zoomScaleNormal="100" workbookViewId="0"/>
  </sheetViews>
  <sheetFormatPr baseColWidth="10" defaultColWidth="11" defaultRowHeight="12.75"/>
  <cols>
    <col min="1" max="1" width="4.5" style="460" customWidth="1"/>
    <col min="2" max="2" width="103" style="460" customWidth="1"/>
    <col min="3" max="3" width="32.5" style="460" customWidth="1"/>
    <col min="4" max="4" width="45.25" style="460" customWidth="1"/>
    <col min="5" max="5" width="32.5" style="460" customWidth="1"/>
    <col min="6" max="6" width="11" style="460"/>
    <col min="7" max="16384" width="11" style="252"/>
  </cols>
  <sheetData>
    <row r="1" spans="1:5" ht="21">
      <c r="A1" s="825" t="s">
        <v>677</v>
      </c>
      <c r="B1" s="556"/>
      <c r="C1" s="556"/>
      <c r="D1" s="556"/>
      <c r="E1" s="556"/>
    </row>
    <row r="2" spans="1:5" ht="15">
      <c r="A2" s="434"/>
      <c r="B2" s="556"/>
      <c r="C2" s="556"/>
      <c r="D2" s="556"/>
      <c r="E2" s="556"/>
    </row>
    <row r="3" spans="1:5" ht="15">
      <c r="A3" s="435"/>
      <c r="B3" s="556"/>
      <c r="C3" s="556"/>
      <c r="D3" s="556"/>
      <c r="E3" s="556"/>
    </row>
    <row r="4" spans="1:5" ht="15.75" thickBot="1">
      <c r="A4" s="435" t="s">
        <v>645</v>
      </c>
      <c r="B4" s="362" t="s">
        <v>354</v>
      </c>
      <c r="C4" s="357" t="s">
        <v>590</v>
      </c>
      <c r="D4" s="349" t="s">
        <v>588</v>
      </c>
      <c r="E4" s="357" t="s">
        <v>589</v>
      </c>
    </row>
    <row r="5" spans="1:5" ht="15">
      <c r="A5" s="435" t="s">
        <v>646</v>
      </c>
      <c r="B5" s="92" t="s">
        <v>355</v>
      </c>
      <c r="C5" s="321">
        <v>7980607.6880000001</v>
      </c>
      <c r="D5" s="270" t="s">
        <v>356</v>
      </c>
      <c r="E5" s="312" t="s">
        <v>334</v>
      </c>
    </row>
    <row r="6" spans="1:5" ht="15">
      <c r="A6" s="433" t="s">
        <v>647</v>
      </c>
      <c r="B6" s="90" t="s">
        <v>357</v>
      </c>
      <c r="C6" s="321">
        <v>7980607.6880000001</v>
      </c>
      <c r="D6" s="360"/>
      <c r="E6" s="312" t="s">
        <v>334</v>
      </c>
    </row>
    <row r="7" spans="1:5">
      <c r="A7" s="350"/>
      <c r="B7" s="90" t="s">
        <v>358</v>
      </c>
      <c r="C7" s="321"/>
      <c r="D7" s="360"/>
      <c r="E7" s="312" t="s">
        <v>334</v>
      </c>
    </row>
    <row r="8" spans="1:5">
      <c r="A8" s="350"/>
      <c r="B8" s="90" t="s">
        <v>359</v>
      </c>
      <c r="C8" s="321"/>
      <c r="D8" s="360"/>
      <c r="E8" s="312" t="s">
        <v>334</v>
      </c>
    </row>
    <row r="9" spans="1:5">
      <c r="A9" s="350">
        <v>2</v>
      </c>
      <c r="B9" s="264" t="s">
        <v>360</v>
      </c>
      <c r="C9" s="321">
        <v>11228062</v>
      </c>
      <c r="D9" s="312" t="s">
        <v>361</v>
      </c>
      <c r="E9" s="312" t="s">
        <v>334</v>
      </c>
    </row>
    <row r="10" spans="1:5">
      <c r="A10" s="350">
        <v>3</v>
      </c>
      <c r="B10" s="264" t="s">
        <v>362</v>
      </c>
      <c r="C10" s="321">
        <f>-513120+60011</f>
        <v>-453109</v>
      </c>
      <c r="D10" s="359" t="s">
        <v>363</v>
      </c>
      <c r="E10" s="312" t="s">
        <v>334</v>
      </c>
    </row>
    <row r="11" spans="1:5">
      <c r="A11" s="350" t="s">
        <v>364</v>
      </c>
      <c r="B11" s="90" t="s">
        <v>365</v>
      </c>
      <c r="C11" s="321"/>
      <c r="D11" s="360" t="s">
        <v>366</v>
      </c>
      <c r="E11" s="312" t="s">
        <v>334</v>
      </c>
    </row>
    <row r="12" spans="1:5" ht="12.75" customHeight="1">
      <c r="A12" s="350">
        <v>4</v>
      </c>
      <c r="B12" s="264" t="s">
        <v>367</v>
      </c>
      <c r="C12" s="321"/>
      <c r="D12" s="360"/>
      <c r="E12" s="312" t="s">
        <v>334</v>
      </c>
    </row>
    <row r="13" spans="1:5" ht="12.75" customHeight="1">
      <c r="A13" s="350"/>
      <c r="B13" s="264" t="s">
        <v>368</v>
      </c>
      <c r="C13" s="321"/>
      <c r="D13" s="360"/>
      <c r="E13" s="312" t="s">
        <v>334</v>
      </c>
    </row>
    <row r="14" spans="1:5">
      <c r="A14" s="350">
        <v>5</v>
      </c>
      <c r="B14" s="90" t="s">
        <v>369</v>
      </c>
      <c r="C14" s="321">
        <v>0</v>
      </c>
      <c r="D14" s="360">
        <v>84</v>
      </c>
      <c r="E14" s="312" t="s">
        <v>334</v>
      </c>
    </row>
    <row r="15" spans="1:5" ht="12.75" customHeight="1">
      <c r="A15" s="350" t="s">
        <v>370</v>
      </c>
      <c r="B15" s="264" t="s">
        <v>371</v>
      </c>
      <c r="C15" s="321">
        <v>1128222</v>
      </c>
      <c r="D15" s="360" t="s">
        <v>372</v>
      </c>
      <c r="E15" s="312" t="s">
        <v>334</v>
      </c>
    </row>
    <row r="16" spans="1:5">
      <c r="A16" s="350">
        <v>6</v>
      </c>
      <c r="B16" s="353" t="s">
        <v>373</v>
      </c>
      <c r="C16" s="321">
        <f>SUM(C6:C15)</f>
        <v>19883782.688000001</v>
      </c>
      <c r="D16" s="365" t="s">
        <v>374</v>
      </c>
      <c r="E16" s="312" t="s">
        <v>334</v>
      </c>
    </row>
    <row r="17" spans="1:5">
      <c r="A17" s="864"/>
      <c r="B17" s="864"/>
      <c r="C17" s="864"/>
      <c r="D17" s="864"/>
      <c r="E17" s="864"/>
    </row>
    <row r="18" spans="1:5" ht="13.5" thickBot="1">
      <c r="A18" s="388"/>
      <c r="B18" s="358" t="s">
        <v>375</v>
      </c>
      <c r="C18" s="358"/>
      <c r="D18" s="358"/>
      <c r="E18" s="358"/>
    </row>
    <row r="19" spans="1:5" ht="12.75" customHeight="1">
      <c r="A19" s="350">
        <v>7</v>
      </c>
      <c r="B19" s="264" t="s">
        <v>376</v>
      </c>
      <c r="C19" s="321">
        <v>-39235</v>
      </c>
      <c r="D19" s="360" t="s">
        <v>377</v>
      </c>
      <c r="E19" s="312" t="s">
        <v>334</v>
      </c>
    </row>
    <row r="20" spans="1:5" ht="12.75" customHeight="1">
      <c r="A20" s="350">
        <v>8</v>
      </c>
      <c r="B20" s="264" t="s">
        <v>378</v>
      </c>
      <c r="C20" s="321">
        <f>-94963-18564</f>
        <v>-113527</v>
      </c>
      <c r="D20" s="270" t="s">
        <v>379</v>
      </c>
      <c r="E20" s="312" t="s">
        <v>334</v>
      </c>
    </row>
    <row r="21" spans="1:5">
      <c r="A21" s="350">
        <v>9</v>
      </c>
      <c r="B21" s="264" t="s">
        <v>380</v>
      </c>
      <c r="C21" s="321"/>
      <c r="D21" s="312"/>
      <c r="E21" s="312" t="s">
        <v>334</v>
      </c>
    </row>
    <row r="22" spans="1:5" ht="12.75" customHeight="1">
      <c r="A22" s="350">
        <v>10</v>
      </c>
      <c r="B22" s="264" t="s">
        <v>381</v>
      </c>
      <c r="C22" s="321">
        <v>0</v>
      </c>
      <c r="D22" s="359" t="s">
        <v>382</v>
      </c>
      <c r="E22" s="312" t="s">
        <v>334</v>
      </c>
    </row>
    <row r="23" spans="1:5" ht="12.75" customHeight="1">
      <c r="A23" s="350">
        <v>11</v>
      </c>
      <c r="B23" s="264" t="s">
        <v>383</v>
      </c>
      <c r="C23" s="321">
        <v>0</v>
      </c>
      <c r="D23" s="360" t="s">
        <v>384</v>
      </c>
      <c r="E23" s="312" t="s">
        <v>334</v>
      </c>
    </row>
    <row r="24" spans="1:5" ht="12.75" customHeight="1">
      <c r="A24" s="350">
        <v>12</v>
      </c>
      <c r="B24" s="352" t="s">
        <v>385</v>
      </c>
      <c r="C24" s="321">
        <v>-334064</v>
      </c>
      <c r="D24" s="359" t="s">
        <v>386</v>
      </c>
      <c r="E24" s="312" t="s">
        <v>334</v>
      </c>
    </row>
    <row r="25" spans="1:5" ht="12.75" customHeight="1">
      <c r="A25" s="350">
        <v>13</v>
      </c>
      <c r="B25" s="264" t="s">
        <v>387</v>
      </c>
      <c r="C25" s="321">
        <v>0</v>
      </c>
      <c r="D25" s="360" t="s">
        <v>388</v>
      </c>
      <c r="E25" s="312" t="s">
        <v>334</v>
      </c>
    </row>
    <row r="26" spans="1:5" ht="12.75" customHeight="1">
      <c r="A26" s="350">
        <v>14</v>
      </c>
      <c r="B26" s="264" t="s">
        <v>389</v>
      </c>
      <c r="C26" s="321">
        <v>0</v>
      </c>
      <c r="D26" s="270" t="s">
        <v>390</v>
      </c>
      <c r="E26" s="312" t="s">
        <v>334</v>
      </c>
    </row>
    <row r="27" spans="1:5">
      <c r="A27" s="350">
        <v>15</v>
      </c>
      <c r="B27" s="264" t="s">
        <v>391</v>
      </c>
      <c r="C27" s="321">
        <v>0</v>
      </c>
      <c r="D27" s="270" t="s">
        <v>392</v>
      </c>
      <c r="E27" s="312" t="s">
        <v>334</v>
      </c>
    </row>
    <row r="28" spans="1:5" ht="12.75" customHeight="1">
      <c r="A28" s="350">
        <v>16</v>
      </c>
      <c r="B28" s="264" t="s">
        <v>393</v>
      </c>
      <c r="C28" s="321">
        <v>0</v>
      </c>
      <c r="D28" s="270" t="s">
        <v>394</v>
      </c>
      <c r="E28" s="312" t="s">
        <v>334</v>
      </c>
    </row>
    <row r="29" spans="1:5" ht="12.75" customHeight="1">
      <c r="A29" s="350">
        <v>17</v>
      </c>
      <c r="B29" s="352" t="s">
        <v>395</v>
      </c>
      <c r="C29" s="321">
        <v>0</v>
      </c>
      <c r="D29" s="359" t="s">
        <v>396</v>
      </c>
      <c r="E29" s="312" t="s">
        <v>334</v>
      </c>
    </row>
    <row r="30" spans="1:5" ht="25.5" customHeight="1">
      <c r="A30" s="350">
        <v>18</v>
      </c>
      <c r="B30" s="352" t="s">
        <v>397</v>
      </c>
      <c r="C30" s="321">
        <v>0</v>
      </c>
      <c r="D30" s="359" t="s">
        <v>398</v>
      </c>
      <c r="E30" s="312" t="s">
        <v>334</v>
      </c>
    </row>
    <row r="31" spans="1:5" ht="25.5" customHeight="1">
      <c r="A31" s="350">
        <v>19</v>
      </c>
      <c r="B31" s="264" t="s">
        <v>399</v>
      </c>
      <c r="C31" s="321">
        <v>0</v>
      </c>
      <c r="D31" s="359" t="s">
        <v>400</v>
      </c>
      <c r="E31" s="312" t="s">
        <v>334</v>
      </c>
    </row>
    <row r="32" spans="1:5">
      <c r="A32" s="350">
        <v>20</v>
      </c>
      <c r="B32" s="264" t="s">
        <v>380</v>
      </c>
      <c r="C32" s="321"/>
      <c r="D32" s="312"/>
      <c r="E32" s="312" t="s">
        <v>334</v>
      </c>
    </row>
    <row r="33" spans="1:5">
      <c r="A33" s="350" t="s">
        <v>320</v>
      </c>
      <c r="B33" s="264" t="s">
        <v>401</v>
      </c>
      <c r="C33" s="321">
        <v>-129509</v>
      </c>
      <c r="D33" s="360" t="s">
        <v>402</v>
      </c>
      <c r="E33" s="312" t="s">
        <v>334</v>
      </c>
    </row>
    <row r="34" spans="1:5" ht="12.75" customHeight="1">
      <c r="A34" s="351" t="s">
        <v>324</v>
      </c>
      <c r="B34" s="264" t="s">
        <v>403</v>
      </c>
      <c r="C34" s="321"/>
      <c r="D34" s="270" t="s">
        <v>404</v>
      </c>
      <c r="E34" s="312" t="s">
        <v>334</v>
      </c>
    </row>
    <row r="35" spans="1:5" ht="13.5" customHeight="1">
      <c r="A35" s="351" t="s">
        <v>405</v>
      </c>
      <c r="B35" s="352" t="s">
        <v>406</v>
      </c>
      <c r="C35" s="321">
        <v>0</v>
      </c>
      <c r="D35" s="270" t="s">
        <v>407</v>
      </c>
      <c r="E35" s="312" t="s">
        <v>334</v>
      </c>
    </row>
    <row r="36" spans="1:5" ht="12.75" customHeight="1">
      <c r="A36" s="351" t="s">
        <v>408</v>
      </c>
      <c r="B36" s="264" t="s">
        <v>409</v>
      </c>
      <c r="C36" s="321">
        <v>0</v>
      </c>
      <c r="D36" s="359" t="s">
        <v>410</v>
      </c>
      <c r="E36" s="312" t="s">
        <v>334</v>
      </c>
    </row>
    <row r="37" spans="1:5" ht="12.75" customHeight="1">
      <c r="A37" s="350">
        <v>21</v>
      </c>
      <c r="B37" s="264" t="s">
        <v>411</v>
      </c>
      <c r="C37" s="321">
        <v>0</v>
      </c>
      <c r="D37" s="359" t="s">
        <v>412</v>
      </c>
      <c r="E37" s="312" t="s">
        <v>334</v>
      </c>
    </row>
    <row r="38" spans="1:5" ht="12.75" customHeight="1">
      <c r="A38" s="350">
        <v>22</v>
      </c>
      <c r="B38" s="264" t="s">
        <v>413</v>
      </c>
      <c r="C38" s="321">
        <v>0</v>
      </c>
      <c r="D38" s="360" t="s">
        <v>414</v>
      </c>
      <c r="E38" s="312" t="s">
        <v>334</v>
      </c>
    </row>
    <row r="39" spans="1:5" ht="12.75" customHeight="1">
      <c r="A39" s="350">
        <v>23</v>
      </c>
      <c r="B39" s="264" t="s">
        <v>415</v>
      </c>
      <c r="C39" s="321">
        <v>0</v>
      </c>
      <c r="D39" s="359" t="s">
        <v>416</v>
      </c>
      <c r="E39" s="312" t="s">
        <v>334</v>
      </c>
    </row>
    <row r="40" spans="1:5">
      <c r="A40" s="350">
        <v>24</v>
      </c>
      <c r="B40" s="264" t="s">
        <v>380</v>
      </c>
      <c r="C40" s="321"/>
      <c r="D40" s="312"/>
      <c r="E40" s="312" t="s">
        <v>334</v>
      </c>
    </row>
    <row r="41" spans="1:5" ht="12" customHeight="1">
      <c r="A41" s="350">
        <v>25</v>
      </c>
      <c r="B41" s="264" t="s">
        <v>417</v>
      </c>
      <c r="C41" s="321">
        <v>0</v>
      </c>
      <c r="D41" s="270" t="s">
        <v>412</v>
      </c>
      <c r="E41" s="312" t="s">
        <v>334</v>
      </c>
    </row>
    <row r="42" spans="1:5" ht="12.75" customHeight="1">
      <c r="A42" s="351" t="s">
        <v>418</v>
      </c>
      <c r="B42" s="264" t="s">
        <v>419</v>
      </c>
      <c r="C42" s="321">
        <v>0</v>
      </c>
      <c r="D42" s="360" t="s">
        <v>420</v>
      </c>
      <c r="E42" s="312" t="s">
        <v>334</v>
      </c>
    </row>
    <row r="43" spans="1:5" ht="12.75" customHeight="1">
      <c r="A43" s="351" t="s">
        <v>421</v>
      </c>
      <c r="B43" s="264" t="s">
        <v>422</v>
      </c>
      <c r="C43" s="321">
        <v>0</v>
      </c>
      <c r="D43" s="360" t="s">
        <v>423</v>
      </c>
      <c r="E43" s="312" t="s">
        <v>334</v>
      </c>
    </row>
    <row r="44" spans="1:5" ht="12.75" customHeight="1">
      <c r="A44" s="350">
        <v>26</v>
      </c>
      <c r="B44" s="264" t="s">
        <v>424</v>
      </c>
      <c r="C44" s="321">
        <v>0</v>
      </c>
      <c r="D44" s="270" t="s">
        <v>425</v>
      </c>
      <c r="E44" s="312" t="s">
        <v>334</v>
      </c>
    </row>
    <row r="45" spans="1:5" ht="12.75" customHeight="1">
      <c r="A45" s="351" t="s">
        <v>426</v>
      </c>
      <c r="B45" s="264" t="s">
        <v>427</v>
      </c>
      <c r="C45" s="321">
        <v>0</v>
      </c>
      <c r="D45" s="312"/>
      <c r="E45" s="312" t="s">
        <v>334</v>
      </c>
    </row>
    <row r="46" spans="1:5">
      <c r="A46" s="90"/>
      <c r="B46" s="264" t="s">
        <v>428</v>
      </c>
      <c r="C46" s="321"/>
      <c r="D46" s="312"/>
      <c r="E46" s="312" t="s">
        <v>334</v>
      </c>
    </row>
    <row r="47" spans="1:5">
      <c r="A47" s="90"/>
      <c r="B47" s="264" t="s">
        <v>429</v>
      </c>
      <c r="C47" s="321"/>
      <c r="D47" s="312"/>
      <c r="E47" s="312" t="s">
        <v>334</v>
      </c>
    </row>
    <row r="48" spans="1:5">
      <c r="A48" s="90"/>
      <c r="B48" s="264" t="s">
        <v>430</v>
      </c>
      <c r="C48" s="321"/>
      <c r="D48" s="312">
        <v>468</v>
      </c>
      <c r="E48" s="312" t="s">
        <v>334</v>
      </c>
    </row>
    <row r="49" spans="1:5">
      <c r="A49" s="90"/>
      <c r="B49" s="264" t="s">
        <v>431</v>
      </c>
      <c r="C49" s="321"/>
      <c r="D49" s="360">
        <v>468</v>
      </c>
      <c r="E49" s="312" t="s">
        <v>334</v>
      </c>
    </row>
    <row r="50" spans="1:5" ht="12.75" customHeight="1">
      <c r="A50" s="351" t="s">
        <v>432</v>
      </c>
      <c r="B50" s="264" t="s">
        <v>433</v>
      </c>
      <c r="C50" s="321"/>
      <c r="D50" s="312"/>
      <c r="E50" s="312" t="s">
        <v>334</v>
      </c>
    </row>
    <row r="51" spans="1:5">
      <c r="A51" s="90"/>
      <c r="B51" s="264" t="s">
        <v>434</v>
      </c>
      <c r="C51" s="321"/>
      <c r="D51" s="312"/>
      <c r="E51" s="312" t="s">
        <v>334</v>
      </c>
    </row>
    <row r="52" spans="1:5" ht="12.75" customHeight="1">
      <c r="A52" s="350">
        <v>27</v>
      </c>
      <c r="B52" s="264" t="s">
        <v>435</v>
      </c>
      <c r="C52" s="321">
        <v>0</v>
      </c>
      <c r="D52" s="359" t="s">
        <v>436</v>
      </c>
      <c r="E52" s="312" t="s">
        <v>334</v>
      </c>
    </row>
    <row r="53" spans="1:5">
      <c r="A53" s="350">
        <v>28</v>
      </c>
      <c r="B53" s="363" t="s">
        <v>437</v>
      </c>
      <c r="C53" s="280">
        <f>SUM(C19:C45)</f>
        <v>-616335</v>
      </c>
      <c r="D53" s="366" t="s">
        <v>438</v>
      </c>
      <c r="E53" s="312" t="s">
        <v>334</v>
      </c>
    </row>
    <row r="54" spans="1:5" ht="12.75" customHeight="1">
      <c r="A54" s="350">
        <v>29</v>
      </c>
      <c r="B54" s="363" t="s">
        <v>439</v>
      </c>
      <c r="C54" s="280">
        <f>C16+C53</f>
        <v>19267447.688000001</v>
      </c>
      <c r="D54" s="367" t="s">
        <v>440</v>
      </c>
      <c r="E54" s="312" t="s">
        <v>334</v>
      </c>
    </row>
    <row r="55" spans="1:5" ht="12.75" customHeight="1">
      <c r="A55" s="350"/>
      <c r="B55" s="363"/>
      <c r="C55" s="280"/>
      <c r="D55" s="364"/>
      <c r="E55" s="90"/>
    </row>
    <row r="56" spans="1:5" ht="13.5" thickBot="1">
      <c r="A56" s="388"/>
      <c r="B56" s="358" t="s">
        <v>441</v>
      </c>
      <c r="C56" s="358"/>
      <c r="D56" s="358"/>
      <c r="E56" s="358"/>
    </row>
    <row r="57" spans="1:5">
      <c r="A57" s="350">
        <v>30</v>
      </c>
      <c r="B57" s="92" t="s">
        <v>355</v>
      </c>
      <c r="C57" s="280">
        <v>676957</v>
      </c>
      <c r="D57" s="312" t="s">
        <v>442</v>
      </c>
      <c r="E57" s="312" t="s">
        <v>334</v>
      </c>
    </row>
    <row r="58" spans="1:5" ht="12.75" customHeight="1">
      <c r="A58" s="350">
        <v>31</v>
      </c>
      <c r="B58" s="264" t="s">
        <v>443</v>
      </c>
      <c r="C58" s="280">
        <v>0</v>
      </c>
      <c r="D58" s="312"/>
      <c r="E58" s="312" t="s">
        <v>334</v>
      </c>
    </row>
    <row r="59" spans="1:5" ht="12.75" customHeight="1">
      <c r="A59" s="350">
        <v>32</v>
      </c>
      <c r="B59" s="264" t="s">
        <v>444</v>
      </c>
      <c r="C59" s="280">
        <v>676957</v>
      </c>
      <c r="D59" s="312"/>
      <c r="E59" s="312" t="s">
        <v>334</v>
      </c>
    </row>
    <row r="60" spans="1:5">
      <c r="A60" s="350">
        <v>33</v>
      </c>
      <c r="B60" s="264" t="s">
        <v>445</v>
      </c>
      <c r="C60" s="280">
        <v>798252</v>
      </c>
      <c r="D60" s="312" t="s">
        <v>446</v>
      </c>
      <c r="E60" s="312" t="s">
        <v>334</v>
      </c>
    </row>
    <row r="61" spans="1:5" ht="12.75" customHeight="1">
      <c r="A61" s="350">
        <v>34</v>
      </c>
      <c r="B61" s="264" t="s">
        <v>447</v>
      </c>
      <c r="C61" s="280"/>
      <c r="D61" s="312" t="s">
        <v>448</v>
      </c>
      <c r="E61" s="312" t="s">
        <v>334</v>
      </c>
    </row>
    <row r="62" spans="1:5">
      <c r="A62" s="350">
        <v>35</v>
      </c>
      <c r="B62" s="92" t="s">
        <v>449</v>
      </c>
      <c r="C62" s="280"/>
      <c r="D62" s="312"/>
      <c r="E62" s="312" t="s">
        <v>334</v>
      </c>
    </row>
    <row r="63" spans="1:5">
      <c r="A63" s="350">
        <v>36</v>
      </c>
      <c r="B63" s="363" t="s">
        <v>450</v>
      </c>
      <c r="C63" s="280">
        <f>C57+C60</f>
        <v>1475209</v>
      </c>
      <c r="D63" s="366" t="s">
        <v>451</v>
      </c>
      <c r="E63" s="312" t="s">
        <v>334</v>
      </c>
    </row>
    <row r="64" spans="1:5">
      <c r="A64" s="350"/>
      <c r="B64" s="354"/>
      <c r="C64" s="321"/>
      <c r="D64" s="361"/>
      <c r="E64" s="90"/>
    </row>
    <row r="65" spans="1:5" ht="12.75" customHeight="1" thickBot="1">
      <c r="A65" s="388"/>
      <c r="B65" s="358" t="s">
        <v>452</v>
      </c>
      <c r="C65" s="358"/>
      <c r="D65" s="358"/>
      <c r="E65" s="358"/>
    </row>
    <row r="66" spans="1:5" ht="12.75" customHeight="1">
      <c r="A66" s="350">
        <v>37</v>
      </c>
      <c r="B66" s="264" t="s">
        <v>453</v>
      </c>
      <c r="C66" s="321">
        <v>0</v>
      </c>
      <c r="D66" s="270" t="s">
        <v>454</v>
      </c>
      <c r="E66" s="312" t="s">
        <v>334</v>
      </c>
    </row>
    <row r="67" spans="1:5" ht="12.75" customHeight="1">
      <c r="A67" s="350">
        <v>38</v>
      </c>
      <c r="B67" s="264" t="s">
        <v>455</v>
      </c>
      <c r="C67" s="321">
        <v>0</v>
      </c>
      <c r="D67" s="360" t="s">
        <v>456</v>
      </c>
      <c r="E67" s="312" t="s">
        <v>334</v>
      </c>
    </row>
    <row r="68" spans="1:5" ht="24.75" customHeight="1">
      <c r="A68" s="350">
        <v>39</v>
      </c>
      <c r="B68" s="352" t="s">
        <v>457</v>
      </c>
      <c r="C68" s="321">
        <v>0</v>
      </c>
      <c r="D68" s="359" t="s">
        <v>458</v>
      </c>
      <c r="E68" s="312" t="s">
        <v>334</v>
      </c>
    </row>
    <row r="69" spans="1:5" ht="25.5" customHeight="1">
      <c r="A69" s="350">
        <v>40</v>
      </c>
      <c r="B69" s="352" t="s">
        <v>459</v>
      </c>
      <c r="C69" s="321">
        <v>0</v>
      </c>
      <c r="D69" s="359" t="s">
        <v>460</v>
      </c>
      <c r="E69" s="312" t="s">
        <v>334</v>
      </c>
    </row>
    <row r="70" spans="1:5" ht="12.75" customHeight="1">
      <c r="A70" s="350">
        <v>41</v>
      </c>
      <c r="B70" s="264" t="s">
        <v>461</v>
      </c>
      <c r="C70" s="321">
        <v>0</v>
      </c>
      <c r="D70" s="270" t="s">
        <v>462</v>
      </c>
      <c r="E70" s="312" t="s">
        <v>334</v>
      </c>
    </row>
    <row r="71" spans="1:5" ht="12.75" customHeight="1">
      <c r="A71" s="351" t="s">
        <v>463</v>
      </c>
      <c r="B71" s="264" t="s">
        <v>464</v>
      </c>
      <c r="C71" s="321">
        <v>0</v>
      </c>
      <c r="D71" s="359" t="s">
        <v>465</v>
      </c>
      <c r="E71" s="312" t="s">
        <v>334</v>
      </c>
    </row>
    <row r="72" spans="1:5">
      <c r="A72" s="90"/>
      <c r="B72" s="90" t="s">
        <v>466</v>
      </c>
      <c r="C72" s="321"/>
      <c r="D72" s="312"/>
      <c r="E72" s="90"/>
    </row>
    <row r="73" spans="1:5" ht="12.75" customHeight="1">
      <c r="A73" s="351" t="s">
        <v>467</v>
      </c>
      <c r="B73" s="264" t="s">
        <v>468</v>
      </c>
      <c r="C73" s="321"/>
      <c r="D73" s="312"/>
      <c r="E73" s="90"/>
    </row>
    <row r="74" spans="1:5">
      <c r="A74" s="90"/>
      <c r="B74" s="264" t="s">
        <v>466</v>
      </c>
      <c r="C74" s="321"/>
      <c r="D74" s="312"/>
      <c r="E74" s="90"/>
    </row>
    <row r="75" spans="1:5" ht="12.75" customHeight="1">
      <c r="A75" s="351" t="s">
        <v>469</v>
      </c>
      <c r="B75" s="264" t="s">
        <v>470</v>
      </c>
      <c r="C75" s="321"/>
      <c r="D75" s="312"/>
      <c r="E75" s="90"/>
    </row>
    <row r="76" spans="1:5" ht="12.75" customHeight="1">
      <c r="A76" s="90"/>
      <c r="B76" s="264" t="s">
        <v>471</v>
      </c>
      <c r="C76" s="321"/>
      <c r="D76" s="312"/>
      <c r="E76" s="90"/>
    </row>
    <row r="77" spans="1:5">
      <c r="A77" s="90"/>
      <c r="B77" s="264" t="s">
        <v>472</v>
      </c>
      <c r="C77" s="321"/>
      <c r="D77" s="312"/>
      <c r="E77" s="90"/>
    </row>
    <row r="78" spans="1:5">
      <c r="A78" s="90"/>
      <c r="B78" s="264" t="s">
        <v>434</v>
      </c>
      <c r="C78" s="321"/>
      <c r="D78" s="312"/>
      <c r="E78" s="90"/>
    </row>
    <row r="79" spans="1:5">
      <c r="A79" s="350">
        <v>42</v>
      </c>
      <c r="B79" s="264" t="s">
        <v>473</v>
      </c>
      <c r="C79" s="321">
        <v>0</v>
      </c>
      <c r="D79" s="312" t="s">
        <v>474</v>
      </c>
      <c r="E79" s="312" t="s">
        <v>334</v>
      </c>
    </row>
    <row r="80" spans="1:5">
      <c r="A80" s="350">
        <v>43</v>
      </c>
      <c r="B80" s="353" t="s">
        <v>475</v>
      </c>
      <c r="C80" s="321">
        <v>0</v>
      </c>
      <c r="D80" s="366" t="s">
        <v>476</v>
      </c>
      <c r="E80" s="312" t="s">
        <v>334</v>
      </c>
    </row>
    <row r="81" spans="1:5" ht="12.75" customHeight="1">
      <c r="A81" s="350">
        <v>44</v>
      </c>
      <c r="B81" s="353" t="s">
        <v>477</v>
      </c>
      <c r="C81" s="321">
        <f>C63+C80</f>
        <v>1475209</v>
      </c>
      <c r="D81" s="366" t="s">
        <v>478</v>
      </c>
      <c r="E81" s="312" t="s">
        <v>334</v>
      </c>
    </row>
    <row r="82" spans="1:5" ht="12" customHeight="1">
      <c r="A82" s="350">
        <v>45</v>
      </c>
      <c r="B82" s="353" t="s">
        <v>125</v>
      </c>
      <c r="C82" s="321">
        <f>C54+C81</f>
        <v>20742656.688000001</v>
      </c>
      <c r="D82" s="366" t="s">
        <v>479</v>
      </c>
      <c r="E82" s="312" t="s">
        <v>334</v>
      </c>
    </row>
    <row r="83" spans="1:5">
      <c r="A83" s="350"/>
      <c r="B83" s="353"/>
      <c r="C83" s="321"/>
      <c r="D83" s="361"/>
      <c r="E83" s="90"/>
    </row>
    <row r="84" spans="1:5" ht="12.75" customHeight="1" thickBot="1">
      <c r="A84" s="388"/>
      <c r="B84" s="358" t="s">
        <v>480</v>
      </c>
      <c r="C84" s="358"/>
      <c r="D84" s="358"/>
      <c r="E84" s="358"/>
    </row>
    <row r="85" spans="1:5">
      <c r="A85" s="350">
        <v>46</v>
      </c>
      <c r="B85" s="264" t="s">
        <v>355</v>
      </c>
      <c r="C85" s="321">
        <v>2337469</v>
      </c>
      <c r="D85" s="312" t="s">
        <v>481</v>
      </c>
      <c r="E85" s="312" t="s">
        <v>334</v>
      </c>
    </row>
    <row r="86" spans="1:5">
      <c r="A86" s="350">
        <v>47</v>
      </c>
      <c r="B86" s="264" t="s">
        <v>482</v>
      </c>
      <c r="C86" s="321">
        <v>0</v>
      </c>
      <c r="D86" s="312" t="s">
        <v>483</v>
      </c>
      <c r="E86" s="312" t="s">
        <v>334</v>
      </c>
    </row>
    <row r="87" spans="1:5" ht="12.75" customHeight="1">
      <c r="A87" s="90"/>
      <c r="B87" s="264" t="s">
        <v>484</v>
      </c>
      <c r="C87" s="321"/>
      <c r="D87" s="312"/>
      <c r="E87" s="312" t="s">
        <v>334</v>
      </c>
    </row>
    <row r="88" spans="1:5" ht="12.75" customHeight="1">
      <c r="A88" s="350">
        <v>48</v>
      </c>
      <c r="B88" s="264" t="s">
        <v>485</v>
      </c>
      <c r="C88" s="321">
        <v>0</v>
      </c>
      <c r="D88" s="360" t="s">
        <v>486</v>
      </c>
      <c r="E88" s="312" t="s">
        <v>334</v>
      </c>
    </row>
    <row r="89" spans="1:5">
      <c r="A89" s="350">
        <v>49</v>
      </c>
      <c r="B89" s="352" t="s">
        <v>449</v>
      </c>
      <c r="C89" s="321"/>
      <c r="D89" s="312"/>
      <c r="E89" s="312" t="s">
        <v>334</v>
      </c>
    </row>
    <row r="90" spans="1:5">
      <c r="A90" s="350">
        <v>50</v>
      </c>
      <c r="B90" s="264" t="s">
        <v>487</v>
      </c>
      <c r="C90" s="321">
        <v>0</v>
      </c>
      <c r="D90" s="312" t="s">
        <v>488</v>
      </c>
      <c r="E90" s="312" t="s">
        <v>334</v>
      </c>
    </row>
    <row r="91" spans="1:5">
      <c r="A91" s="350">
        <v>51</v>
      </c>
      <c r="B91" s="353" t="s">
        <v>489</v>
      </c>
      <c r="C91" s="321">
        <f>SUM(C85:C90)</f>
        <v>2337469</v>
      </c>
      <c r="D91" s="366" t="s">
        <v>490</v>
      </c>
      <c r="E91" s="312" t="s">
        <v>334</v>
      </c>
    </row>
    <row r="92" spans="1:5">
      <c r="A92" s="350"/>
      <c r="B92" s="353"/>
      <c r="C92" s="321"/>
      <c r="D92" s="361"/>
      <c r="E92" s="90"/>
    </row>
    <row r="93" spans="1:5" ht="13.5" thickBot="1">
      <c r="A93" s="388"/>
      <c r="B93" s="358" t="s">
        <v>491</v>
      </c>
      <c r="C93" s="358"/>
      <c r="D93" s="358"/>
      <c r="E93" s="358"/>
    </row>
    <row r="94" spans="1:5" ht="12.75" customHeight="1">
      <c r="A94" s="350">
        <v>52</v>
      </c>
      <c r="B94" s="264" t="s">
        <v>492</v>
      </c>
      <c r="C94" s="321">
        <v>0</v>
      </c>
      <c r="D94" s="359" t="s">
        <v>493</v>
      </c>
      <c r="E94" s="312" t="s">
        <v>334</v>
      </c>
    </row>
    <row r="95" spans="1:5" ht="12.75" customHeight="1">
      <c r="A95" s="350">
        <v>53</v>
      </c>
      <c r="B95" s="264" t="s">
        <v>494</v>
      </c>
      <c r="C95" s="321">
        <v>0</v>
      </c>
      <c r="D95" s="360" t="s">
        <v>495</v>
      </c>
      <c r="E95" s="312" t="s">
        <v>334</v>
      </c>
    </row>
    <row r="96" spans="1:5" ht="25.5" customHeight="1">
      <c r="A96" s="350">
        <v>54</v>
      </c>
      <c r="B96" s="352" t="s">
        <v>496</v>
      </c>
      <c r="C96" s="321">
        <v>0</v>
      </c>
      <c r="D96" s="270" t="s">
        <v>497</v>
      </c>
      <c r="E96" s="312" t="s">
        <v>334</v>
      </c>
    </row>
    <row r="97" spans="1:5" ht="12.75" customHeight="1">
      <c r="A97" s="351" t="s">
        <v>498</v>
      </c>
      <c r="B97" s="264" t="s">
        <v>499</v>
      </c>
      <c r="C97" s="321">
        <v>0</v>
      </c>
      <c r="D97" s="360"/>
      <c r="E97" s="90"/>
    </row>
    <row r="98" spans="1:5" ht="12.75" customHeight="1">
      <c r="A98" s="351" t="s">
        <v>500</v>
      </c>
      <c r="B98" s="264" t="s">
        <v>501</v>
      </c>
      <c r="C98" s="321">
        <v>0</v>
      </c>
      <c r="D98" s="360"/>
      <c r="E98" s="90"/>
    </row>
    <row r="99" spans="1:5" ht="25.5" customHeight="1">
      <c r="A99" s="350">
        <v>55</v>
      </c>
      <c r="B99" s="264" t="s">
        <v>502</v>
      </c>
      <c r="C99" s="321">
        <v>-42600</v>
      </c>
      <c r="D99" s="270" t="s">
        <v>503</v>
      </c>
      <c r="E99" s="312" t="s">
        <v>334</v>
      </c>
    </row>
    <row r="100" spans="1:5" ht="12.75" customHeight="1">
      <c r="A100" s="350">
        <v>56</v>
      </c>
      <c r="B100" s="264" t="s">
        <v>504</v>
      </c>
      <c r="C100" s="321">
        <v>0</v>
      </c>
      <c r="D100" s="359" t="s">
        <v>505</v>
      </c>
      <c r="E100" s="312" t="s">
        <v>334</v>
      </c>
    </row>
    <row r="101" spans="1:5" ht="12.75" customHeight="1">
      <c r="A101" s="350" t="s">
        <v>506</v>
      </c>
      <c r="B101" s="264" t="s">
        <v>507</v>
      </c>
      <c r="C101" s="321">
        <v>0</v>
      </c>
      <c r="D101" s="359" t="s">
        <v>465</v>
      </c>
      <c r="E101" s="312" t="s">
        <v>334</v>
      </c>
    </row>
    <row r="102" spans="1:5">
      <c r="A102" s="351"/>
      <c r="B102" s="264" t="s">
        <v>466</v>
      </c>
      <c r="C102" s="321"/>
      <c r="D102" s="360"/>
      <c r="E102" s="90"/>
    </row>
    <row r="103" spans="1:5" ht="12.75" customHeight="1">
      <c r="A103" s="350" t="s">
        <v>508</v>
      </c>
      <c r="B103" s="264" t="s">
        <v>509</v>
      </c>
      <c r="C103" s="321">
        <v>0</v>
      </c>
      <c r="D103" s="360"/>
      <c r="E103" s="90"/>
    </row>
    <row r="104" spans="1:5">
      <c r="A104" s="351"/>
      <c r="B104" s="264" t="s">
        <v>466</v>
      </c>
      <c r="C104" s="321"/>
      <c r="D104" s="360"/>
      <c r="E104" s="90"/>
    </row>
    <row r="105" spans="1:5" ht="12.75" customHeight="1">
      <c r="A105" s="350" t="s">
        <v>510</v>
      </c>
      <c r="B105" s="264" t="s">
        <v>511</v>
      </c>
      <c r="C105" s="321">
        <v>0</v>
      </c>
      <c r="D105" s="360">
        <v>468</v>
      </c>
      <c r="E105" s="312" t="s">
        <v>334</v>
      </c>
    </row>
    <row r="106" spans="1:5">
      <c r="A106" s="350"/>
      <c r="B106" s="264" t="s">
        <v>471</v>
      </c>
      <c r="C106" s="321"/>
      <c r="D106" s="360"/>
      <c r="E106" s="90"/>
    </row>
    <row r="107" spans="1:5">
      <c r="A107" s="350"/>
      <c r="B107" s="264" t="s">
        <v>512</v>
      </c>
      <c r="C107" s="321"/>
      <c r="D107" s="360">
        <v>468</v>
      </c>
      <c r="E107" s="312" t="s">
        <v>334</v>
      </c>
    </row>
    <row r="108" spans="1:5">
      <c r="A108" s="350"/>
      <c r="B108" s="264" t="s">
        <v>434</v>
      </c>
      <c r="C108" s="321"/>
      <c r="D108" s="360"/>
      <c r="E108" s="90"/>
    </row>
    <row r="109" spans="1:5" ht="12.75" customHeight="1">
      <c r="A109" s="350">
        <v>57</v>
      </c>
      <c r="B109" s="353" t="s">
        <v>513</v>
      </c>
      <c r="C109" s="321">
        <f>C99</f>
        <v>-42600</v>
      </c>
      <c r="D109" s="365" t="s">
        <v>514</v>
      </c>
      <c r="E109" s="312" t="s">
        <v>334</v>
      </c>
    </row>
    <row r="110" spans="1:5" ht="12.75" customHeight="1">
      <c r="A110" s="350">
        <v>58</v>
      </c>
      <c r="B110" s="353" t="s">
        <v>515</v>
      </c>
      <c r="C110" s="321">
        <f>C91+C109</f>
        <v>2294869</v>
      </c>
      <c r="D110" s="365" t="s">
        <v>516</v>
      </c>
      <c r="E110" s="312" t="s">
        <v>334</v>
      </c>
    </row>
    <row r="111" spans="1:5">
      <c r="A111" s="350">
        <v>59</v>
      </c>
      <c r="B111" s="353" t="s">
        <v>196</v>
      </c>
      <c r="C111" s="321">
        <f>C82+C110</f>
        <v>23037525.688000001</v>
      </c>
      <c r="D111" s="365" t="s">
        <v>517</v>
      </c>
      <c r="E111" s="312" t="s">
        <v>334</v>
      </c>
    </row>
    <row r="112" spans="1:5" ht="12" customHeight="1">
      <c r="A112" s="350" t="s">
        <v>518</v>
      </c>
      <c r="B112" s="264" t="s">
        <v>519</v>
      </c>
      <c r="C112" s="321">
        <v>0</v>
      </c>
      <c r="D112" s="360" t="s">
        <v>520</v>
      </c>
      <c r="E112" s="312" t="s">
        <v>334</v>
      </c>
    </row>
    <row r="113" spans="1:5">
      <c r="A113" s="351"/>
      <c r="B113" s="264" t="s">
        <v>521</v>
      </c>
      <c r="C113" s="321">
        <v>0</v>
      </c>
      <c r="D113" s="360" t="s">
        <v>522</v>
      </c>
      <c r="E113" s="312" t="s">
        <v>334</v>
      </c>
    </row>
    <row r="114" spans="1:5" ht="12.75" customHeight="1">
      <c r="A114" s="351"/>
      <c r="B114" s="264" t="s">
        <v>523</v>
      </c>
      <c r="C114" s="321"/>
      <c r="D114" s="360"/>
      <c r="E114" s="90"/>
    </row>
    <row r="115" spans="1:5">
      <c r="A115" s="351"/>
      <c r="B115" s="264" t="s">
        <v>524</v>
      </c>
      <c r="C115" s="321"/>
      <c r="D115" s="350"/>
      <c r="E115" s="90"/>
    </row>
    <row r="116" spans="1:5">
      <c r="A116" s="350">
        <v>60</v>
      </c>
      <c r="B116" s="355" t="s">
        <v>525</v>
      </c>
      <c r="C116" s="321">
        <v>130868783</v>
      </c>
      <c r="D116" s="350"/>
      <c r="E116" s="90"/>
    </row>
    <row r="117" spans="1:5">
      <c r="A117" s="350"/>
      <c r="B117" s="355"/>
      <c r="C117" s="321"/>
      <c r="D117" s="350"/>
      <c r="E117" s="90"/>
    </row>
    <row r="118" spans="1:5" ht="12.75" customHeight="1" thickBot="1">
      <c r="A118" s="388"/>
      <c r="B118" s="358" t="s">
        <v>526</v>
      </c>
      <c r="C118" s="358"/>
      <c r="D118" s="358"/>
      <c r="E118" s="358"/>
    </row>
    <row r="119" spans="1:5">
      <c r="A119" s="350">
        <v>61</v>
      </c>
      <c r="B119" s="355" t="s">
        <v>166</v>
      </c>
      <c r="C119" s="356">
        <v>0.1472</v>
      </c>
      <c r="D119" s="360" t="s">
        <v>527</v>
      </c>
      <c r="E119" s="312" t="s">
        <v>334</v>
      </c>
    </row>
    <row r="120" spans="1:5">
      <c r="A120" s="350">
        <v>62</v>
      </c>
      <c r="B120" s="355" t="s">
        <v>528</v>
      </c>
      <c r="C120" s="356">
        <v>0.1585</v>
      </c>
      <c r="D120" s="360" t="s">
        <v>529</v>
      </c>
      <c r="E120" s="312" t="s">
        <v>334</v>
      </c>
    </row>
    <row r="121" spans="1:5">
      <c r="A121" s="350">
        <v>63</v>
      </c>
      <c r="B121" s="355" t="s">
        <v>96</v>
      </c>
      <c r="C121" s="356">
        <v>0.17599999999999999</v>
      </c>
      <c r="D121" s="360" t="s">
        <v>530</v>
      </c>
      <c r="E121" s="312" t="s">
        <v>334</v>
      </c>
    </row>
    <row r="122" spans="1:5">
      <c r="A122" s="350">
        <v>64</v>
      </c>
      <c r="B122" s="353" t="s">
        <v>531</v>
      </c>
      <c r="C122" s="356">
        <v>0.12</v>
      </c>
      <c r="D122" s="359" t="s">
        <v>532</v>
      </c>
      <c r="E122" s="312" t="s">
        <v>334</v>
      </c>
    </row>
    <row r="123" spans="1:5">
      <c r="A123" s="350">
        <v>65</v>
      </c>
      <c r="B123" s="355" t="s">
        <v>533</v>
      </c>
      <c r="C123" s="356">
        <v>2.5000000000000001E-2</v>
      </c>
      <c r="D123" s="360"/>
      <c r="E123" s="90"/>
    </row>
    <row r="124" spans="1:5">
      <c r="A124" s="350">
        <v>66</v>
      </c>
      <c r="B124" s="355" t="s">
        <v>534</v>
      </c>
      <c r="C124" s="356">
        <v>0.02</v>
      </c>
      <c r="D124" s="360"/>
      <c r="E124" s="90"/>
    </row>
    <row r="125" spans="1:5">
      <c r="A125" s="350">
        <v>67</v>
      </c>
      <c r="B125" s="355" t="s">
        <v>535</v>
      </c>
      <c r="C125" s="356">
        <v>0.03</v>
      </c>
      <c r="D125" s="360"/>
      <c r="E125" s="90"/>
    </row>
    <row r="126" spans="1:5">
      <c r="A126" s="350" t="s">
        <v>536</v>
      </c>
      <c r="B126" s="355" t="s">
        <v>537</v>
      </c>
      <c r="C126" s="356">
        <v>0</v>
      </c>
      <c r="D126" s="360" t="s">
        <v>538</v>
      </c>
      <c r="E126" s="312" t="s">
        <v>334</v>
      </c>
    </row>
    <row r="127" spans="1:5">
      <c r="A127" s="350">
        <v>68</v>
      </c>
      <c r="B127" s="355" t="s">
        <v>539</v>
      </c>
      <c r="C127" s="356">
        <v>2.7199999999999998E-2</v>
      </c>
      <c r="D127" s="360" t="s">
        <v>540</v>
      </c>
      <c r="E127" s="312" t="s">
        <v>334</v>
      </c>
    </row>
    <row r="128" spans="1:5">
      <c r="A128" s="350">
        <v>69</v>
      </c>
      <c r="B128" s="355" t="s">
        <v>541</v>
      </c>
      <c r="C128" s="90"/>
      <c r="D128" s="360"/>
      <c r="E128" s="90"/>
    </row>
    <row r="129" spans="1:5">
      <c r="A129" s="350">
        <v>70</v>
      </c>
      <c r="B129" s="355" t="s">
        <v>541</v>
      </c>
      <c r="C129" s="90"/>
      <c r="D129" s="360"/>
      <c r="E129" s="90"/>
    </row>
    <row r="130" spans="1:5">
      <c r="A130" s="350">
        <v>71</v>
      </c>
      <c r="B130" s="355" t="s">
        <v>541</v>
      </c>
      <c r="C130" s="90"/>
      <c r="D130" s="360"/>
      <c r="E130" s="90"/>
    </row>
    <row r="131" spans="1:5">
      <c r="A131" s="350"/>
      <c r="B131" s="355"/>
      <c r="C131" s="90"/>
      <c r="D131" s="360"/>
      <c r="E131" s="90"/>
    </row>
    <row r="132" spans="1:5" ht="13.5" thickBot="1">
      <c r="A132" s="388"/>
      <c r="B132" s="358" t="s">
        <v>526</v>
      </c>
      <c r="C132" s="358"/>
      <c r="D132" s="358"/>
      <c r="E132" s="358"/>
    </row>
    <row r="133" spans="1:5" ht="25.5" customHeight="1">
      <c r="A133" s="350">
        <v>72</v>
      </c>
      <c r="B133" s="264" t="s">
        <v>542</v>
      </c>
      <c r="C133" s="385">
        <v>162255</v>
      </c>
      <c r="D133" s="359" t="s">
        <v>543</v>
      </c>
      <c r="E133" s="360" t="s">
        <v>334</v>
      </c>
    </row>
    <row r="134" spans="1:5" ht="25.5" customHeight="1">
      <c r="A134" s="350">
        <v>73</v>
      </c>
      <c r="B134" s="264" t="s">
        <v>544</v>
      </c>
      <c r="C134" s="385">
        <v>1814463</v>
      </c>
      <c r="D134" s="359" t="s">
        <v>545</v>
      </c>
      <c r="E134" s="360" t="s">
        <v>334</v>
      </c>
    </row>
    <row r="135" spans="1:5">
      <c r="A135" s="350">
        <v>74</v>
      </c>
      <c r="B135" s="92" t="s">
        <v>380</v>
      </c>
      <c r="C135" s="92"/>
      <c r="D135" s="312"/>
      <c r="E135" s="90"/>
    </row>
    <row r="136" spans="1:5" ht="12.75" customHeight="1">
      <c r="A136" s="350">
        <v>75</v>
      </c>
      <c r="B136" s="264" t="s">
        <v>546</v>
      </c>
      <c r="C136" s="92"/>
      <c r="D136" s="270" t="s">
        <v>547</v>
      </c>
      <c r="E136" s="360" t="s">
        <v>334</v>
      </c>
    </row>
    <row r="137" spans="1:5">
      <c r="A137" s="350"/>
      <c r="B137" s="264"/>
      <c r="C137" s="90"/>
      <c r="D137" s="359"/>
      <c r="E137" s="90"/>
    </row>
    <row r="138" spans="1:5" ht="12.75" customHeight="1" thickBot="1">
      <c r="A138" s="388"/>
      <c r="B138" s="358" t="s">
        <v>548</v>
      </c>
      <c r="C138" s="358"/>
      <c r="D138" s="358"/>
      <c r="E138" s="358"/>
    </row>
    <row r="139" spans="1:5">
      <c r="A139" s="350">
        <v>76</v>
      </c>
      <c r="B139" s="90" t="s">
        <v>549</v>
      </c>
      <c r="C139" s="312">
        <v>0</v>
      </c>
      <c r="D139" s="312">
        <v>62</v>
      </c>
      <c r="E139" s="360" t="s">
        <v>334</v>
      </c>
    </row>
    <row r="140" spans="1:5" ht="12.75" customHeight="1">
      <c r="A140" s="350">
        <v>77</v>
      </c>
      <c r="B140" s="264" t="s">
        <v>550</v>
      </c>
      <c r="C140" s="312"/>
      <c r="D140" s="312">
        <v>62</v>
      </c>
      <c r="E140" s="360" t="s">
        <v>334</v>
      </c>
    </row>
    <row r="141" spans="1:5">
      <c r="A141" s="350">
        <v>78</v>
      </c>
      <c r="B141" s="90" t="s">
        <v>487</v>
      </c>
      <c r="C141" s="312">
        <v>0</v>
      </c>
      <c r="D141" s="312">
        <v>62</v>
      </c>
      <c r="E141" s="360" t="s">
        <v>334</v>
      </c>
    </row>
    <row r="142" spans="1:5" ht="12.75" customHeight="1">
      <c r="A142" s="350">
        <v>79</v>
      </c>
      <c r="B142" s="264" t="s">
        <v>551</v>
      </c>
      <c r="C142" s="312"/>
      <c r="D142" s="312">
        <v>62</v>
      </c>
      <c r="E142" s="360" t="s">
        <v>334</v>
      </c>
    </row>
    <row r="143" spans="1:5">
      <c r="A143" s="350"/>
      <c r="B143" s="264"/>
      <c r="C143" s="312"/>
      <c r="D143" s="360"/>
      <c r="E143" s="90"/>
    </row>
    <row r="144" spans="1:5" ht="12.75" customHeight="1" thickBot="1">
      <c r="A144" s="388"/>
      <c r="B144" s="358" t="s">
        <v>552</v>
      </c>
      <c r="C144" s="358"/>
      <c r="D144" s="358"/>
      <c r="E144" s="358"/>
    </row>
    <row r="145" spans="1:5" ht="12.75" customHeight="1">
      <c r="A145" s="350">
        <v>80</v>
      </c>
      <c r="B145" s="264" t="s">
        <v>553</v>
      </c>
      <c r="C145" s="312"/>
      <c r="D145" s="270" t="s">
        <v>554</v>
      </c>
      <c r="E145" s="360" t="s">
        <v>334</v>
      </c>
    </row>
    <row r="146" spans="1:5" ht="12.75" customHeight="1">
      <c r="A146" s="350">
        <v>81</v>
      </c>
      <c r="B146" s="264" t="s">
        <v>555</v>
      </c>
      <c r="C146" s="312">
        <v>0</v>
      </c>
      <c r="D146" s="270" t="s">
        <v>554</v>
      </c>
      <c r="E146" s="360" t="s">
        <v>334</v>
      </c>
    </row>
    <row r="147" spans="1:5" ht="12.75" customHeight="1">
      <c r="A147" s="350">
        <v>82</v>
      </c>
      <c r="B147" s="264" t="s">
        <v>556</v>
      </c>
      <c r="C147" s="432">
        <v>926400</v>
      </c>
      <c r="D147" s="270" t="s">
        <v>557</v>
      </c>
      <c r="E147" s="360" t="s">
        <v>334</v>
      </c>
    </row>
    <row r="148" spans="1:5" ht="12.75" customHeight="1">
      <c r="A148" s="350">
        <v>83</v>
      </c>
      <c r="B148" s="264" t="s">
        <v>558</v>
      </c>
      <c r="C148" s="432"/>
      <c r="D148" s="270" t="s">
        <v>557</v>
      </c>
      <c r="E148" s="360" t="s">
        <v>334</v>
      </c>
    </row>
    <row r="149" spans="1:5" ht="12.75" customHeight="1">
      <c r="A149" s="350">
        <v>84</v>
      </c>
      <c r="B149" s="264" t="s">
        <v>559</v>
      </c>
      <c r="C149" s="432"/>
      <c r="D149" s="270" t="s">
        <v>560</v>
      </c>
      <c r="E149" s="360" t="s">
        <v>334</v>
      </c>
    </row>
    <row r="150" spans="1:5" ht="12.75" customHeight="1">
      <c r="A150" s="350">
        <v>85</v>
      </c>
      <c r="B150" s="264" t="s">
        <v>561</v>
      </c>
      <c r="C150" s="432"/>
      <c r="D150" s="270" t="s">
        <v>560</v>
      </c>
      <c r="E150" s="360" t="s">
        <v>334</v>
      </c>
    </row>
    <row r="151" spans="1:5">
      <c r="A151" s="90"/>
      <c r="B151" s="90"/>
      <c r="C151" s="90"/>
      <c r="D151" s="90"/>
      <c r="E151" s="90"/>
    </row>
  </sheetData>
  <mergeCells count="1">
    <mergeCell ref="A17:E17"/>
  </mergeCells>
  <pageMargins left="0.7" right="0.7" top="0.75" bottom="0.75" header="0.3" footer="0.3"/>
  <pageSetup paperSize="9" scale="50" fitToHeight="0" orientation="landscape" r:id="rId1"/>
  <rowBreaks count="2" manualBreakCount="2">
    <brk id="64" max="16383" man="1"/>
    <brk id="13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1:I47"/>
  <sheetViews>
    <sheetView zoomScaleNormal="100" workbookViewId="0"/>
  </sheetViews>
  <sheetFormatPr baseColWidth="10" defaultColWidth="11" defaultRowHeight="12"/>
  <cols>
    <col min="1" max="1" width="50.5" style="460" customWidth="1"/>
    <col min="2" max="2" width="17.375" style="460" customWidth="1"/>
    <col min="3" max="5" width="17.25" style="460" customWidth="1"/>
    <col min="6" max="6" width="17.25" style="545" customWidth="1"/>
    <col min="7" max="7" width="11" style="460"/>
    <col min="8" max="8" width="19" style="460" customWidth="1"/>
    <col min="9" max="9" width="11.875" style="460" customWidth="1"/>
    <col min="10" max="16384" width="11" style="460"/>
  </cols>
  <sheetData>
    <row r="1" spans="1:9" ht="21">
      <c r="A1" s="825" t="s">
        <v>966</v>
      </c>
      <c r="D1" s="368"/>
      <c r="G1" s="368"/>
    </row>
    <row r="2" spans="1:9">
      <c r="B2" s="384"/>
      <c r="C2" s="384"/>
      <c r="D2" s="384"/>
      <c r="E2" s="384"/>
      <c r="F2" s="384"/>
      <c r="G2" s="384"/>
      <c r="H2" s="384"/>
      <c r="I2" s="384"/>
    </row>
    <row r="3" spans="1:9">
      <c r="A3" s="384"/>
      <c r="B3" s="384"/>
      <c r="C3" s="384"/>
      <c r="D3" s="384"/>
      <c r="E3" s="384"/>
      <c r="F3" s="384"/>
      <c r="G3" s="384"/>
      <c r="H3" s="384"/>
      <c r="I3" s="384"/>
    </row>
    <row r="4" spans="1:9" ht="48.75" customHeight="1">
      <c r="A4" s="465"/>
      <c r="B4" s="361" t="s">
        <v>919</v>
      </c>
      <c r="C4" s="559" t="s">
        <v>604</v>
      </c>
      <c r="D4" s="559" t="s">
        <v>605</v>
      </c>
      <c r="E4" s="361" t="s">
        <v>606</v>
      </c>
      <c r="F4" s="559" t="s">
        <v>766</v>
      </c>
      <c r="G4" s="361" t="s">
        <v>607</v>
      </c>
      <c r="H4" s="361" t="s">
        <v>920</v>
      </c>
      <c r="I4" s="361" t="s">
        <v>562</v>
      </c>
    </row>
    <row r="5" spans="1:9" ht="12.75" customHeight="1" thickBot="1">
      <c r="A5" s="358" t="s">
        <v>563</v>
      </c>
      <c r="B5" s="376"/>
      <c r="C5" s="376"/>
      <c r="D5" s="376"/>
      <c r="E5" s="376"/>
      <c r="F5" s="376"/>
      <c r="G5" s="376"/>
      <c r="H5" s="380"/>
      <c r="I5" s="376"/>
    </row>
    <row r="6" spans="1:9" ht="12.75" customHeight="1">
      <c r="A6" s="369" t="s">
        <v>564</v>
      </c>
      <c r="B6" s="370">
        <v>717</v>
      </c>
      <c r="C6" s="370">
        <v>0</v>
      </c>
      <c r="D6" s="370">
        <v>0</v>
      </c>
      <c r="E6" s="370">
        <v>0</v>
      </c>
      <c r="F6" s="370">
        <v>0</v>
      </c>
      <c r="G6" s="370"/>
      <c r="H6" s="381">
        <f>SUM(B6:G6)</f>
        <v>717</v>
      </c>
      <c r="I6" s="377"/>
    </row>
    <row r="7" spans="1:9" ht="12.75" customHeight="1">
      <c r="A7" s="369" t="s">
        <v>565</v>
      </c>
      <c r="B7" s="370">
        <v>1696</v>
      </c>
      <c r="C7" s="370">
        <v>625</v>
      </c>
      <c r="D7" s="370">
        <v>53</v>
      </c>
      <c r="E7" s="370">
        <v>216</v>
      </c>
      <c r="F7" s="370">
        <v>88</v>
      </c>
      <c r="G7" s="370">
        <v>-157</v>
      </c>
      <c r="H7" s="381">
        <f>SUM(B7:G7)</f>
        <v>2521</v>
      </c>
      <c r="I7" s="377"/>
    </row>
    <row r="8" spans="1:9" ht="12.75" customHeight="1">
      <c r="A8" s="369" t="s">
        <v>667</v>
      </c>
      <c r="B8" s="370">
        <v>190878</v>
      </c>
      <c r="C8" s="370">
        <v>8854</v>
      </c>
      <c r="D8" s="370">
        <v>1599</v>
      </c>
      <c r="E8" s="370">
        <v>5356</v>
      </c>
      <c r="F8" s="370">
        <v>910</v>
      </c>
      <c r="G8" s="370"/>
      <c r="H8" s="381">
        <f t="shared" ref="H8:H15" si="0">SUM(B8:G8)</f>
        <v>207597</v>
      </c>
      <c r="I8" s="377"/>
    </row>
    <row r="9" spans="1:9" ht="12.75" customHeight="1">
      <c r="A9" s="369" t="s">
        <v>566</v>
      </c>
      <c r="B9" s="370">
        <v>29340</v>
      </c>
      <c r="C9" s="370">
        <v>1216</v>
      </c>
      <c r="D9" s="370">
        <v>200</v>
      </c>
      <c r="E9" s="370">
        <v>1371</v>
      </c>
      <c r="F9" s="370">
        <v>0</v>
      </c>
      <c r="H9" s="381">
        <f>SUM(B9:G9)</f>
        <v>32127</v>
      </c>
      <c r="I9" s="377"/>
    </row>
    <row r="10" spans="1:9" ht="12.75" customHeight="1">
      <c r="A10" s="369" t="s">
        <v>567</v>
      </c>
      <c r="B10" s="370">
        <v>5268</v>
      </c>
      <c r="C10" s="370">
        <v>1115</v>
      </c>
      <c r="D10" s="370">
        <v>74</v>
      </c>
      <c r="E10" s="370">
        <v>27</v>
      </c>
      <c r="F10" s="370">
        <v>0</v>
      </c>
      <c r="G10" s="370"/>
      <c r="H10" s="381">
        <f>SUM(B10:G10)</f>
        <v>6484</v>
      </c>
      <c r="I10" s="377"/>
    </row>
    <row r="11" spans="1:9" ht="12.75" customHeight="1">
      <c r="A11" s="369" t="s">
        <v>568</v>
      </c>
      <c r="B11" s="370">
        <v>868</v>
      </c>
      <c r="C11" s="370">
        <v>0</v>
      </c>
      <c r="D11" s="370">
        <v>0</v>
      </c>
      <c r="E11" s="370">
        <v>0</v>
      </c>
      <c r="F11" s="370">
        <v>0</v>
      </c>
      <c r="G11" s="370">
        <v>-3</v>
      </c>
      <c r="H11" s="381">
        <f>SUM(B11:G11)</f>
        <v>865</v>
      </c>
      <c r="I11" s="377"/>
    </row>
    <row r="12" spans="1:9" ht="12.75" customHeight="1">
      <c r="A12" s="369" t="s">
        <v>569</v>
      </c>
      <c r="B12" s="370">
        <v>3713</v>
      </c>
      <c r="C12" s="370">
        <v>0</v>
      </c>
      <c r="D12" s="370">
        <v>0</v>
      </c>
      <c r="E12" s="370">
        <v>4</v>
      </c>
      <c r="F12" s="370">
        <v>0</v>
      </c>
      <c r="G12" s="370">
        <f>-1889-13</f>
        <v>-1902</v>
      </c>
      <c r="H12" s="381">
        <f t="shared" si="0"/>
        <v>1815</v>
      </c>
      <c r="I12" s="381" t="s">
        <v>608</v>
      </c>
    </row>
    <row r="13" spans="1:9" ht="12.75" customHeight="1">
      <c r="A13" s="553" t="s">
        <v>570</v>
      </c>
      <c r="B13" s="370">
        <v>0</v>
      </c>
      <c r="C13" s="370">
        <v>0</v>
      </c>
      <c r="D13" s="370">
        <v>0</v>
      </c>
      <c r="E13" s="370">
        <v>10</v>
      </c>
      <c r="F13" s="370">
        <v>0</v>
      </c>
      <c r="G13" s="370"/>
      <c r="H13" s="381">
        <f t="shared" si="0"/>
        <v>10</v>
      </c>
      <c r="I13" s="377"/>
    </row>
    <row r="14" spans="1:9" ht="12.75" customHeight="1">
      <c r="A14" s="369" t="s">
        <v>571</v>
      </c>
      <c r="B14" s="370">
        <v>95</v>
      </c>
      <c r="C14" s="370">
        <v>0</v>
      </c>
      <c r="D14" s="370">
        <v>0</v>
      </c>
      <c r="E14" s="370">
        <v>7</v>
      </c>
      <c r="F14" s="370">
        <v>12</v>
      </c>
      <c r="G14" s="370"/>
      <c r="H14" s="381">
        <f>SUM(B14:G14)</f>
        <v>114</v>
      </c>
      <c r="I14" s="377"/>
    </row>
    <row r="15" spans="1:9" ht="12.75" customHeight="1">
      <c r="A15" s="371" t="s">
        <v>572</v>
      </c>
      <c r="B15" s="370">
        <f>1581-95</f>
        <v>1486</v>
      </c>
      <c r="C15" s="370">
        <v>0</v>
      </c>
      <c r="D15" s="370">
        <v>0</v>
      </c>
      <c r="E15" s="370">
        <v>17</v>
      </c>
      <c r="F15" s="370">
        <v>53</v>
      </c>
      <c r="G15" s="370">
        <v>-1</v>
      </c>
      <c r="H15" s="381">
        <f t="shared" si="0"/>
        <v>1555</v>
      </c>
      <c r="I15" s="377"/>
    </row>
    <row r="16" spans="1:9" ht="12.75" customHeight="1">
      <c r="A16" s="85" t="s">
        <v>573</v>
      </c>
      <c r="B16" s="393">
        <f>SUM(B6:B15)</f>
        <v>234061</v>
      </c>
      <c r="C16" s="393">
        <f t="shared" ref="C16:G16" si="1">SUM(C6:C15)</f>
        <v>11810</v>
      </c>
      <c r="D16" s="393">
        <f t="shared" si="1"/>
        <v>1926</v>
      </c>
      <c r="E16" s="393">
        <f t="shared" si="1"/>
        <v>7008</v>
      </c>
      <c r="F16" s="393">
        <f t="shared" si="1"/>
        <v>1063</v>
      </c>
      <c r="G16" s="393">
        <f t="shared" si="1"/>
        <v>-2063</v>
      </c>
      <c r="H16" s="393">
        <f>SUM(H6:H15)</f>
        <v>253805</v>
      </c>
      <c r="I16" s="382"/>
    </row>
    <row r="17" spans="1:9" ht="12.75" customHeight="1">
      <c r="A17" s="14"/>
      <c r="B17" s="293"/>
      <c r="C17" s="561"/>
      <c r="D17" s="561"/>
      <c r="E17" s="561"/>
      <c r="F17" s="561"/>
      <c r="G17" s="561"/>
      <c r="H17" s="293"/>
      <c r="I17" s="293"/>
    </row>
    <row r="18" spans="1:9" ht="12.75" customHeight="1" thickBot="1">
      <c r="A18" s="358" t="s">
        <v>574</v>
      </c>
      <c r="B18" s="376"/>
      <c r="C18" s="376"/>
      <c r="D18" s="376"/>
      <c r="E18" s="376"/>
      <c r="F18" s="376"/>
      <c r="G18" s="376"/>
      <c r="H18" s="380"/>
      <c r="I18" s="376"/>
    </row>
    <row r="19" spans="1:9" ht="12.75" customHeight="1">
      <c r="A19" s="369" t="s">
        <v>575</v>
      </c>
      <c r="B19" s="370">
        <v>1433</v>
      </c>
      <c r="C19" s="370">
        <v>0</v>
      </c>
      <c r="D19" s="370">
        <v>12</v>
      </c>
      <c r="E19" s="370">
        <v>4</v>
      </c>
      <c r="F19" s="370">
        <v>804</v>
      </c>
      <c r="G19" s="370">
        <v>-157</v>
      </c>
      <c r="H19" s="381">
        <f t="shared" ref="H19:H29" si="2">SUM(B19:G19)</f>
        <v>2096</v>
      </c>
      <c r="I19" s="377"/>
    </row>
    <row r="20" spans="1:9" ht="12.75" customHeight="1">
      <c r="A20" s="369" t="s">
        <v>576</v>
      </c>
      <c r="B20" s="370">
        <v>98814</v>
      </c>
      <c r="C20" s="370">
        <v>0</v>
      </c>
      <c r="D20" s="370">
        <v>0</v>
      </c>
      <c r="E20" s="370">
        <v>3600</v>
      </c>
      <c r="F20" s="370">
        <v>0</v>
      </c>
      <c r="G20" s="370"/>
      <c r="H20" s="381">
        <f t="shared" si="2"/>
        <v>102414</v>
      </c>
      <c r="I20" s="377"/>
    </row>
    <row r="21" spans="1:9" ht="12.75" customHeight="1">
      <c r="A21" s="369" t="s">
        <v>214</v>
      </c>
      <c r="B21" s="370">
        <v>103485</v>
      </c>
      <c r="C21" s="370">
        <v>10214</v>
      </c>
      <c r="D21" s="370">
        <v>1608</v>
      </c>
      <c r="E21" s="370">
        <v>2180</v>
      </c>
      <c r="F21" s="370">
        <v>0</v>
      </c>
      <c r="G21" s="370"/>
      <c r="H21" s="381">
        <f t="shared" si="2"/>
        <v>117487</v>
      </c>
      <c r="I21" s="377"/>
    </row>
    <row r="22" spans="1:9" ht="12.75" customHeight="1">
      <c r="A22" s="369" t="s">
        <v>567</v>
      </c>
      <c r="B22" s="370">
        <v>3889</v>
      </c>
      <c r="C22" s="370">
        <f>901+50</f>
        <v>951</v>
      </c>
      <c r="D22" s="370">
        <v>0</v>
      </c>
      <c r="E22" s="370">
        <v>23</v>
      </c>
      <c r="F22" s="370">
        <v>0</v>
      </c>
      <c r="G22" s="370"/>
      <c r="H22" s="381">
        <f t="shared" si="2"/>
        <v>4863</v>
      </c>
      <c r="I22" s="377"/>
    </row>
    <row r="23" spans="1:9" ht="12.75" customHeight="1">
      <c r="A23" s="369" t="s">
        <v>577</v>
      </c>
      <c r="B23" s="90">
        <v>124</v>
      </c>
      <c r="C23" s="370">
        <v>2</v>
      </c>
      <c r="D23" s="370">
        <v>3</v>
      </c>
      <c r="E23" s="90">
        <v>2</v>
      </c>
      <c r="F23" s="90">
        <v>0</v>
      </c>
      <c r="G23" s="90"/>
      <c r="H23" s="381">
        <f t="shared" si="2"/>
        <v>131</v>
      </c>
      <c r="I23" s="92"/>
    </row>
    <row r="24" spans="1:9" ht="13.5" customHeight="1">
      <c r="A24" s="369" t="s">
        <v>578</v>
      </c>
      <c r="B24" s="370">
        <f>1904-124</f>
        <v>1780</v>
      </c>
      <c r="C24" s="370">
        <v>8</v>
      </c>
      <c r="D24" s="370">
        <v>3</v>
      </c>
      <c r="E24" s="370">
        <v>44</v>
      </c>
      <c r="F24" s="370">
        <v>48</v>
      </c>
      <c r="G24" s="370">
        <v>-1</v>
      </c>
      <c r="H24" s="381">
        <f t="shared" si="2"/>
        <v>1882</v>
      </c>
      <c r="I24" s="377"/>
    </row>
    <row r="25" spans="1:9" ht="12.75" customHeight="1">
      <c r="A25" s="369" t="s">
        <v>579</v>
      </c>
      <c r="B25" s="370">
        <v>2951</v>
      </c>
      <c r="C25" s="370">
        <f>77+57</f>
        <v>134</v>
      </c>
      <c r="D25" s="370">
        <v>0</v>
      </c>
      <c r="E25" s="370">
        <f>121+126</f>
        <v>247</v>
      </c>
      <c r="F25" s="562">
        <v>18</v>
      </c>
      <c r="G25" s="370">
        <v>-3</v>
      </c>
      <c r="H25" s="563">
        <f>SUM(B25:G25)</f>
        <v>3347</v>
      </c>
      <c r="I25" s="377"/>
    </row>
    <row r="26" spans="1:9" ht="12.75" customHeight="1">
      <c r="A26" s="372" t="s">
        <v>778</v>
      </c>
      <c r="B26" s="373">
        <v>798</v>
      </c>
      <c r="C26" s="373">
        <v>0</v>
      </c>
      <c r="D26" s="373">
        <v>0</v>
      </c>
      <c r="E26" s="373">
        <v>0</v>
      </c>
      <c r="F26" s="373">
        <v>0</v>
      </c>
      <c r="G26" s="373"/>
      <c r="H26" s="664">
        <f t="shared" si="2"/>
        <v>798</v>
      </c>
      <c r="I26" s="377"/>
    </row>
    <row r="27" spans="1:9" s="554" customFormat="1" ht="12.75" customHeight="1">
      <c r="A27" s="372" t="s">
        <v>779</v>
      </c>
      <c r="B27" s="550">
        <v>550</v>
      </c>
      <c r="C27" s="551">
        <v>57</v>
      </c>
      <c r="D27" s="551">
        <v>0</v>
      </c>
      <c r="E27" s="551">
        <v>73</v>
      </c>
      <c r="F27" s="551"/>
      <c r="G27" s="373">
        <v>-3</v>
      </c>
      <c r="H27" s="551">
        <f t="shared" si="2"/>
        <v>677</v>
      </c>
      <c r="I27" s="381" t="s">
        <v>922</v>
      </c>
    </row>
    <row r="28" spans="1:9" ht="12.75" customHeight="1">
      <c r="A28" s="372" t="s">
        <v>580</v>
      </c>
      <c r="B28" s="373">
        <v>2054</v>
      </c>
      <c r="C28" s="373">
        <v>77</v>
      </c>
      <c r="D28" s="373">
        <v>0</v>
      </c>
      <c r="E28" s="373">
        <v>146</v>
      </c>
      <c r="F28" s="373">
        <v>18</v>
      </c>
      <c r="G28" s="373">
        <v>0</v>
      </c>
      <c r="H28" s="664">
        <f t="shared" si="2"/>
        <v>2295</v>
      </c>
      <c r="I28" s="381" t="s">
        <v>922</v>
      </c>
    </row>
    <row r="29" spans="1:9" ht="12.75" customHeight="1">
      <c r="A29" s="372" t="s">
        <v>581</v>
      </c>
      <c r="B29" s="480"/>
      <c r="C29" s="373"/>
      <c r="D29" s="373"/>
      <c r="E29" s="373">
        <v>0</v>
      </c>
      <c r="F29" s="373"/>
      <c r="G29" s="373"/>
      <c r="H29" s="381">
        <f t="shared" si="2"/>
        <v>0</v>
      </c>
      <c r="I29" s="379"/>
    </row>
    <row r="30" spans="1:9" ht="12.75" customHeight="1">
      <c r="A30" s="372" t="s">
        <v>582</v>
      </c>
      <c r="B30" s="373"/>
      <c r="C30" s="373"/>
      <c r="D30" s="373"/>
      <c r="E30" s="373"/>
      <c r="F30" s="373"/>
      <c r="G30" s="373"/>
      <c r="H30" s="381">
        <v>0</v>
      </c>
      <c r="I30" s="379"/>
    </row>
    <row r="31" spans="1:9" ht="12.75" customHeight="1">
      <c r="A31" s="85" t="s">
        <v>583</v>
      </c>
      <c r="B31" s="393">
        <f>SUM(B19:B25)</f>
        <v>212476</v>
      </c>
      <c r="C31" s="393">
        <f t="shared" ref="C31:G31" si="3">SUM(C19:C25)</f>
        <v>11309</v>
      </c>
      <c r="D31" s="393">
        <f t="shared" si="3"/>
        <v>1626</v>
      </c>
      <c r="E31" s="393">
        <f t="shared" si="3"/>
        <v>6100</v>
      </c>
      <c r="F31" s="393">
        <f t="shared" si="3"/>
        <v>870</v>
      </c>
      <c r="G31" s="393">
        <f t="shared" si="3"/>
        <v>-161</v>
      </c>
      <c r="H31" s="393">
        <f>SUM(H19:H25)</f>
        <v>232220</v>
      </c>
      <c r="I31" s="382"/>
    </row>
    <row r="32" spans="1:9" ht="12.75" customHeight="1">
      <c r="A32" s="14"/>
      <c r="B32" s="293"/>
      <c r="C32" s="561"/>
      <c r="D32" s="561"/>
      <c r="E32" s="561"/>
      <c r="F32" s="561"/>
      <c r="G32" s="561"/>
      <c r="H32" s="293"/>
      <c r="I32" s="293"/>
    </row>
    <row r="33" spans="1:9" ht="12.75" customHeight="1" thickBot="1">
      <c r="A33" s="358" t="s">
        <v>584</v>
      </c>
      <c r="B33" s="376"/>
      <c r="C33" s="376"/>
      <c r="D33" s="376"/>
      <c r="E33" s="376"/>
      <c r="F33" s="376"/>
      <c r="G33" s="376"/>
      <c r="H33" s="380"/>
      <c r="I33" s="376"/>
    </row>
    <row r="34" spans="1:9" ht="12.75" customHeight="1">
      <c r="A34" s="369" t="s">
        <v>585</v>
      </c>
      <c r="B34" s="370">
        <v>7981</v>
      </c>
      <c r="C34" s="390">
        <v>519</v>
      </c>
      <c r="D34" s="390">
        <v>292</v>
      </c>
      <c r="E34" s="390">
        <v>254</v>
      </c>
      <c r="F34" s="390">
        <v>160</v>
      </c>
      <c r="G34" s="390">
        <v>-1225</v>
      </c>
      <c r="H34" s="390">
        <f t="shared" ref="H34:H38" si="4">SUM(B34:G34)</f>
        <v>7981</v>
      </c>
      <c r="I34" s="390" t="s">
        <v>95</v>
      </c>
    </row>
    <row r="35" spans="1:9" ht="12.75" customHeight="1">
      <c r="A35" s="369" t="s">
        <v>10</v>
      </c>
      <c r="B35" s="370">
        <v>60</v>
      </c>
      <c r="C35" s="390"/>
      <c r="D35" s="390">
        <v>0</v>
      </c>
      <c r="E35" s="390">
        <v>0</v>
      </c>
      <c r="F35" s="390">
        <v>0</v>
      </c>
      <c r="G35" s="390"/>
      <c r="H35" s="390">
        <f t="shared" si="4"/>
        <v>60</v>
      </c>
      <c r="I35" s="391"/>
    </row>
    <row r="36" spans="1:9" s="549" customFormat="1" ht="12.75" customHeight="1">
      <c r="A36" s="372" t="s">
        <v>779</v>
      </c>
      <c r="B36" s="550">
        <v>550</v>
      </c>
      <c r="C36" s="551"/>
      <c r="D36" s="551"/>
      <c r="E36" s="390"/>
      <c r="F36" s="390"/>
      <c r="G36" s="390"/>
      <c r="H36" s="551">
        <f>SUM(B36:G36)</f>
        <v>550</v>
      </c>
      <c r="I36" s="391"/>
    </row>
    <row r="37" spans="1:9" ht="12.75" customHeight="1">
      <c r="A37" s="369" t="s">
        <v>11</v>
      </c>
      <c r="B37" s="370">
        <f>11843+1151</f>
        <v>12994</v>
      </c>
      <c r="C37" s="390">
        <v>-18</v>
      </c>
      <c r="D37" s="390">
        <v>8</v>
      </c>
      <c r="E37" s="390">
        <v>654</v>
      </c>
      <c r="F37" s="390">
        <v>33</v>
      </c>
      <c r="G37" s="390">
        <v>-677</v>
      </c>
      <c r="H37" s="390">
        <f t="shared" si="4"/>
        <v>12994</v>
      </c>
      <c r="I37" s="390" t="s">
        <v>95</v>
      </c>
    </row>
    <row r="38" spans="1:9" ht="12.75" hidden="1" customHeight="1">
      <c r="A38" s="369" t="s">
        <v>678</v>
      </c>
      <c r="B38" s="370"/>
      <c r="C38" s="390"/>
      <c r="D38" s="390"/>
      <c r="E38" s="390"/>
      <c r="F38" s="390"/>
      <c r="G38" s="390"/>
      <c r="H38" s="390">
        <f t="shared" si="4"/>
        <v>0</v>
      </c>
      <c r="I38" s="390"/>
    </row>
    <row r="39" spans="1:9" ht="12.75" customHeight="1">
      <c r="A39" s="85" t="s">
        <v>586</v>
      </c>
      <c r="B39" s="393">
        <f>SUM(B34:B38)</f>
        <v>21585</v>
      </c>
      <c r="C39" s="393">
        <f t="shared" ref="C39:H39" si="5">SUM(C34:C38)</f>
        <v>501</v>
      </c>
      <c r="D39" s="393">
        <f t="shared" si="5"/>
        <v>300</v>
      </c>
      <c r="E39" s="393">
        <f t="shared" si="5"/>
        <v>908</v>
      </c>
      <c r="F39" s="393">
        <f t="shared" ref="F39" si="6">SUM(F34:F38)</f>
        <v>193</v>
      </c>
      <c r="G39" s="393">
        <f t="shared" si="5"/>
        <v>-1902</v>
      </c>
      <c r="H39" s="393">
        <f t="shared" si="5"/>
        <v>21585</v>
      </c>
      <c r="I39" s="472" t="s">
        <v>95</v>
      </c>
    </row>
    <row r="40" spans="1:9" ht="12.75" customHeight="1">
      <c r="A40" s="374"/>
      <c r="B40" s="375"/>
      <c r="C40" s="375"/>
      <c r="D40" s="375"/>
      <c r="E40" s="375"/>
      <c r="F40" s="375"/>
      <c r="G40" s="375"/>
      <c r="H40" s="375"/>
      <c r="I40" s="378"/>
    </row>
    <row r="41" spans="1:9" ht="12.75" thickBot="1">
      <c r="A41" s="358" t="s">
        <v>587</v>
      </c>
      <c r="B41" s="394">
        <f t="shared" ref="B41:H41" si="7">B31+B39</f>
        <v>234061</v>
      </c>
      <c r="C41" s="395">
        <f t="shared" si="7"/>
        <v>11810</v>
      </c>
      <c r="D41" s="395">
        <f t="shared" si="7"/>
        <v>1926</v>
      </c>
      <c r="E41" s="395">
        <f t="shared" si="7"/>
        <v>7008</v>
      </c>
      <c r="F41" s="395">
        <f t="shared" si="7"/>
        <v>1063</v>
      </c>
      <c r="G41" s="395">
        <f t="shared" si="7"/>
        <v>-2063</v>
      </c>
      <c r="H41" s="395">
        <f t="shared" si="7"/>
        <v>253805</v>
      </c>
      <c r="I41" s="383"/>
    </row>
    <row r="42" spans="1:9">
      <c r="H42" s="386"/>
    </row>
    <row r="44" spans="1:9">
      <c r="A44" s="662" t="s">
        <v>644</v>
      </c>
      <c r="B44" s="662"/>
      <c r="C44" s="662"/>
      <c r="D44" s="662"/>
      <c r="E44" s="662"/>
      <c r="F44" s="662"/>
    </row>
    <row r="45" spans="1:9">
      <c r="A45" s="662" t="s">
        <v>767</v>
      </c>
      <c r="B45" s="662"/>
      <c r="C45" s="662"/>
      <c r="D45" s="662"/>
      <c r="E45" s="662"/>
      <c r="F45" s="662"/>
      <c r="G45" s="479"/>
      <c r="H45" s="479"/>
    </row>
    <row r="46" spans="1:9">
      <c r="A46" s="662" t="s">
        <v>817</v>
      </c>
      <c r="B46" s="368"/>
      <c r="C46" s="368"/>
      <c r="D46" s="368"/>
      <c r="E46" s="368"/>
      <c r="F46" s="368"/>
    </row>
    <row r="47" spans="1:9">
      <c r="A47" s="662" t="s">
        <v>921</v>
      </c>
      <c r="B47" s="662"/>
      <c r="C47" s="662"/>
      <c r="D47" s="662"/>
      <c r="E47" s="662"/>
      <c r="F47" s="662"/>
    </row>
  </sheetData>
  <pageMargins left="0.7" right="0.7" top="0.75" bottom="0.75" header="0.3" footer="0.3"/>
  <pageSetup paperSize="9" scale="65" fitToHeight="0" orientation="landscape" r:id="rId1"/>
  <ignoredErrors>
    <ignoredError sqref="D31:F31 B31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C41"/>
  <sheetViews>
    <sheetView zoomScaleNormal="100" workbookViewId="0"/>
  </sheetViews>
  <sheetFormatPr baseColWidth="10" defaultColWidth="11" defaultRowHeight="12"/>
  <cols>
    <col min="1" max="1" width="82.5" style="460" customWidth="1"/>
    <col min="2" max="2" width="11.25" style="460" bestFit="1" customWidth="1"/>
    <col min="3" max="16384" width="11" style="460"/>
  </cols>
  <sheetData>
    <row r="1" spans="1:3" s="474" customFormat="1" ht="21">
      <c r="A1" s="825" t="s">
        <v>598</v>
      </c>
      <c r="B1" s="556"/>
      <c r="C1" s="556"/>
    </row>
    <row r="2" spans="1:3" s="474" customFormat="1">
      <c r="A2" s="556"/>
      <c r="B2" s="556"/>
      <c r="C2" s="556"/>
    </row>
    <row r="3" spans="1:3" s="474" customFormat="1" ht="12.75" thickBot="1">
      <c r="A3" s="376"/>
      <c r="B3" s="640">
        <v>43465</v>
      </c>
      <c r="C3" s="431">
        <v>43100</v>
      </c>
    </row>
    <row r="4" spans="1:3">
      <c r="A4" s="556" t="s">
        <v>688</v>
      </c>
      <c r="B4" s="19"/>
      <c r="C4" s="19"/>
    </row>
    <row r="5" spans="1:3">
      <c r="A5" s="556" t="s">
        <v>689</v>
      </c>
      <c r="B5" s="19"/>
      <c r="C5" s="19"/>
    </row>
    <row r="6" spans="1:3">
      <c r="A6" s="556" t="s">
        <v>690</v>
      </c>
      <c r="B6" s="19"/>
      <c r="C6" s="19"/>
    </row>
    <row r="7" spans="1:3">
      <c r="A7" s="556" t="s">
        <v>691</v>
      </c>
      <c r="B7" s="19"/>
      <c r="C7" s="19"/>
    </row>
    <row r="8" spans="1:3">
      <c r="A8" s="556" t="s">
        <v>692</v>
      </c>
      <c r="B8" s="19"/>
      <c r="C8" s="19"/>
    </row>
    <row r="9" spans="1:3">
      <c r="A9" s="556" t="s">
        <v>693</v>
      </c>
      <c r="B9" s="19">
        <v>3616639.4360000002</v>
      </c>
      <c r="C9" s="19">
        <v>6024884</v>
      </c>
    </row>
    <row r="10" spans="1:3" s="474" customFormat="1">
      <c r="A10" s="556" t="s">
        <v>687</v>
      </c>
      <c r="B10" s="19">
        <v>-2108340.0159999998</v>
      </c>
      <c r="C10" s="19">
        <v>-4307957</v>
      </c>
    </row>
    <row r="11" spans="1:3">
      <c r="A11" s="556" t="s">
        <v>694</v>
      </c>
      <c r="B11" s="19"/>
      <c r="C11" s="19"/>
    </row>
    <row r="12" spans="1:3">
      <c r="A12" s="556" t="s">
        <v>592</v>
      </c>
      <c r="B12" s="19">
        <v>974079.25199999998</v>
      </c>
      <c r="C12" s="19">
        <v>1552234</v>
      </c>
    </row>
    <row r="13" spans="1:3" ht="12.75" customHeight="1">
      <c r="A13" s="556" t="s">
        <v>695</v>
      </c>
      <c r="B13" s="19"/>
      <c r="C13" s="19"/>
    </row>
    <row r="14" spans="1:3">
      <c r="A14" s="556" t="s">
        <v>696</v>
      </c>
      <c r="B14" s="19"/>
      <c r="C14" s="19"/>
    </row>
    <row r="15" spans="1:3" ht="12.75" customHeight="1">
      <c r="A15" s="556" t="s">
        <v>697</v>
      </c>
      <c r="B15" s="19"/>
      <c r="C15" s="19"/>
    </row>
    <row r="16" spans="1:3">
      <c r="A16" s="556" t="s">
        <v>698</v>
      </c>
      <c r="B16" s="19"/>
      <c r="C16" s="19"/>
    </row>
    <row r="17" spans="1:3">
      <c r="A17" s="556" t="s">
        <v>699</v>
      </c>
      <c r="B17" s="19"/>
      <c r="C17" s="19"/>
    </row>
    <row r="18" spans="1:3">
      <c r="A18" s="556" t="s">
        <v>700</v>
      </c>
      <c r="B18" s="19">
        <v>1361470.9369999999</v>
      </c>
      <c r="C18" s="19">
        <v>1141235.5</v>
      </c>
    </row>
    <row r="19" spans="1:3">
      <c r="A19" s="556" t="s">
        <v>701</v>
      </c>
      <c r="B19" s="19">
        <v>101664.376</v>
      </c>
      <c r="C19" s="19">
        <v>9050.2000000000007</v>
      </c>
    </row>
    <row r="20" spans="1:3">
      <c r="A20" s="556" t="s">
        <v>702</v>
      </c>
      <c r="B20" s="19">
        <v>9925262.3010000009</v>
      </c>
      <c r="C20" s="19">
        <v>9705218</v>
      </c>
    </row>
    <row r="21" spans="1:3">
      <c r="A21" s="556" t="s">
        <v>703</v>
      </c>
      <c r="B21" s="19">
        <v>5814310</v>
      </c>
      <c r="C21" s="19">
        <v>5740201</v>
      </c>
    </row>
    <row r="22" spans="1:3">
      <c r="A22" s="556" t="s">
        <v>593</v>
      </c>
      <c r="B22" s="19">
        <v>251034741.43200001</v>
      </c>
      <c r="C22" s="19">
        <v>242227113</v>
      </c>
    </row>
    <row r="23" spans="1:3">
      <c r="A23" s="556" t="s">
        <v>704</v>
      </c>
      <c r="B23" s="19"/>
      <c r="C23" s="19"/>
    </row>
    <row r="24" spans="1:3">
      <c r="A24" s="556" t="s">
        <v>705</v>
      </c>
      <c r="B24" s="19"/>
      <c r="C24" s="19"/>
    </row>
    <row r="25" spans="1:3">
      <c r="A25" s="556" t="s">
        <v>706</v>
      </c>
      <c r="B25" s="19"/>
      <c r="C25" s="19"/>
    </row>
    <row r="26" spans="1:3">
      <c r="A26" s="556" t="s">
        <v>707</v>
      </c>
      <c r="B26" s="19"/>
      <c r="C26" s="19"/>
    </row>
    <row r="27" spans="1:3">
      <c r="A27" s="556" t="s">
        <v>708</v>
      </c>
      <c r="B27" s="19"/>
      <c r="C27" s="19"/>
    </row>
    <row r="28" spans="1:3">
      <c r="A28" s="556" t="s">
        <v>709</v>
      </c>
      <c r="B28" s="19"/>
      <c r="C28" s="19"/>
    </row>
    <row r="29" spans="1:3">
      <c r="A29" s="556" t="s">
        <v>710</v>
      </c>
      <c r="B29" s="19"/>
      <c r="C29" s="19"/>
    </row>
    <row r="30" spans="1:3" ht="12.75" customHeight="1">
      <c r="A30" s="556" t="s">
        <v>711</v>
      </c>
      <c r="B30" s="19">
        <v>-502807.93099999998</v>
      </c>
      <c r="C30" s="19">
        <v>-563450.01199999999</v>
      </c>
    </row>
    <row r="31" spans="1:3">
      <c r="A31" s="556" t="s">
        <v>712</v>
      </c>
      <c r="B31" s="19">
        <v>-502807.93099999998</v>
      </c>
      <c r="C31" s="19">
        <v>-563450.01199999999</v>
      </c>
    </row>
    <row r="32" spans="1:3">
      <c r="A32" s="556" t="s">
        <v>713</v>
      </c>
      <c r="B32" s="19">
        <f>SUM(B9:B30)</f>
        <v>270217019.787</v>
      </c>
      <c r="C32" s="19">
        <v>261528528.68799999</v>
      </c>
    </row>
    <row r="33" spans="1:3">
      <c r="A33" s="556" t="s">
        <v>714</v>
      </c>
      <c r="B33" s="19">
        <f>SUM(B9:B29,B31)</f>
        <v>270217019.787</v>
      </c>
      <c r="C33" s="19">
        <v>261528528.68799999</v>
      </c>
    </row>
    <row r="34" spans="1:3" ht="12.75" thickBot="1">
      <c r="A34" s="358" t="s">
        <v>717</v>
      </c>
      <c r="B34" s="641"/>
      <c r="C34" s="475"/>
    </row>
    <row r="35" spans="1:3">
      <c r="A35" s="556" t="s">
        <v>594</v>
      </c>
      <c r="B35" s="19">
        <v>19944405</v>
      </c>
      <c r="C35" s="19">
        <v>18480790.213000007</v>
      </c>
    </row>
    <row r="36" spans="1:3">
      <c r="A36" s="556" t="s">
        <v>715</v>
      </c>
      <c r="B36" s="19">
        <v>20742657</v>
      </c>
      <c r="C36" s="19">
        <v>19277960.683000006</v>
      </c>
    </row>
    <row r="37" spans="1:3" ht="12.75" thickBot="1">
      <c r="A37" s="358" t="s">
        <v>595</v>
      </c>
      <c r="B37" s="641"/>
      <c r="C37" s="475"/>
    </row>
    <row r="38" spans="1:3">
      <c r="A38" s="556" t="s">
        <v>595</v>
      </c>
      <c r="B38" s="642">
        <v>7.3800000000000004E-2</v>
      </c>
      <c r="C38" s="547">
        <v>7.0664528668103133E-2</v>
      </c>
    </row>
    <row r="39" spans="1:3">
      <c r="A39" s="556" t="s">
        <v>716</v>
      </c>
      <c r="B39" s="642">
        <v>7.6799999999999993E-2</v>
      </c>
      <c r="C39" s="547">
        <v>7.3712649169522734E-2</v>
      </c>
    </row>
    <row r="40" spans="1:3">
      <c r="A40" s="474"/>
      <c r="B40" s="474"/>
      <c r="C40" s="474"/>
    </row>
    <row r="41" spans="1:3">
      <c r="A41" s="474"/>
      <c r="B41" s="474"/>
      <c r="C41" s="474"/>
    </row>
  </sheetData>
  <conditionalFormatting sqref="C7:C8 C18 C12 C29">
    <cfRule type="cellIs" dxfId="3" priority="2" operator="lessThan">
      <formula>0</formula>
    </cfRule>
  </conditionalFormatting>
  <conditionalFormatting sqref="C27">
    <cfRule type="cellIs" dxfId="2" priority="1" operator="lessThan">
      <formula>C25</formula>
    </cfRule>
  </conditionalFormatting>
  <conditionalFormatting sqref="B7:B8 B18 B12 B29">
    <cfRule type="cellIs" dxfId="1" priority="4" operator="lessThan">
      <formula>0</formula>
    </cfRule>
  </conditionalFormatting>
  <conditionalFormatting sqref="B27">
    <cfRule type="cellIs" dxfId="0" priority="3" operator="lessThan">
      <formula>B25</formula>
    </cfRule>
  </conditionalFormatting>
  <pageMargins left="0.7" right="0.7" top="0.75" bottom="0.75" header="0.3" footer="0.3"/>
  <pageSetup paperSize="9" scale="66" orientation="portrait" r:id="rId1"/>
  <ignoredErrors>
    <ignoredError sqref="B32" formulaRange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N18"/>
  <sheetViews>
    <sheetView showGridLines="0" workbookViewId="0"/>
  </sheetViews>
  <sheetFormatPr baseColWidth="10" defaultColWidth="11" defaultRowHeight="12.75"/>
  <cols>
    <col min="1" max="1" width="40.875" style="516" customWidth="1"/>
    <col min="2" max="2" width="12.5" style="516" customWidth="1"/>
    <col min="3" max="3" width="11" style="516"/>
    <col min="4" max="13" width="15.375" style="516" customWidth="1"/>
    <col min="14" max="16384" width="11" style="516"/>
  </cols>
  <sheetData>
    <row r="1" spans="1:14" ht="21">
      <c r="A1" s="825" t="s">
        <v>840</v>
      </c>
    </row>
    <row r="3" spans="1:14">
      <c r="A3" s="517" t="s">
        <v>60</v>
      </c>
    </row>
    <row r="5" spans="1:14">
      <c r="A5" s="518" t="s">
        <v>740</v>
      </c>
      <c r="B5" s="519"/>
      <c r="C5" s="519"/>
      <c r="D5" s="520"/>
      <c r="E5" s="520"/>
      <c r="F5" s="521"/>
      <c r="G5" s="521"/>
      <c r="H5" s="521"/>
      <c r="I5" s="521"/>
      <c r="J5" s="521"/>
      <c r="K5" s="521"/>
      <c r="L5" s="521"/>
      <c r="M5" s="521"/>
    </row>
    <row r="6" spans="1:14" ht="24.75" customHeight="1">
      <c r="A6" s="518"/>
      <c r="B6" s="865" t="s">
        <v>741</v>
      </c>
      <c r="C6" s="865"/>
      <c r="D6" s="865" t="s">
        <v>742</v>
      </c>
      <c r="E6" s="865"/>
      <c r="F6" s="866" t="s">
        <v>743</v>
      </c>
      <c r="G6" s="866"/>
      <c r="H6" s="866" t="s">
        <v>744</v>
      </c>
      <c r="I6" s="866"/>
      <c r="J6" s="866"/>
      <c r="K6" s="866"/>
      <c r="L6" s="522"/>
      <c r="M6" s="523"/>
    </row>
    <row r="7" spans="1:14" ht="48.75" thickBot="1">
      <c r="A7" s="524"/>
      <c r="B7" s="525" t="s">
        <v>759</v>
      </c>
      <c r="C7" s="525" t="s">
        <v>760</v>
      </c>
      <c r="D7" s="525" t="s">
        <v>747</v>
      </c>
      <c r="E7" s="525" t="s">
        <v>748</v>
      </c>
      <c r="F7" s="525" t="s">
        <v>745</v>
      </c>
      <c r="G7" s="525" t="s">
        <v>746</v>
      </c>
      <c r="H7" s="525" t="s">
        <v>749</v>
      </c>
      <c r="I7" s="525" t="s">
        <v>750</v>
      </c>
      <c r="J7" s="526" t="s">
        <v>751</v>
      </c>
      <c r="K7" s="527" t="s">
        <v>83</v>
      </c>
      <c r="L7" s="528" t="s">
        <v>752</v>
      </c>
      <c r="M7" s="529" t="s">
        <v>753</v>
      </c>
    </row>
    <row r="8" spans="1:14" s="532" customFormat="1">
      <c r="A8" s="530" t="s">
        <v>281</v>
      </c>
      <c r="B8" s="651">
        <v>61775574</v>
      </c>
      <c r="C8" s="643">
        <v>229874860</v>
      </c>
      <c r="D8" s="644">
        <v>0</v>
      </c>
      <c r="E8" s="644">
        <v>0</v>
      </c>
      <c r="F8" s="644">
        <v>0</v>
      </c>
      <c r="G8" s="644">
        <v>0</v>
      </c>
      <c r="H8" s="645">
        <v>9039996</v>
      </c>
      <c r="I8" s="644">
        <v>0</v>
      </c>
      <c r="J8" s="644">
        <v>0</v>
      </c>
      <c r="K8" s="644">
        <f>H8+I8+J8</f>
        <v>9039996</v>
      </c>
      <c r="L8" s="646"/>
      <c r="M8" s="647">
        <v>0.02</v>
      </c>
      <c r="N8" s="531"/>
    </row>
    <row r="9" spans="1:14" s="535" customFormat="1">
      <c r="A9" s="533" t="s">
        <v>83</v>
      </c>
      <c r="B9" s="648">
        <f>B8</f>
        <v>61775574</v>
      </c>
      <c r="C9" s="648">
        <f>C8</f>
        <v>229874860</v>
      </c>
      <c r="D9" s="648">
        <f t="shared" ref="D9:K9" si="0">+D8</f>
        <v>0</v>
      </c>
      <c r="E9" s="648">
        <f t="shared" si="0"/>
        <v>0</v>
      </c>
      <c r="F9" s="648">
        <f t="shared" si="0"/>
        <v>0</v>
      </c>
      <c r="G9" s="648">
        <f t="shared" si="0"/>
        <v>0</v>
      </c>
      <c r="H9" s="648">
        <f>H8</f>
        <v>9039996</v>
      </c>
      <c r="I9" s="648">
        <f t="shared" si="0"/>
        <v>0</v>
      </c>
      <c r="J9" s="648">
        <f t="shared" si="0"/>
        <v>0</v>
      </c>
      <c r="K9" s="648">
        <f t="shared" si="0"/>
        <v>9039996</v>
      </c>
      <c r="L9" s="649"/>
      <c r="M9" s="650">
        <v>0.02</v>
      </c>
      <c r="N9" s="534"/>
    </row>
    <row r="10" spans="1:14">
      <c r="A10" s="536"/>
      <c r="B10" s="537"/>
      <c r="C10" s="537"/>
      <c r="D10" s="521"/>
      <c r="E10" s="521"/>
      <c r="F10" s="521"/>
      <c r="G10" s="521"/>
      <c r="H10" s="521"/>
      <c r="I10" s="521"/>
      <c r="J10" s="521"/>
      <c r="K10" s="521"/>
      <c r="L10" s="521"/>
      <c r="M10" s="521"/>
    </row>
    <row r="11" spans="1:14">
      <c r="A11" s="536" t="s">
        <v>754</v>
      </c>
      <c r="B11" s="537"/>
      <c r="C11" s="537"/>
      <c r="D11" s="521"/>
      <c r="E11" s="521"/>
      <c r="F11" s="521"/>
      <c r="G11" s="521"/>
      <c r="H11" s="521"/>
      <c r="I11" s="521"/>
      <c r="J11" s="521"/>
      <c r="K11" s="521"/>
      <c r="L11" s="521"/>
      <c r="M11" s="521"/>
    </row>
    <row r="12" spans="1:14">
      <c r="A12" s="536"/>
      <c r="B12" s="537"/>
      <c r="C12" s="537"/>
      <c r="D12" s="521"/>
      <c r="E12" s="521"/>
      <c r="F12" s="521"/>
      <c r="G12" s="521"/>
      <c r="H12" s="521"/>
      <c r="I12" s="521"/>
      <c r="J12" s="521"/>
      <c r="K12" s="521"/>
      <c r="L12" s="521"/>
      <c r="M12" s="521"/>
    </row>
    <row r="13" spans="1:14">
      <c r="A13" s="536"/>
      <c r="B13" s="537"/>
      <c r="C13" s="537"/>
      <c r="D13" s="521"/>
      <c r="E13" s="521"/>
      <c r="F13" s="521"/>
      <c r="G13" s="521"/>
      <c r="H13" s="521"/>
      <c r="I13" s="521"/>
      <c r="J13" s="521"/>
      <c r="K13" s="521"/>
      <c r="L13" s="521"/>
      <c r="M13" s="521"/>
    </row>
    <row r="14" spans="1:14">
      <c r="A14" s="540" t="s">
        <v>755</v>
      </c>
      <c r="B14" s="537"/>
      <c r="C14" s="537"/>
      <c r="D14" s="521"/>
      <c r="E14" s="521"/>
      <c r="F14" s="521"/>
      <c r="G14" s="521"/>
      <c r="H14" s="521"/>
      <c r="I14" s="521"/>
      <c r="J14" s="521"/>
      <c r="K14" s="521"/>
      <c r="L14" s="521"/>
      <c r="M14" s="521"/>
    </row>
    <row r="15" spans="1:14" ht="13.5" thickBot="1">
      <c r="A15" s="538"/>
      <c r="B15" s="524"/>
      <c r="C15" s="524"/>
      <c r="E15" s="521"/>
      <c r="F15" s="521"/>
      <c r="G15" s="521"/>
      <c r="H15" s="521"/>
      <c r="I15" s="521"/>
      <c r="J15" s="521"/>
      <c r="K15" s="521"/>
      <c r="L15" s="521"/>
      <c r="M15" s="521"/>
    </row>
    <row r="16" spans="1:14">
      <c r="A16" s="536" t="s">
        <v>756</v>
      </c>
      <c r="B16" s="537"/>
      <c r="C16" s="643">
        <v>130868783</v>
      </c>
      <c r="D16" s="539"/>
      <c r="E16" s="521"/>
      <c r="F16" s="521"/>
      <c r="G16" s="521"/>
      <c r="H16" s="521"/>
      <c r="I16" s="521"/>
      <c r="J16" s="521"/>
      <c r="K16" s="521"/>
      <c r="L16" s="521"/>
      <c r="M16" s="521"/>
    </row>
    <row r="17" spans="1:13">
      <c r="A17" s="536" t="s">
        <v>757</v>
      </c>
      <c r="B17" s="537"/>
      <c r="C17" s="513">
        <v>0.02</v>
      </c>
      <c r="D17" s="513"/>
      <c r="E17" s="521"/>
      <c r="F17" s="521"/>
      <c r="G17" s="521"/>
      <c r="H17" s="521"/>
      <c r="I17" s="521"/>
      <c r="J17" s="521"/>
      <c r="K17" s="521"/>
      <c r="L17" s="521"/>
      <c r="M17" s="521"/>
    </row>
    <row r="18" spans="1:13">
      <c r="A18" s="536" t="s">
        <v>758</v>
      </c>
      <c r="B18" s="537"/>
      <c r="C18" s="537"/>
      <c r="D18" s="514"/>
      <c r="E18" s="521"/>
      <c r="F18" s="521"/>
      <c r="G18" s="521"/>
      <c r="H18" s="521"/>
      <c r="I18" s="521"/>
      <c r="J18" s="521"/>
      <c r="K18" s="521"/>
      <c r="L18" s="521"/>
      <c r="M18" s="521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  <ignoredErrors>
    <ignoredError sqref="H9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FF10A-4068-4038-8012-3D48A12FCFAA}">
  <sheetPr>
    <tabColor rgb="FF92D050"/>
  </sheetPr>
  <dimension ref="A1:D8"/>
  <sheetViews>
    <sheetView showGridLines="0" workbookViewId="0"/>
  </sheetViews>
  <sheetFormatPr baseColWidth="10" defaultRowHeight="12.75"/>
  <cols>
    <col min="1" max="1" width="50" customWidth="1"/>
  </cols>
  <sheetData>
    <row r="1" spans="1:4" ht="21">
      <c r="A1" s="825" t="s">
        <v>970</v>
      </c>
    </row>
    <row r="3" spans="1:4" ht="24.75" thickBot="1">
      <c r="A3" s="272" t="s">
        <v>970</v>
      </c>
      <c r="B3" s="867" t="s">
        <v>971</v>
      </c>
      <c r="C3" s="867" t="s">
        <v>972</v>
      </c>
      <c r="D3" s="868" t="s">
        <v>973</v>
      </c>
    </row>
    <row r="4" spans="1:4">
      <c r="A4" s="91" t="s">
        <v>974</v>
      </c>
      <c r="B4" s="870">
        <v>44</v>
      </c>
      <c r="C4" s="870">
        <v>79975.914019999997</v>
      </c>
      <c r="D4" s="870">
        <v>6069.0952699999998</v>
      </c>
    </row>
    <row r="5" spans="1:4" ht="24">
      <c r="A5" s="824" t="s">
        <v>975</v>
      </c>
      <c r="B5" s="870">
        <v>7</v>
      </c>
      <c r="C5" s="870">
        <v>9480.9262400000007</v>
      </c>
      <c r="D5" s="870">
        <v>411.96168</v>
      </c>
    </row>
    <row r="6" spans="1:4">
      <c r="A6" s="824" t="s">
        <v>976</v>
      </c>
      <c r="B6" s="871">
        <v>5</v>
      </c>
      <c r="C6" s="870">
        <v>4767.3045700000002</v>
      </c>
      <c r="D6" s="870">
        <v>259.78354999999999</v>
      </c>
    </row>
    <row r="7" spans="1:4">
      <c r="A7" s="275" t="s">
        <v>977</v>
      </c>
      <c r="B7" s="872">
        <v>1</v>
      </c>
      <c r="C7" s="872">
        <v>812.62666000000002</v>
      </c>
      <c r="D7" s="872">
        <v>94.47345</v>
      </c>
    </row>
    <row r="8" spans="1:4">
      <c r="A8" s="869" t="s">
        <v>5</v>
      </c>
      <c r="B8" s="873">
        <f>SUM(B4:B7)</f>
        <v>57</v>
      </c>
      <c r="C8" s="873">
        <f>SUM(C4:C7)</f>
        <v>95036.771489999999</v>
      </c>
      <c r="D8" s="873">
        <f>SUM(D4:D7)</f>
        <v>6835.3139500000007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15"/>
  <sheetViews>
    <sheetView zoomScaleNormal="100" workbookViewId="0"/>
  </sheetViews>
  <sheetFormatPr baseColWidth="10" defaultColWidth="11" defaultRowHeight="12"/>
  <cols>
    <col min="1" max="1" width="26" style="308" customWidth="1"/>
    <col min="2" max="5" width="11.25" style="308" customWidth="1"/>
    <col min="6" max="6" width="16.375" style="18" customWidth="1"/>
    <col min="7" max="16384" width="11" style="18"/>
  </cols>
  <sheetData>
    <row r="1" spans="1:7" ht="21">
      <c r="A1" s="825" t="s">
        <v>182</v>
      </c>
      <c r="B1" s="76"/>
    </row>
    <row r="3" spans="1:7">
      <c r="A3" s="15"/>
      <c r="B3" s="98" t="s">
        <v>264</v>
      </c>
      <c r="C3" s="98" t="s">
        <v>1</v>
      </c>
      <c r="D3" s="99" t="s">
        <v>264</v>
      </c>
      <c r="E3" s="99" t="s">
        <v>1</v>
      </c>
      <c r="F3" s="15"/>
      <c r="G3" s="15"/>
    </row>
    <row r="4" spans="1:7" ht="12.75" thickBot="1">
      <c r="A4" s="464" t="s">
        <v>133</v>
      </c>
      <c r="B4" s="100" t="s">
        <v>834</v>
      </c>
      <c r="C4" s="100" t="s">
        <v>834</v>
      </c>
      <c r="D4" s="101" t="s">
        <v>790</v>
      </c>
      <c r="E4" s="101" t="s">
        <v>790</v>
      </c>
      <c r="F4" s="61"/>
    </row>
    <row r="5" spans="1:7" s="308" customFormat="1">
      <c r="A5" s="91" t="s">
        <v>233</v>
      </c>
      <c r="B5" s="331">
        <v>0.19500000000000001</v>
      </c>
      <c r="C5" s="552">
        <v>1665</v>
      </c>
      <c r="D5" s="331">
        <v>0.19500000000000001</v>
      </c>
      <c r="E5" s="280">
        <v>1677</v>
      </c>
      <c r="F5" s="61"/>
    </row>
    <row r="6" spans="1:7" s="265" customFormat="1">
      <c r="A6" s="463" t="s">
        <v>124</v>
      </c>
      <c r="B6" s="332">
        <v>0.15140000000000001</v>
      </c>
      <c r="C6" s="73">
        <v>192</v>
      </c>
      <c r="D6" s="332">
        <v>0.15140000000000001</v>
      </c>
      <c r="E6" s="73">
        <v>191</v>
      </c>
      <c r="F6" s="83"/>
      <c r="G6" s="102"/>
    </row>
    <row r="7" spans="1:7" s="308" customFormat="1">
      <c r="A7" s="558" t="s">
        <v>791</v>
      </c>
      <c r="B7" s="332">
        <v>0.19769999999999999</v>
      </c>
      <c r="C7" s="73">
        <v>130</v>
      </c>
      <c r="D7" s="332">
        <v>0.19700000000000001</v>
      </c>
      <c r="E7" s="73">
        <v>63</v>
      </c>
      <c r="F7" s="83"/>
      <c r="G7" s="102"/>
    </row>
    <row r="8" spans="1:7" s="308" customFormat="1">
      <c r="A8" s="558" t="s">
        <v>792</v>
      </c>
      <c r="B8" s="332"/>
      <c r="C8" s="73">
        <v>77</v>
      </c>
      <c r="D8" s="332"/>
      <c r="E8" s="73">
        <v>60</v>
      </c>
      <c r="F8" s="83"/>
      <c r="G8" s="102"/>
    </row>
    <row r="9" spans="1:7">
      <c r="A9" s="463" t="s">
        <v>7</v>
      </c>
      <c r="B9" s="463"/>
      <c r="C9" s="552">
        <v>85</v>
      </c>
      <c r="D9" s="546"/>
      <c r="E9" s="280">
        <v>102</v>
      </c>
      <c r="F9" s="83"/>
      <c r="G9" s="102"/>
    </row>
    <row r="10" spans="1:7">
      <c r="A10" s="103" t="s">
        <v>5</v>
      </c>
      <c r="B10" s="103"/>
      <c r="C10" s="86">
        <f>SUM(C5:C9)</f>
        <v>2149</v>
      </c>
      <c r="D10" s="86"/>
      <c r="E10" s="314">
        <f>SUM(E5:E9)</f>
        <v>2093</v>
      </c>
      <c r="F10" s="61"/>
      <c r="G10" s="102"/>
    </row>
    <row r="12" spans="1:7">
      <c r="A12" s="308" t="s">
        <v>240</v>
      </c>
    </row>
    <row r="13" spans="1:7">
      <c r="A13" s="308" t="s">
        <v>239</v>
      </c>
    </row>
    <row r="14" spans="1:7">
      <c r="A14" s="308" t="s">
        <v>238</v>
      </c>
    </row>
    <row r="15" spans="1:7">
      <c r="A15" s="308" t="s">
        <v>640</v>
      </c>
    </row>
  </sheetData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Footer>&amp;R&amp;A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rgb="FF92D050"/>
    <pageSetUpPr fitToPage="1"/>
  </sheetPr>
  <dimension ref="A1:O146"/>
  <sheetViews>
    <sheetView showGridLines="0" zoomScaleNormal="100" workbookViewId="0"/>
  </sheetViews>
  <sheetFormatPr baseColWidth="10" defaultColWidth="11" defaultRowHeight="12"/>
  <cols>
    <col min="1" max="1" width="52.625" style="308" customWidth="1"/>
    <col min="2" max="2" width="11.875" style="308" customWidth="1"/>
    <col min="3" max="3" width="8.625" style="308" customWidth="1"/>
    <col min="4" max="5" width="11.75" style="18" customWidth="1"/>
    <col min="6" max="7" width="11" style="18"/>
    <col min="8" max="8" width="9.875" style="18" bestFit="1" customWidth="1"/>
    <col min="9" max="9" width="19.75" style="18" bestFit="1" customWidth="1"/>
    <col min="10" max="16384" width="11" style="18"/>
  </cols>
  <sheetData>
    <row r="1" spans="1:3" ht="21">
      <c r="A1" s="825" t="s">
        <v>265</v>
      </c>
    </row>
    <row r="2" spans="1:3" s="308" customFormat="1">
      <c r="A2" s="460" t="s">
        <v>266</v>
      </c>
    </row>
    <row r="3" spans="1:3" s="308" customFormat="1">
      <c r="A3" s="478"/>
    </row>
    <row r="4" spans="1:3" s="308" customFormat="1">
      <c r="A4" s="478" t="s">
        <v>924</v>
      </c>
    </row>
    <row r="5" spans="1:3" s="308" customFormat="1">
      <c r="A5" s="478" t="s">
        <v>783</v>
      </c>
    </row>
    <row r="6" spans="1:3" s="308" customFormat="1">
      <c r="A6" s="478" t="s">
        <v>793</v>
      </c>
    </row>
    <row r="9" spans="1:3" ht="12.75" thickBot="1">
      <c r="A9" s="1" t="s">
        <v>184</v>
      </c>
      <c r="B9" s="2">
        <v>43465</v>
      </c>
      <c r="C9" s="3">
        <v>43100</v>
      </c>
    </row>
    <row r="10" spans="1:3">
      <c r="A10" s="4" t="s">
        <v>159</v>
      </c>
      <c r="B10" s="587">
        <v>6394</v>
      </c>
      <c r="C10" s="5">
        <v>6394</v>
      </c>
    </row>
    <row r="11" spans="1:3">
      <c r="A11" s="4" t="s">
        <v>8</v>
      </c>
      <c r="B11" s="587">
        <v>1587</v>
      </c>
      <c r="C11" s="5">
        <v>1587</v>
      </c>
    </row>
    <row r="12" spans="1:3">
      <c r="A12" s="4" t="s">
        <v>9</v>
      </c>
      <c r="B12" s="587">
        <v>1151</v>
      </c>
      <c r="C12" s="5">
        <v>1087</v>
      </c>
    </row>
    <row r="13" spans="1:3" s="308" customFormat="1">
      <c r="A13" s="4" t="s">
        <v>10</v>
      </c>
      <c r="B13" s="587">
        <v>60</v>
      </c>
      <c r="C13" s="5">
        <v>43</v>
      </c>
    </row>
    <row r="14" spans="1:3" s="308" customFormat="1">
      <c r="A14" s="4" t="s">
        <v>776</v>
      </c>
      <c r="B14" s="587">
        <v>550</v>
      </c>
      <c r="C14" s="5">
        <v>150</v>
      </c>
    </row>
    <row r="15" spans="1:3">
      <c r="A15" s="6" t="s">
        <v>11</v>
      </c>
      <c r="B15" s="587">
        <v>11843</v>
      </c>
      <c r="C15" s="5">
        <v>10628</v>
      </c>
    </row>
    <row r="16" spans="1:3">
      <c r="A16" s="7" t="s">
        <v>12</v>
      </c>
      <c r="B16" s="8">
        <f>SUM(B10:B15)</f>
        <v>21585</v>
      </c>
      <c r="C16" s="9">
        <f>SUM(C10:C15)</f>
        <v>19889</v>
      </c>
    </row>
    <row r="17" spans="1:3">
      <c r="A17" s="4"/>
      <c r="B17" s="587"/>
      <c r="C17" s="5"/>
    </row>
    <row r="18" spans="1:3">
      <c r="A18" s="10" t="s">
        <v>125</v>
      </c>
      <c r="B18" s="587"/>
      <c r="C18" s="5"/>
    </row>
    <row r="19" spans="1:3">
      <c r="A19" s="4" t="s">
        <v>13</v>
      </c>
      <c r="B19" s="587">
        <v>-114</v>
      </c>
      <c r="C19" s="5">
        <v>-116</v>
      </c>
    </row>
    <row r="20" spans="1:3" s="308" customFormat="1">
      <c r="A20" s="4" t="s">
        <v>105</v>
      </c>
      <c r="B20" s="587">
        <v>-1151</v>
      </c>
      <c r="C20" s="5">
        <v>-1087</v>
      </c>
    </row>
    <row r="21" spans="1:3">
      <c r="A21" s="4" t="s">
        <v>235</v>
      </c>
      <c r="B21" s="587">
        <v>-334</v>
      </c>
      <c r="C21" s="5">
        <v>-337</v>
      </c>
    </row>
    <row r="22" spans="1:3" s="308" customFormat="1">
      <c r="A22" s="4" t="s">
        <v>777</v>
      </c>
      <c r="B22" s="587">
        <v>-550</v>
      </c>
      <c r="C22" s="5">
        <v>-150</v>
      </c>
    </row>
    <row r="23" spans="1:3" s="308" customFormat="1">
      <c r="A23" s="4" t="s">
        <v>236</v>
      </c>
      <c r="B23" s="587">
        <v>0</v>
      </c>
      <c r="C23" s="5">
        <v>-72</v>
      </c>
    </row>
    <row r="24" spans="1:3">
      <c r="A24" s="4" t="s">
        <v>856</v>
      </c>
      <c r="B24" s="587">
        <v>-129</v>
      </c>
      <c r="C24" s="5">
        <v>0</v>
      </c>
    </row>
    <row r="25" spans="1:3">
      <c r="A25" s="4" t="s">
        <v>857</v>
      </c>
      <c r="B25" s="587">
        <v>-39</v>
      </c>
      <c r="C25" s="5">
        <v>-38</v>
      </c>
    </row>
    <row r="26" spans="1:3">
      <c r="A26" s="466" t="s">
        <v>243</v>
      </c>
      <c r="B26" s="588">
        <f>SUM(B16:B25)</f>
        <v>19268</v>
      </c>
      <c r="C26" s="467">
        <f>SUM(C16:C25)</f>
        <v>18089</v>
      </c>
    </row>
    <row r="27" spans="1:3" s="308" customFormat="1" ht="14.25">
      <c r="A27" s="4" t="s">
        <v>794</v>
      </c>
      <c r="B27" s="587">
        <v>677</v>
      </c>
      <c r="C27" s="5">
        <v>392</v>
      </c>
    </row>
    <row r="28" spans="1:3" ht="14.25">
      <c r="A28" s="6" t="s">
        <v>185</v>
      </c>
      <c r="B28" s="587">
        <v>798</v>
      </c>
      <c r="C28" s="5">
        <v>797</v>
      </c>
    </row>
    <row r="29" spans="1:3">
      <c r="A29" s="7" t="s">
        <v>14</v>
      </c>
      <c r="B29" s="8">
        <f>B26+B27+B28</f>
        <v>20743</v>
      </c>
      <c r="C29" s="9">
        <f>C26+C27+C28</f>
        <v>19278</v>
      </c>
    </row>
    <row r="30" spans="1:3" s="308" customFormat="1">
      <c r="A30" s="4"/>
      <c r="B30" s="587"/>
      <c r="C30" s="5"/>
    </row>
    <row r="31" spans="1:3">
      <c r="A31" s="10" t="s">
        <v>15</v>
      </c>
      <c r="B31" s="587"/>
      <c r="C31" s="5"/>
    </row>
    <row r="32" spans="1:3">
      <c r="A32" s="4" t="s">
        <v>127</v>
      </c>
      <c r="B32" s="587">
        <v>2338</v>
      </c>
      <c r="C32" s="5">
        <v>2254</v>
      </c>
    </row>
    <row r="33" spans="1:3">
      <c r="A33" s="4" t="s">
        <v>237</v>
      </c>
      <c r="B33" s="587">
        <v>-43</v>
      </c>
      <c r="C33" s="5">
        <v>-43</v>
      </c>
    </row>
    <row r="34" spans="1:3">
      <c r="A34" s="7" t="s">
        <v>128</v>
      </c>
      <c r="B34" s="8">
        <f>SUM(B32:B33)</f>
        <v>2295</v>
      </c>
      <c r="C34" s="9">
        <f>SUM(C32:C33)</f>
        <v>2211</v>
      </c>
    </row>
    <row r="35" spans="1:3">
      <c r="A35" s="6"/>
      <c r="B35" s="587"/>
      <c r="C35" s="5"/>
    </row>
    <row r="36" spans="1:3">
      <c r="A36" s="7" t="s">
        <v>16</v>
      </c>
      <c r="B36" s="8">
        <f>+B34+B29</f>
        <v>23038</v>
      </c>
      <c r="C36" s="9">
        <f>+C34+C29</f>
        <v>21489</v>
      </c>
    </row>
    <row r="37" spans="1:3" ht="14.25">
      <c r="A37" s="11" t="s">
        <v>209</v>
      </c>
      <c r="B37" s="589"/>
      <c r="C37" s="12"/>
    </row>
    <row r="38" spans="1:3" s="308" customFormat="1">
      <c r="A38" s="13"/>
      <c r="B38" s="14"/>
      <c r="C38" s="15"/>
    </row>
    <row r="39" spans="1:3" ht="12.75" thickBot="1">
      <c r="A39" s="16" t="s">
        <v>241</v>
      </c>
      <c r="B39" s="590">
        <v>43465</v>
      </c>
      <c r="C39" s="17">
        <v>43100</v>
      </c>
    </row>
    <row r="40" spans="1:3">
      <c r="A40" s="308" t="s">
        <v>655</v>
      </c>
      <c r="B40" s="591">
        <v>113128</v>
      </c>
      <c r="C40" s="19">
        <v>103088</v>
      </c>
    </row>
    <row r="41" spans="1:3">
      <c r="A41" s="308" t="s">
        <v>252</v>
      </c>
      <c r="B41" s="591">
        <v>891</v>
      </c>
      <c r="C41" s="19">
        <v>933</v>
      </c>
    </row>
    <row r="42" spans="1:3">
      <c r="A42" s="308" t="s">
        <v>183</v>
      </c>
      <c r="B42" s="591">
        <v>7902</v>
      </c>
      <c r="C42" s="19">
        <v>7430</v>
      </c>
    </row>
    <row r="43" spans="1:3" s="308" customFormat="1">
      <c r="A43" s="21" t="s">
        <v>20</v>
      </c>
      <c r="B43" s="592">
        <v>8948</v>
      </c>
      <c r="C43" s="262">
        <v>8709</v>
      </c>
    </row>
    <row r="44" spans="1:3" s="308" customFormat="1">
      <c r="A44" s="23" t="s">
        <v>241</v>
      </c>
      <c r="B44" s="593">
        <f>B40+B41+B42+B43</f>
        <v>130869</v>
      </c>
      <c r="C44" s="263">
        <f>C40+C41+C42+C43</f>
        <v>120160</v>
      </c>
    </row>
    <row r="45" spans="1:3" s="308" customFormat="1">
      <c r="A45" s="24"/>
      <c r="B45" s="594"/>
      <c r="C45" s="25"/>
    </row>
    <row r="46" spans="1:3" s="308" customFormat="1">
      <c r="A46" s="333" t="s">
        <v>258</v>
      </c>
      <c r="B46" s="591">
        <f>B44*4.5/100</f>
        <v>5889.1049999999996</v>
      </c>
      <c r="C46" s="19">
        <f>C44*4.5/100</f>
        <v>5407.2</v>
      </c>
    </row>
    <row r="47" spans="1:3" s="308" customFormat="1">
      <c r="A47" s="333" t="s">
        <v>259</v>
      </c>
      <c r="B47" s="591"/>
      <c r="C47" s="19"/>
    </row>
    <row r="48" spans="1:3" s="308" customFormat="1">
      <c r="A48" s="333" t="s">
        <v>260</v>
      </c>
      <c r="B48" s="591">
        <f>B44*2.5/100</f>
        <v>3271.7249999999999</v>
      </c>
      <c r="C48" s="19">
        <f>C44*2.5/100</f>
        <v>3004</v>
      </c>
    </row>
    <row r="49" spans="1:15" s="308" customFormat="1">
      <c r="A49" s="333" t="s">
        <v>796</v>
      </c>
      <c r="B49" s="591">
        <f>B44*3/100</f>
        <v>3926.07</v>
      </c>
      <c r="C49" s="19">
        <f>C44*3/100</f>
        <v>3604.8</v>
      </c>
    </row>
    <row r="50" spans="1:15" s="308" customFormat="1">
      <c r="A50" s="333" t="s">
        <v>795</v>
      </c>
      <c r="B50" s="591">
        <f>B44*2/100</f>
        <v>2617.38</v>
      </c>
      <c r="C50" s="19">
        <f>C44*2/100</f>
        <v>2403.1999999999998</v>
      </c>
    </row>
    <row r="51" spans="1:15">
      <c r="A51" s="333" t="s">
        <v>261</v>
      </c>
      <c r="B51" s="591">
        <f>SUM(B48:B50)</f>
        <v>9815.1749999999993</v>
      </c>
      <c r="C51" s="19">
        <f>SUM(C48:C50)</f>
        <v>9012</v>
      </c>
    </row>
    <row r="52" spans="1:15">
      <c r="A52" s="333" t="s">
        <v>262</v>
      </c>
      <c r="B52" s="591">
        <f>B26-B46-B51</f>
        <v>3563.7200000000012</v>
      </c>
      <c r="C52" s="19">
        <f>C26-C46-C51</f>
        <v>3669.7999999999993</v>
      </c>
    </row>
    <row r="53" spans="1:15">
      <c r="A53" s="24"/>
      <c r="B53" s="594"/>
      <c r="C53" s="25"/>
    </row>
    <row r="54" spans="1:15">
      <c r="A54" s="10" t="s">
        <v>96</v>
      </c>
      <c r="B54" s="595">
        <v>0.17599999999999999</v>
      </c>
      <c r="C54" s="26">
        <v>0.17879999999999999</v>
      </c>
    </row>
    <row r="55" spans="1:15">
      <c r="A55" s="4" t="s">
        <v>656</v>
      </c>
      <c r="B55" s="595">
        <v>0.1585</v>
      </c>
      <c r="C55" s="26">
        <v>0.16039999999999999</v>
      </c>
    </row>
    <row r="56" spans="1:15" s="27" customFormat="1">
      <c r="A56" s="4" t="s">
        <v>657</v>
      </c>
      <c r="B56" s="595">
        <v>1.7500000000000002E-2</v>
      </c>
      <c r="C56" s="26">
        <v>1.84E-2</v>
      </c>
      <c r="J56" s="18"/>
      <c r="K56" s="18"/>
      <c r="L56" s="18"/>
      <c r="M56" s="18"/>
      <c r="N56" s="18"/>
      <c r="O56" s="18"/>
    </row>
    <row r="57" spans="1:15" s="27" customFormat="1">
      <c r="A57" s="15" t="s">
        <v>166</v>
      </c>
      <c r="B57" s="595">
        <v>0.1472</v>
      </c>
      <c r="C57" s="26">
        <v>0.15049999999999999</v>
      </c>
      <c r="J57" s="18"/>
      <c r="K57" s="18"/>
      <c r="L57" s="18"/>
      <c r="M57" s="18"/>
      <c r="N57" s="18"/>
      <c r="O57" s="18"/>
    </row>
    <row r="58" spans="1:15" s="27" customFormat="1">
      <c r="A58" s="15" t="s">
        <v>679</v>
      </c>
      <c r="B58" s="596">
        <v>7.6799999999999993E-2</v>
      </c>
      <c r="C58" s="548">
        <v>7.3700000000000002E-2</v>
      </c>
      <c r="J58" s="18"/>
      <c r="K58" s="18"/>
      <c r="L58" s="18"/>
      <c r="M58" s="18"/>
      <c r="N58" s="18"/>
      <c r="O58" s="18"/>
    </row>
    <row r="59" spans="1:15">
      <c r="A59" s="460"/>
      <c r="B59" s="460"/>
      <c r="C59" s="460"/>
      <c r="D59" s="28"/>
      <c r="E59" s="28"/>
    </row>
    <row r="60" spans="1:15">
      <c r="A60" s="27"/>
      <c r="B60" s="27"/>
      <c r="C60" s="27"/>
      <c r="D60" s="31"/>
      <c r="E60" s="31"/>
      <c r="F60" s="15"/>
      <c r="G60" s="15"/>
    </row>
    <row r="61" spans="1:15">
      <c r="A61" s="27"/>
      <c r="B61" s="27"/>
      <c r="C61" s="27"/>
      <c r="D61" s="32"/>
      <c r="E61" s="32"/>
      <c r="F61" s="15"/>
      <c r="G61" s="15"/>
    </row>
    <row r="62" spans="1:15">
      <c r="C62" s="28"/>
      <c r="D62" s="32"/>
      <c r="E62" s="32"/>
      <c r="F62" s="15"/>
      <c r="G62" s="15"/>
    </row>
    <row r="63" spans="1:15">
      <c r="A63" s="29"/>
      <c r="B63" s="30"/>
      <c r="C63" s="30"/>
      <c r="D63" s="32"/>
      <c r="E63" s="32"/>
      <c r="F63" s="15"/>
      <c r="G63" s="15"/>
    </row>
    <row r="64" spans="1:15">
      <c r="A64" s="15"/>
      <c r="B64" s="15"/>
      <c r="C64" s="30"/>
      <c r="D64" s="32"/>
      <c r="E64" s="32"/>
      <c r="F64" s="15"/>
      <c r="G64" s="15"/>
    </row>
    <row r="65" spans="1:7">
      <c r="A65" s="33"/>
      <c r="B65" s="33"/>
      <c r="C65" s="34"/>
      <c r="D65" s="41"/>
      <c r="E65" s="41"/>
      <c r="F65" s="15"/>
      <c r="G65" s="15"/>
    </row>
    <row r="66" spans="1:7">
      <c r="A66" s="35"/>
      <c r="B66" s="36"/>
      <c r="C66" s="32"/>
      <c r="D66" s="41"/>
      <c r="E66" s="41"/>
      <c r="F66" s="15"/>
      <c r="G66" s="15"/>
    </row>
    <row r="67" spans="1:7">
      <c r="A67" s="37"/>
      <c r="B67" s="36"/>
      <c r="C67" s="32"/>
      <c r="D67" s="41"/>
      <c r="E67" s="41"/>
      <c r="F67" s="15"/>
      <c r="G67" s="15"/>
    </row>
    <row r="68" spans="1:7">
      <c r="A68" s="39"/>
      <c r="B68" s="40"/>
      <c r="C68" s="41"/>
      <c r="D68" s="41"/>
      <c r="E68" s="41"/>
      <c r="F68" s="15"/>
      <c r="G68" s="15"/>
    </row>
    <row r="69" spans="1:7">
      <c r="A69" s="42"/>
      <c r="B69" s="40"/>
      <c r="C69" s="41"/>
      <c r="D69" s="41"/>
      <c r="E69" s="41"/>
      <c r="F69" s="15"/>
      <c r="G69" s="15"/>
    </row>
    <row r="70" spans="1:7">
      <c r="A70" s="42"/>
      <c r="B70" s="40"/>
      <c r="C70" s="41"/>
      <c r="D70" s="46"/>
      <c r="E70" s="46"/>
      <c r="F70" s="15"/>
      <c r="G70" s="15"/>
    </row>
    <row r="71" spans="1:7">
      <c r="A71" s="42"/>
      <c r="B71" s="40"/>
      <c r="C71" s="41"/>
      <c r="D71" s="46"/>
      <c r="E71" s="46"/>
      <c r="F71" s="15"/>
      <c r="G71" s="15"/>
    </row>
    <row r="72" spans="1:7">
      <c r="A72" s="43"/>
      <c r="B72" s="40"/>
      <c r="C72" s="41"/>
      <c r="D72" s="46"/>
      <c r="E72" s="46"/>
      <c r="F72" s="15"/>
      <c r="G72" s="15"/>
    </row>
    <row r="73" spans="1:7">
      <c r="A73" s="44"/>
      <c r="B73" s="45"/>
      <c r="C73" s="46"/>
      <c r="D73" s="46"/>
      <c r="E73" s="46"/>
      <c r="F73" s="15"/>
      <c r="G73" s="15"/>
    </row>
    <row r="74" spans="1:7">
      <c r="A74" s="47"/>
      <c r="B74" s="40"/>
      <c r="C74" s="46"/>
      <c r="D74" s="46"/>
      <c r="E74" s="46"/>
      <c r="F74" s="15"/>
      <c r="G74" s="15"/>
    </row>
    <row r="75" spans="1:7">
      <c r="A75" s="48"/>
      <c r="B75" s="33"/>
      <c r="C75" s="46"/>
      <c r="D75" s="46"/>
      <c r="E75" s="46"/>
      <c r="F75" s="15"/>
      <c r="G75" s="15"/>
    </row>
    <row r="76" spans="1:7">
      <c r="A76" s="42"/>
      <c r="B76" s="40"/>
      <c r="C76" s="46"/>
      <c r="D76" s="49"/>
      <c r="E76" s="49"/>
      <c r="F76" s="15"/>
      <c r="G76" s="15"/>
    </row>
    <row r="77" spans="1:7">
      <c r="A77" s="42"/>
      <c r="B77" s="40"/>
      <c r="C77" s="46"/>
      <c r="D77" s="46"/>
      <c r="E77" s="46"/>
      <c r="F77" s="15"/>
      <c r="G77" s="15"/>
    </row>
    <row r="78" spans="1:7">
      <c r="A78" s="42"/>
      <c r="B78" s="40"/>
      <c r="C78" s="46"/>
      <c r="D78" s="11"/>
      <c r="E78" s="11"/>
      <c r="F78" s="15"/>
      <c r="G78" s="15"/>
    </row>
    <row r="79" spans="1:7">
      <c r="A79" s="44"/>
      <c r="B79" s="45"/>
      <c r="C79" s="49"/>
      <c r="D79" s="52"/>
      <c r="E79" s="52"/>
      <c r="F79" s="15"/>
      <c r="G79" s="15"/>
    </row>
    <row r="80" spans="1:7">
      <c r="A80" s="50"/>
      <c r="B80" s="11"/>
      <c r="C80" s="46"/>
      <c r="D80" s="52"/>
      <c r="E80" s="52"/>
      <c r="F80" s="15"/>
      <c r="G80" s="15"/>
    </row>
    <row r="81" spans="1:10">
      <c r="A81" s="48"/>
      <c r="B81" s="51"/>
      <c r="C81" s="11"/>
      <c r="D81" s="52"/>
      <c r="E81" s="52"/>
      <c r="F81" s="15"/>
      <c r="G81" s="15"/>
    </row>
    <row r="82" spans="1:10">
      <c r="A82" s="42"/>
      <c r="B82" s="52"/>
      <c r="C82" s="52"/>
      <c r="D82" s="52"/>
      <c r="E82" s="52"/>
      <c r="F82" s="15"/>
      <c r="G82" s="15"/>
    </row>
    <row r="83" spans="1:10">
      <c r="A83" s="42"/>
      <c r="B83" s="40"/>
      <c r="C83" s="52"/>
      <c r="D83" s="52"/>
      <c r="E83" s="52"/>
      <c r="F83" s="15"/>
      <c r="G83" s="15"/>
    </row>
    <row r="84" spans="1:10">
      <c r="A84" s="42"/>
      <c r="B84" s="40"/>
      <c r="C84" s="52"/>
      <c r="D84" s="40"/>
      <c r="E84" s="40"/>
      <c r="F84" s="15"/>
      <c r="G84" s="15"/>
    </row>
    <row r="85" spans="1:10">
      <c r="A85" s="42"/>
      <c r="B85" s="40"/>
      <c r="C85" s="52"/>
      <c r="D85" s="40"/>
      <c r="E85" s="40"/>
      <c r="F85" s="15"/>
      <c r="G85" s="15"/>
    </row>
    <row r="86" spans="1:10">
      <c r="A86" s="44"/>
      <c r="B86" s="53"/>
      <c r="C86" s="52"/>
      <c r="D86" s="49"/>
      <c r="E86" s="49"/>
      <c r="F86" s="15"/>
      <c r="G86" s="15"/>
    </row>
    <row r="87" spans="1:10">
      <c r="A87" s="47"/>
      <c r="B87" s="40"/>
      <c r="C87" s="40"/>
      <c r="D87" s="15"/>
      <c r="E87" s="15"/>
      <c r="F87" s="15"/>
      <c r="G87" s="15"/>
    </row>
    <row r="88" spans="1:10">
      <c r="A88" s="47"/>
      <c r="B88" s="40"/>
      <c r="C88" s="40"/>
      <c r="D88" s="15"/>
      <c r="E88" s="15"/>
      <c r="F88" s="15"/>
      <c r="G88" s="15"/>
    </row>
    <row r="89" spans="1:10">
      <c r="A89" s="44"/>
      <c r="B89" s="45"/>
      <c r="C89" s="49"/>
      <c r="D89" s="54"/>
      <c r="E89" s="54"/>
      <c r="F89" s="33"/>
      <c r="G89" s="33"/>
      <c r="H89" s="55"/>
      <c r="I89" s="55"/>
      <c r="J89" s="55"/>
    </row>
    <row r="90" spans="1:10">
      <c r="A90" s="15"/>
      <c r="B90" s="15"/>
      <c r="C90" s="15"/>
      <c r="D90" s="54"/>
      <c r="E90" s="54"/>
      <c r="F90" s="33"/>
      <c r="G90" s="33"/>
      <c r="H90" s="55"/>
      <c r="I90" s="55"/>
      <c r="J90" s="55"/>
    </row>
    <row r="91" spans="1:10">
      <c r="A91" s="15"/>
      <c r="B91" s="15"/>
      <c r="C91" s="15"/>
      <c r="D91" s="54"/>
      <c r="E91" s="54"/>
      <c r="F91" s="33"/>
      <c r="G91" s="33"/>
      <c r="H91" s="55"/>
      <c r="I91" s="55"/>
      <c r="J91" s="55"/>
    </row>
    <row r="92" spans="1:10">
      <c r="A92" s="54"/>
      <c r="B92" s="54"/>
      <c r="C92" s="54"/>
      <c r="D92" s="54"/>
      <c r="E92" s="54"/>
      <c r="F92" s="33"/>
      <c r="G92" s="33"/>
      <c r="H92" s="55"/>
      <c r="I92" s="55"/>
      <c r="J92" s="55"/>
    </row>
    <row r="93" spans="1:10">
      <c r="A93" s="54"/>
      <c r="B93" s="54"/>
      <c r="C93" s="54"/>
      <c r="D93" s="15"/>
      <c r="E93" s="15"/>
      <c r="F93" s="15"/>
      <c r="G93" s="15"/>
    </row>
    <row r="94" spans="1:10">
      <c r="A94" s="54"/>
      <c r="B94" s="54"/>
      <c r="C94" s="54"/>
      <c r="D94" s="15"/>
      <c r="E94" s="15"/>
      <c r="F94" s="15"/>
      <c r="G94" s="15"/>
    </row>
    <row r="95" spans="1:10">
      <c r="A95" s="54"/>
      <c r="B95" s="54"/>
      <c r="C95" s="54"/>
      <c r="D95" s="15"/>
      <c r="E95" s="15"/>
      <c r="F95" s="15"/>
      <c r="G95" s="15"/>
    </row>
    <row r="96" spans="1:10">
      <c r="A96" s="15"/>
      <c r="B96" s="15"/>
      <c r="C96" s="15"/>
      <c r="D96" s="15"/>
      <c r="E96" s="15"/>
      <c r="F96" s="15"/>
      <c r="G96" s="15"/>
    </row>
    <row r="97" spans="1:7">
      <c r="A97" s="15"/>
      <c r="B97" s="15"/>
      <c r="C97" s="15"/>
      <c r="D97" s="15"/>
      <c r="E97" s="15"/>
      <c r="F97" s="15"/>
      <c r="G97" s="15"/>
    </row>
    <row r="98" spans="1:7">
      <c r="A98" s="15"/>
      <c r="B98" s="15"/>
      <c r="C98" s="15"/>
      <c r="D98" s="15"/>
      <c r="E98" s="15"/>
      <c r="F98" s="15"/>
      <c r="G98" s="15"/>
    </row>
    <row r="99" spans="1:7">
      <c r="A99" s="15"/>
      <c r="B99" s="15"/>
      <c r="C99" s="15"/>
      <c r="D99" s="15"/>
      <c r="E99" s="15"/>
      <c r="F99" s="15"/>
      <c r="G99" s="15"/>
    </row>
    <row r="100" spans="1:7">
      <c r="A100" s="15"/>
      <c r="B100" s="15"/>
      <c r="C100" s="15"/>
      <c r="D100" s="15"/>
      <c r="E100" s="15"/>
      <c r="F100" s="15"/>
      <c r="G100" s="15"/>
    </row>
    <row r="101" spans="1:7">
      <c r="A101" s="15"/>
      <c r="B101" s="15"/>
      <c r="C101" s="15"/>
      <c r="D101" s="15"/>
      <c r="E101" s="15"/>
      <c r="F101" s="15"/>
      <c r="G101" s="15"/>
    </row>
    <row r="102" spans="1:7">
      <c r="A102" s="15"/>
      <c r="B102" s="15"/>
      <c r="C102" s="15"/>
      <c r="D102" s="15"/>
      <c r="E102" s="15"/>
      <c r="F102" s="15"/>
      <c r="G102" s="15"/>
    </row>
    <row r="103" spans="1:7">
      <c r="A103" s="15"/>
      <c r="B103" s="15"/>
      <c r="C103" s="15"/>
      <c r="D103" s="15"/>
      <c r="E103" s="15"/>
      <c r="F103" s="15"/>
      <c r="G103" s="15"/>
    </row>
    <row r="104" spans="1:7">
      <c r="A104" s="15"/>
      <c r="B104" s="15"/>
      <c r="C104" s="15"/>
      <c r="D104" s="15"/>
      <c r="E104" s="15"/>
      <c r="F104" s="15"/>
      <c r="G104" s="15"/>
    </row>
    <row r="105" spans="1:7">
      <c r="A105" s="15"/>
      <c r="B105" s="15"/>
      <c r="C105" s="15"/>
      <c r="D105" s="15"/>
      <c r="E105" s="15"/>
      <c r="F105" s="15"/>
      <c r="G105" s="15"/>
    </row>
    <row r="106" spans="1:7">
      <c r="A106" s="15"/>
      <c r="B106" s="15"/>
      <c r="C106" s="15"/>
      <c r="D106" s="15"/>
      <c r="E106" s="15"/>
      <c r="F106" s="15"/>
      <c r="G106" s="15"/>
    </row>
    <row r="107" spans="1:7">
      <c r="A107" s="15"/>
      <c r="B107" s="15"/>
      <c r="C107" s="15"/>
      <c r="D107" s="15"/>
      <c r="E107" s="15"/>
      <c r="F107" s="15"/>
      <c r="G107" s="15"/>
    </row>
    <row r="108" spans="1:7">
      <c r="A108" s="15"/>
      <c r="B108" s="15"/>
      <c r="C108" s="15"/>
      <c r="D108" s="15"/>
      <c r="E108" s="15"/>
      <c r="F108" s="15"/>
      <c r="G108" s="15"/>
    </row>
    <row r="109" spans="1:7">
      <c r="A109" s="15"/>
      <c r="B109" s="15"/>
      <c r="C109" s="15"/>
      <c r="D109" s="15"/>
      <c r="E109" s="15"/>
      <c r="F109" s="15"/>
      <c r="G109" s="15"/>
    </row>
    <row r="110" spans="1:7">
      <c r="A110" s="15"/>
      <c r="B110" s="15"/>
      <c r="C110" s="15"/>
      <c r="D110" s="15"/>
      <c r="E110" s="15"/>
      <c r="F110" s="15"/>
      <c r="G110" s="15"/>
    </row>
    <row r="111" spans="1:7">
      <c r="A111" s="15"/>
      <c r="B111" s="15"/>
      <c r="C111" s="15"/>
      <c r="D111" s="15"/>
      <c r="E111" s="15"/>
      <c r="F111" s="15"/>
      <c r="G111" s="15"/>
    </row>
    <row r="112" spans="1:7">
      <c r="A112" s="15"/>
      <c r="B112" s="15"/>
      <c r="C112" s="15"/>
      <c r="D112" s="15"/>
      <c r="E112" s="15"/>
      <c r="F112" s="15"/>
      <c r="G112" s="15"/>
    </row>
    <row r="113" spans="1:7">
      <c r="A113" s="15"/>
      <c r="B113" s="15"/>
      <c r="C113" s="15"/>
      <c r="D113" s="15"/>
      <c r="E113" s="15"/>
      <c r="F113" s="15"/>
      <c r="G113" s="15"/>
    </row>
    <row r="114" spans="1:7">
      <c r="A114" s="15"/>
      <c r="B114" s="15"/>
      <c r="C114" s="15"/>
      <c r="D114" s="15"/>
      <c r="E114" s="15"/>
      <c r="F114" s="15"/>
      <c r="G114" s="15"/>
    </row>
    <row r="115" spans="1:7">
      <c r="A115" s="15"/>
      <c r="B115" s="15"/>
      <c r="C115" s="15"/>
      <c r="D115" s="15"/>
      <c r="E115" s="15"/>
      <c r="F115" s="15"/>
      <c r="G115" s="15"/>
    </row>
    <row r="116" spans="1:7">
      <c r="A116" s="15"/>
      <c r="B116" s="15"/>
      <c r="C116" s="15"/>
      <c r="D116" s="15"/>
      <c r="E116" s="15"/>
      <c r="F116" s="15"/>
      <c r="G116" s="15"/>
    </row>
    <row r="117" spans="1:7">
      <c r="A117" s="15"/>
      <c r="B117" s="15"/>
      <c r="C117" s="15"/>
      <c r="D117" s="15"/>
      <c r="E117" s="15"/>
      <c r="F117" s="15"/>
      <c r="G117" s="15"/>
    </row>
    <row r="118" spans="1:7">
      <c r="A118" s="15"/>
      <c r="B118" s="15"/>
      <c r="C118" s="15"/>
      <c r="D118" s="15"/>
      <c r="E118" s="15"/>
      <c r="F118" s="15"/>
      <c r="G118" s="15"/>
    </row>
    <row r="119" spans="1:7">
      <c r="A119" s="15"/>
      <c r="B119" s="15"/>
      <c r="C119" s="15"/>
      <c r="D119" s="15"/>
      <c r="E119" s="15"/>
      <c r="F119" s="15"/>
      <c r="G119" s="15"/>
    </row>
    <row r="120" spans="1:7">
      <c r="A120" s="15"/>
      <c r="B120" s="15"/>
      <c r="C120" s="15"/>
      <c r="D120" s="15"/>
      <c r="E120" s="15"/>
      <c r="F120" s="15"/>
      <c r="G120" s="15"/>
    </row>
    <row r="121" spans="1:7">
      <c r="A121" s="15"/>
      <c r="B121" s="15"/>
      <c r="C121" s="15"/>
      <c r="D121" s="15"/>
      <c r="E121" s="15"/>
      <c r="F121" s="15"/>
      <c r="G121" s="15"/>
    </row>
    <row r="122" spans="1:7">
      <c r="A122" s="15"/>
      <c r="B122" s="15"/>
      <c r="C122" s="15"/>
      <c r="D122" s="15"/>
      <c r="E122" s="15"/>
      <c r="F122" s="15"/>
      <c r="G122" s="15"/>
    </row>
    <row r="123" spans="1:7">
      <c r="A123" s="15"/>
      <c r="B123" s="15"/>
      <c r="C123" s="15"/>
      <c r="D123" s="15"/>
      <c r="E123" s="15"/>
      <c r="F123" s="15"/>
      <c r="G123" s="15"/>
    </row>
    <row r="124" spans="1:7">
      <c r="A124" s="15"/>
      <c r="B124" s="15"/>
      <c r="C124" s="15"/>
      <c r="D124" s="15"/>
      <c r="E124" s="15"/>
      <c r="F124" s="15"/>
      <c r="G124" s="15"/>
    </row>
    <row r="125" spans="1:7">
      <c r="A125" s="15"/>
      <c r="B125" s="15"/>
      <c r="C125" s="15"/>
      <c r="D125" s="15"/>
      <c r="E125" s="15"/>
      <c r="F125" s="15"/>
      <c r="G125" s="15"/>
    </row>
    <row r="126" spans="1:7">
      <c r="A126" s="15"/>
      <c r="B126" s="15"/>
      <c r="C126" s="15"/>
      <c r="D126" s="15"/>
      <c r="E126" s="15"/>
      <c r="F126" s="15"/>
      <c r="G126" s="15"/>
    </row>
    <row r="127" spans="1:7">
      <c r="A127" s="15"/>
      <c r="B127" s="15"/>
      <c r="C127" s="15"/>
      <c r="D127" s="15"/>
      <c r="E127" s="15"/>
      <c r="F127" s="15"/>
      <c r="G127" s="15"/>
    </row>
    <row r="128" spans="1:7">
      <c r="A128" s="15"/>
      <c r="B128" s="15"/>
      <c r="C128" s="15"/>
      <c r="D128" s="15"/>
      <c r="E128" s="15"/>
      <c r="F128" s="15"/>
      <c r="G128" s="15"/>
    </row>
    <row r="129" spans="1:7">
      <c r="A129" s="15"/>
      <c r="B129" s="15"/>
      <c r="C129" s="15"/>
      <c r="D129" s="15"/>
      <c r="E129" s="15"/>
      <c r="F129" s="15"/>
      <c r="G129" s="15"/>
    </row>
    <row r="130" spans="1:7">
      <c r="A130" s="15"/>
      <c r="B130" s="15"/>
      <c r="C130" s="15"/>
      <c r="D130" s="15"/>
      <c r="E130" s="15"/>
      <c r="F130" s="15"/>
      <c r="G130" s="15"/>
    </row>
    <row r="131" spans="1:7">
      <c r="A131" s="15"/>
      <c r="B131" s="15"/>
      <c r="C131" s="15"/>
      <c r="D131" s="15"/>
      <c r="E131" s="15"/>
      <c r="F131" s="15"/>
      <c r="G131" s="15"/>
    </row>
    <row r="132" spans="1:7">
      <c r="A132" s="15"/>
      <c r="B132" s="15"/>
      <c r="C132" s="15"/>
      <c r="D132" s="15"/>
      <c r="E132" s="15"/>
      <c r="F132" s="15"/>
      <c r="G132" s="15"/>
    </row>
    <row r="133" spans="1:7">
      <c r="A133" s="15"/>
      <c r="B133" s="15"/>
      <c r="C133" s="15"/>
      <c r="D133" s="15"/>
      <c r="E133" s="15"/>
      <c r="F133" s="15"/>
      <c r="G133" s="15"/>
    </row>
    <row r="134" spans="1:7">
      <c r="A134" s="15"/>
      <c r="B134" s="15"/>
      <c r="C134" s="15"/>
      <c r="D134" s="15"/>
      <c r="E134" s="15"/>
      <c r="F134" s="15"/>
      <c r="G134" s="15"/>
    </row>
    <row r="135" spans="1:7">
      <c r="A135" s="15"/>
      <c r="B135" s="15"/>
      <c r="C135" s="15"/>
      <c r="D135" s="15"/>
      <c r="E135" s="15"/>
      <c r="F135" s="15"/>
      <c r="G135" s="15"/>
    </row>
    <row r="136" spans="1:7">
      <c r="A136" s="15"/>
      <c r="B136" s="15"/>
      <c r="C136" s="15"/>
      <c r="D136" s="15"/>
      <c r="E136" s="15"/>
      <c r="F136" s="15"/>
      <c r="G136" s="15"/>
    </row>
    <row r="137" spans="1:7">
      <c r="A137" s="15"/>
      <c r="B137" s="15"/>
      <c r="C137" s="15"/>
      <c r="D137" s="15"/>
      <c r="E137" s="15"/>
      <c r="F137" s="15"/>
      <c r="G137" s="15"/>
    </row>
    <row r="138" spans="1:7">
      <c r="A138" s="15"/>
      <c r="B138" s="15"/>
      <c r="C138" s="15"/>
      <c r="D138" s="15"/>
      <c r="E138" s="15"/>
      <c r="F138" s="15"/>
      <c r="G138" s="15"/>
    </row>
    <row r="139" spans="1:7">
      <c r="A139" s="15"/>
      <c r="B139" s="15"/>
      <c r="C139" s="15"/>
      <c r="D139" s="15"/>
      <c r="E139" s="15"/>
      <c r="F139" s="15"/>
      <c r="G139" s="15"/>
    </row>
    <row r="140" spans="1:7">
      <c r="A140" s="15"/>
      <c r="B140" s="15"/>
      <c r="C140" s="15"/>
      <c r="D140" s="15"/>
      <c r="E140" s="15"/>
      <c r="F140" s="15"/>
      <c r="G140" s="15"/>
    </row>
    <row r="141" spans="1:7">
      <c r="A141" s="15"/>
      <c r="B141" s="15"/>
      <c r="C141" s="15"/>
      <c r="D141" s="15"/>
      <c r="E141" s="15"/>
      <c r="F141" s="15"/>
      <c r="G141" s="15"/>
    </row>
    <row r="142" spans="1:7">
      <c r="A142" s="15"/>
      <c r="B142" s="15"/>
      <c r="C142" s="15"/>
      <c r="D142" s="15"/>
      <c r="E142" s="15"/>
      <c r="F142" s="15"/>
      <c r="G142" s="15"/>
    </row>
    <row r="143" spans="1:7">
      <c r="A143" s="15"/>
      <c r="B143" s="15"/>
      <c r="C143" s="15"/>
      <c r="D143" s="15"/>
      <c r="E143" s="15"/>
      <c r="F143" s="15"/>
      <c r="G143" s="15"/>
    </row>
    <row r="144" spans="1:7">
      <c r="A144" s="15"/>
      <c r="B144" s="15"/>
      <c r="C144" s="15"/>
    </row>
    <row r="145" spans="1:3">
      <c r="A145" s="15"/>
      <c r="B145" s="15"/>
      <c r="C145" s="15"/>
    </row>
    <row r="146" spans="1:3">
      <c r="A146" s="15"/>
      <c r="B146" s="15"/>
      <c r="C146" s="15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ignoredErrors>
    <ignoredError sqref="B16:C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rgb="FF92D050"/>
    <pageSetUpPr fitToPage="1"/>
  </sheetPr>
  <dimension ref="A1:K41"/>
  <sheetViews>
    <sheetView zoomScaleNormal="100" workbookViewId="0"/>
  </sheetViews>
  <sheetFormatPr baseColWidth="10" defaultColWidth="11" defaultRowHeight="12"/>
  <cols>
    <col min="1" max="1" width="36.25" style="308" customWidth="1"/>
    <col min="2" max="2" width="29.625" style="308" customWidth="1"/>
    <col min="3" max="3" width="8.375" style="308" customWidth="1"/>
    <col min="4" max="4" width="8.875" style="308" customWidth="1"/>
    <col min="5" max="6" width="10.625" style="308" customWidth="1"/>
    <col min="7" max="7" width="14.625" style="18" customWidth="1"/>
    <col min="8" max="8" width="11" style="18"/>
    <col min="9" max="9" width="31.25" style="18" customWidth="1"/>
    <col min="10" max="16384" width="11" style="18"/>
  </cols>
  <sheetData>
    <row r="1" spans="1:11" ht="21">
      <c r="A1" s="825" t="s">
        <v>249</v>
      </c>
      <c r="B1" s="460"/>
      <c r="C1" s="266"/>
      <c r="D1" s="266"/>
      <c r="E1" s="266"/>
      <c r="F1" s="266"/>
      <c r="G1" s="56"/>
      <c r="H1" s="56"/>
      <c r="J1" s="56"/>
    </row>
    <row r="2" spans="1:11">
      <c r="A2" s="484" t="s">
        <v>151</v>
      </c>
      <c r="B2" s="460"/>
      <c r="C2" s="266"/>
      <c r="D2" s="266"/>
      <c r="E2" s="266"/>
      <c r="F2" s="266"/>
      <c r="G2" s="56"/>
      <c r="H2" s="56"/>
      <c r="J2" s="56"/>
    </row>
    <row r="3" spans="1:11">
      <c r="A3" s="461"/>
      <c r="B3" s="461"/>
      <c r="C3" s="461"/>
      <c r="D3" s="461"/>
      <c r="E3" s="267"/>
      <c r="F3" s="460"/>
      <c r="J3" s="57"/>
    </row>
    <row r="4" spans="1:11">
      <c r="A4" s="457"/>
      <c r="B4" s="457"/>
      <c r="C4" s="457"/>
      <c r="D4" s="457"/>
      <c r="E4" s="458"/>
      <c r="F4" s="458"/>
      <c r="G4" s="59"/>
    </row>
    <row r="5" spans="1:11" ht="24">
      <c r="A5" s="462"/>
      <c r="B5" s="268"/>
      <c r="C5" s="364" t="s">
        <v>58</v>
      </c>
      <c r="D5" s="364" t="s">
        <v>58</v>
      </c>
      <c r="E5" s="361" t="s">
        <v>241</v>
      </c>
      <c r="F5" s="270" t="s">
        <v>241</v>
      </c>
      <c r="G5" s="62"/>
    </row>
    <row r="6" spans="1:11">
      <c r="A6" s="462"/>
      <c r="B6" s="268"/>
      <c r="C6" s="364"/>
      <c r="D6" s="364" t="s">
        <v>59</v>
      </c>
      <c r="E6" s="361" t="s">
        <v>60</v>
      </c>
      <c r="F6" s="270" t="s">
        <v>60</v>
      </c>
      <c r="G6" s="59"/>
    </row>
    <row r="7" spans="1:11" ht="12.75" thickBot="1">
      <c r="A7" s="271"/>
      <c r="B7" s="272"/>
      <c r="C7" s="613">
        <v>43465</v>
      </c>
      <c r="D7" s="613">
        <v>43465</v>
      </c>
      <c r="E7" s="613">
        <v>43465</v>
      </c>
      <c r="F7" s="273">
        <v>43100</v>
      </c>
      <c r="G7" s="64"/>
      <c r="I7" s="14"/>
    </row>
    <row r="8" spans="1:11">
      <c r="A8" s="91" t="s">
        <v>21</v>
      </c>
      <c r="B8" s="457" t="s">
        <v>734</v>
      </c>
      <c r="C8" s="614">
        <v>42698.743000000002</v>
      </c>
      <c r="D8" s="614">
        <v>40947.858</v>
      </c>
      <c r="E8" s="614">
        <v>24477.285</v>
      </c>
      <c r="F8" s="274">
        <v>21916.058000000001</v>
      </c>
      <c r="G8" s="66"/>
      <c r="I8" s="14"/>
    </row>
    <row r="9" spans="1:11" s="308" customFormat="1">
      <c r="A9" s="91"/>
      <c r="B9" s="457" t="s">
        <v>270</v>
      </c>
      <c r="C9" s="614">
        <f>30240.35+0.674</f>
        <v>30241.023999999998</v>
      </c>
      <c r="D9" s="614">
        <f>27474.152+0.674</f>
        <v>27474.825999999997</v>
      </c>
      <c r="E9" s="614">
        <f>23698.245+0.614</f>
        <v>23698.859</v>
      </c>
      <c r="F9" s="274">
        <v>19219.781999999999</v>
      </c>
      <c r="G9" s="66"/>
      <c r="I9" s="14"/>
    </row>
    <row r="10" spans="1:11">
      <c r="A10" s="275"/>
      <c r="B10" s="276" t="s">
        <v>103</v>
      </c>
      <c r="C10" s="615">
        <v>10587.544</v>
      </c>
      <c r="D10" s="615">
        <v>8758.473</v>
      </c>
      <c r="E10" s="615">
        <v>8022.7370000000001</v>
      </c>
      <c r="F10" s="277">
        <v>6867.8559999999998</v>
      </c>
      <c r="G10" s="66"/>
      <c r="I10" s="67"/>
    </row>
    <row r="11" spans="1:11">
      <c r="A11" s="264" t="s">
        <v>22</v>
      </c>
      <c r="B11" s="264" t="s">
        <v>61</v>
      </c>
      <c r="C11" s="614">
        <v>5949.77</v>
      </c>
      <c r="D11" s="614">
        <v>5946.5450000000001</v>
      </c>
      <c r="E11" s="614">
        <v>1333.98</v>
      </c>
      <c r="F11" s="274">
        <v>1302.95</v>
      </c>
      <c r="G11" s="66"/>
      <c r="I11" s="67"/>
    </row>
    <row r="12" spans="1:11" ht="12" customHeight="1">
      <c r="A12" s="264"/>
      <c r="B12" s="264" t="s">
        <v>92</v>
      </c>
      <c r="C12" s="614">
        <v>135229.54800000001</v>
      </c>
      <c r="D12" s="614">
        <v>135221.61300000001</v>
      </c>
      <c r="E12" s="614">
        <v>28592.174999999999</v>
      </c>
      <c r="F12" s="274">
        <v>27025.888999999999</v>
      </c>
      <c r="G12" s="66"/>
      <c r="I12" s="67"/>
    </row>
    <row r="13" spans="1:11" ht="14.25" customHeight="1">
      <c r="A13" s="278"/>
      <c r="B13" s="278" t="s">
        <v>93</v>
      </c>
      <c r="C13" s="615">
        <f>4797.873+370.355</f>
        <v>5168.2279999999992</v>
      </c>
      <c r="D13" s="615">
        <f>367.218+4791.132</f>
        <v>5158.3499999999995</v>
      </c>
      <c r="E13" s="615">
        <f>125.184+2028.057</f>
        <v>2153.241</v>
      </c>
      <c r="F13" s="277">
        <v>1942.0839999999998</v>
      </c>
      <c r="G13" s="66"/>
      <c r="I13" s="830"/>
      <c r="J13" s="830"/>
      <c r="K13" s="830"/>
    </row>
    <row r="14" spans="1:11">
      <c r="A14" s="831" t="s">
        <v>246</v>
      </c>
      <c r="B14" s="831"/>
      <c r="C14" s="616">
        <f>SUM(C8:C13)</f>
        <v>229874.85700000002</v>
      </c>
      <c r="D14" s="616">
        <f>SUM(D8:D13)</f>
        <v>223507.66500000001</v>
      </c>
      <c r="E14" s="616">
        <f>SUM(E8:E13)</f>
        <v>88278.277000000002</v>
      </c>
      <c r="F14" s="274">
        <f>SUM(F8:F13)</f>
        <v>78274.618999999992</v>
      </c>
      <c r="G14" s="69"/>
    </row>
    <row r="15" spans="1:11">
      <c r="A15" s="268"/>
      <c r="B15" s="268"/>
      <c r="C15" s="574"/>
      <c r="D15" s="574"/>
      <c r="E15" s="617"/>
      <c r="F15" s="279"/>
      <c r="G15" s="70"/>
    </row>
    <row r="16" spans="1:11" s="308" customFormat="1" ht="12" customHeight="1">
      <c r="A16" s="555" t="s">
        <v>797</v>
      </c>
      <c r="B16" s="555"/>
      <c r="C16" s="614">
        <v>4769</v>
      </c>
      <c r="D16" s="571"/>
      <c r="E16" s="614">
        <v>35</v>
      </c>
      <c r="F16" s="274">
        <v>51.017000000000003</v>
      </c>
      <c r="G16" s="70"/>
    </row>
    <row r="17" spans="1:10" ht="12" customHeight="1">
      <c r="A17" s="457" t="s">
        <v>798</v>
      </c>
      <c r="B17" s="457"/>
      <c r="C17" s="274">
        <f>460.681+5.859+4145.902</f>
        <v>4612.442</v>
      </c>
      <c r="D17" s="571"/>
      <c r="E17" s="274">
        <v>93</v>
      </c>
      <c r="F17" s="274">
        <v>140.499</v>
      </c>
      <c r="G17" s="66"/>
      <c r="H17" s="71"/>
    </row>
    <row r="18" spans="1:10">
      <c r="A18" s="457" t="s">
        <v>28</v>
      </c>
      <c r="B18" s="457"/>
      <c r="C18" s="614">
        <v>11662</v>
      </c>
      <c r="D18" s="571"/>
      <c r="E18" s="614">
        <v>1368</v>
      </c>
      <c r="F18" s="274">
        <v>1864.5050000000001</v>
      </c>
      <c r="G18" s="66"/>
      <c r="H18" s="71"/>
    </row>
    <row r="19" spans="1:10">
      <c r="A19" s="457" t="s">
        <v>21</v>
      </c>
      <c r="B19" s="457"/>
      <c r="C19" s="614">
        <f>12265.39+43.196</f>
        <v>12308.585999999999</v>
      </c>
      <c r="D19" s="571"/>
      <c r="E19" s="614">
        <v>9661</v>
      </c>
      <c r="F19" s="274">
        <v>9473.6890000000003</v>
      </c>
      <c r="G19" s="66"/>
      <c r="H19" s="71"/>
    </row>
    <row r="20" spans="1:10" ht="12" customHeight="1">
      <c r="A20" s="457" t="s">
        <v>22</v>
      </c>
      <c r="B20" s="457"/>
      <c r="C20" s="614">
        <f>10093.96+1769.72</f>
        <v>11863.679999999998</v>
      </c>
      <c r="D20" s="571"/>
      <c r="E20" s="614">
        <f>3264+1226</f>
        <v>4490</v>
      </c>
      <c r="F20" s="274">
        <v>3883.6959999999999</v>
      </c>
      <c r="G20" s="66"/>
      <c r="H20" s="71"/>
    </row>
    <row r="21" spans="1:10" s="308" customFormat="1" ht="12" customHeight="1">
      <c r="A21" s="457" t="s">
        <v>665</v>
      </c>
      <c r="B21" s="457"/>
      <c r="C21" s="614">
        <v>21274.74</v>
      </c>
      <c r="D21" s="571"/>
      <c r="E21" s="614">
        <v>2218</v>
      </c>
      <c r="F21" s="274">
        <v>2685.8090000000002</v>
      </c>
      <c r="G21" s="66"/>
      <c r="H21" s="71"/>
    </row>
    <row r="22" spans="1:10" s="308" customFormat="1" ht="12" customHeight="1">
      <c r="A22" s="457" t="s">
        <v>680</v>
      </c>
      <c r="B22" s="457"/>
      <c r="C22" s="614">
        <v>2473.8000000000002</v>
      </c>
      <c r="D22" s="571"/>
      <c r="E22" s="614">
        <v>5196</v>
      </c>
      <c r="F22" s="274">
        <v>5036.2020000000002</v>
      </c>
      <c r="G22" s="66"/>
      <c r="H22" s="71"/>
    </row>
    <row r="23" spans="1:10" ht="12" customHeight="1">
      <c r="A23" s="276" t="s">
        <v>64</v>
      </c>
      <c r="B23" s="276"/>
      <c r="C23" s="615">
        <v>2192.7979999999998</v>
      </c>
      <c r="D23" s="572"/>
      <c r="E23" s="615">
        <v>1789</v>
      </c>
      <c r="F23" s="277">
        <v>1677.654</v>
      </c>
      <c r="G23" s="66"/>
      <c r="H23" s="71"/>
    </row>
    <row r="24" spans="1:10">
      <c r="A24" s="831" t="s">
        <v>247</v>
      </c>
      <c r="B24" s="831"/>
      <c r="C24" s="630">
        <f>SUM(C16:C23)</f>
        <v>71157.046000000002</v>
      </c>
      <c r="D24" s="573"/>
      <c r="E24" s="616">
        <f t="shared" ref="E24:F24" si="0">SUM(E16:E23)</f>
        <v>24850</v>
      </c>
      <c r="F24" s="274">
        <f t="shared" si="0"/>
        <v>24813.071</v>
      </c>
      <c r="G24" s="69"/>
      <c r="H24" s="665"/>
    </row>
    <row r="25" spans="1:10">
      <c r="A25" s="268"/>
      <c r="B25" s="268"/>
      <c r="C25" s="573"/>
      <c r="D25" s="573"/>
      <c r="E25" s="616"/>
      <c r="F25" s="274"/>
      <c r="G25" s="69"/>
      <c r="H25" s="665"/>
    </row>
    <row r="26" spans="1:10">
      <c r="A26" s="281" t="s">
        <v>248</v>
      </c>
      <c r="B26" s="282"/>
      <c r="C26" s="575"/>
      <c r="D26" s="576"/>
      <c r="E26" s="618">
        <f>E14+E24</f>
        <v>113128.277</v>
      </c>
      <c r="F26" s="318">
        <f>F14+F24</f>
        <v>103087.68999999999</v>
      </c>
      <c r="G26" s="75"/>
    </row>
    <row r="29" spans="1:10">
      <c r="A29" s="556" t="s">
        <v>735</v>
      </c>
      <c r="B29" s="556"/>
      <c r="C29" s="556"/>
      <c r="D29" s="556"/>
      <c r="E29" s="556"/>
      <c r="F29" s="556"/>
      <c r="G29" s="556"/>
      <c r="H29" s="308"/>
      <c r="I29" s="308"/>
      <c r="J29" s="308"/>
    </row>
    <row r="30" spans="1:10">
      <c r="A30" s="556" t="s">
        <v>736</v>
      </c>
      <c r="B30" s="556"/>
      <c r="C30" s="556"/>
      <c r="D30" s="556"/>
      <c r="E30" s="556"/>
      <c r="F30" s="19"/>
      <c r="G30" s="556"/>
      <c r="H30" s="308"/>
      <c r="I30" s="308"/>
      <c r="J30" s="308"/>
    </row>
    <row r="31" spans="1:10">
      <c r="A31" s="556" t="s">
        <v>739</v>
      </c>
      <c r="B31" s="556"/>
      <c r="C31" s="556"/>
      <c r="D31" s="556"/>
      <c r="E31" s="556"/>
      <c r="F31" s="556"/>
      <c r="G31" s="556"/>
      <c r="H31" s="308"/>
      <c r="I31" s="308"/>
      <c r="J31" s="308"/>
    </row>
    <row r="32" spans="1:10">
      <c r="A32" s="556" t="s">
        <v>737</v>
      </c>
      <c r="B32" s="556"/>
      <c r="C32" s="556"/>
      <c r="D32" s="556"/>
      <c r="E32" s="556"/>
      <c r="F32" s="556"/>
      <c r="G32" s="556"/>
      <c r="H32" s="308"/>
      <c r="I32" s="308"/>
      <c r="J32" s="308"/>
    </row>
    <row r="33" spans="1:10">
      <c r="A33" s="556" t="s">
        <v>738</v>
      </c>
      <c r="B33" s="556"/>
      <c r="C33" s="556"/>
      <c r="D33" s="556"/>
      <c r="E33" s="556"/>
      <c r="F33" s="556"/>
      <c r="G33" s="556"/>
      <c r="H33" s="308"/>
      <c r="I33" s="308"/>
      <c r="J33" s="308"/>
    </row>
    <row r="34" spans="1:10">
      <c r="A34" s="814" t="s">
        <v>957</v>
      </c>
      <c r="B34" s="814"/>
      <c r="C34" s="460"/>
      <c r="D34" s="460"/>
      <c r="E34" s="460"/>
      <c r="F34" s="460"/>
      <c r="G34" s="20"/>
    </row>
    <row r="35" spans="1:10">
      <c r="A35" s="460"/>
      <c r="B35" s="460"/>
      <c r="C35" s="460"/>
      <c r="D35" s="460"/>
      <c r="E35" s="460"/>
      <c r="F35" s="460"/>
      <c r="G35" s="20"/>
    </row>
    <row r="36" spans="1:10">
      <c r="A36" s="460"/>
      <c r="B36" s="460"/>
      <c r="C36" s="460"/>
      <c r="D36" s="460"/>
      <c r="E36" s="460"/>
      <c r="F36" s="460"/>
      <c r="G36" s="20"/>
    </row>
    <row r="37" spans="1:10">
      <c r="A37" s="812"/>
      <c r="B37" s="460"/>
      <c r="C37" s="460"/>
      <c r="D37" s="460"/>
      <c r="E37" s="460"/>
      <c r="F37" s="460"/>
      <c r="G37" s="20"/>
    </row>
    <row r="38" spans="1:10">
      <c r="A38" s="812"/>
      <c r="B38" s="460"/>
      <c r="C38" s="460"/>
      <c r="D38" s="460"/>
      <c r="E38" s="460"/>
      <c r="F38" s="460"/>
      <c r="G38" s="20"/>
    </row>
    <row r="39" spans="1:10">
      <c r="A39" s="812"/>
      <c r="B39" s="460"/>
      <c r="C39" s="460"/>
      <c r="D39" s="460"/>
      <c r="E39" s="460"/>
      <c r="F39" s="460"/>
      <c r="G39" s="20"/>
    </row>
    <row r="40" spans="1:10">
      <c r="A40" s="460"/>
      <c r="B40" s="460"/>
      <c r="C40" s="460"/>
      <c r="D40" s="460"/>
      <c r="E40" s="460"/>
      <c r="F40" s="460"/>
      <c r="G40" s="20"/>
    </row>
    <row r="41" spans="1:10">
      <c r="A41" s="460"/>
      <c r="B41" s="460"/>
      <c r="C41" s="460"/>
      <c r="D41" s="460"/>
      <c r="E41" s="460"/>
      <c r="F41" s="460"/>
      <c r="G41" s="20"/>
    </row>
  </sheetData>
  <mergeCells count="3">
    <mergeCell ref="I13:K13"/>
    <mergeCell ref="A14:B14"/>
    <mergeCell ref="A24:B2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  <ignoredErrors>
    <ignoredError sqref="E14:F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rgb="FF92D050"/>
    <pageSetUpPr fitToPage="1"/>
  </sheetPr>
  <dimension ref="A1:H24"/>
  <sheetViews>
    <sheetView workbookViewId="0"/>
  </sheetViews>
  <sheetFormatPr baseColWidth="10" defaultColWidth="11" defaultRowHeight="12"/>
  <cols>
    <col min="1" max="1" width="35" style="308" customWidth="1"/>
    <col min="2" max="2" width="1" style="308" customWidth="1"/>
    <col min="3" max="6" width="12.625" style="308" customWidth="1"/>
    <col min="7" max="7" width="12.625" style="18" customWidth="1"/>
    <col min="8" max="8" width="11" style="18"/>
    <col min="9" max="9" width="31.25" style="18" customWidth="1"/>
    <col min="10" max="16384" width="11" style="18"/>
  </cols>
  <sheetData>
    <row r="1" spans="1:8" ht="21">
      <c r="A1" s="825" t="s">
        <v>267</v>
      </c>
      <c r="B1" s="460"/>
      <c r="C1" s="460"/>
      <c r="D1" s="460"/>
      <c r="E1" s="460"/>
      <c r="F1" s="460"/>
      <c r="G1" s="20"/>
      <c r="H1" s="308"/>
    </row>
    <row r="2" spans="1:8">
      <c r="A2" s="460" t="s">
        <v>151</v>
      </c>
      <c r="B2" s="460"/>
      <c r="C2" s="460"/>
      <c r="D2" s="460"/>
      <c r="E2" s="460"/>
      <c r="F2" s="460"/>
      <c r="G2" s="20"/>
      <c r="H2" s="308"/>
    </row>
    <row r="3" spans="1:8">
      <c r="A3" s="92"/>
      <c r="B3" s="92"/>
      <c r="C3" s="269"/>
      <c r="E3" s="269"/>
      <c r="F3" s="269"/>
      <c r="G3" s="269"/>
      <c r="H3" s="308"/>
    </row>
    <row r="4" spans="1:8" ht="24.75" thickBot="1">
      <c r="A4" s="309">
        <v>2018</v>
      </c>
      <c r="B4" s="310"/>
      <c r="C4" s="459" t="s">
        <v>60</v>
      </c>
      <c r="D4" s="568" t="s">
        <v>616</v>
      </c>
      <c r="E4" s="459" t="s">
        <v>622</v>
      </c>
      <c r="F4" s="459" t="s">
        <v>230</v>
      </c>
      <c r="G4" s="544" t="s">
        <v>883</v>
      </c>
      <c r="H4" s="308"/>
    </row>
    <row r="5" spans="1:8">
      <c r="A5" s="833" t="s">
        <v>80</v>
      </c>
      <c r="B5" s="833"/>
      <c r="C5" s="230">
        <v>3826</v>
      </c>
      <c r="D5" s="578"/>
      <c r="E5" s="578"/>
      <c r="F5" s="578"/>
      <c r="G5" s="578"/>
      <c r="H5" s="107"/>
    </row>
    <row r="6" spans="1:8">
      <c r="A6" s="833" t="s">
        <v>81</v>
      </c>
      <c r="B6" s="833"/>
      <c r="C6" s="230">
        <v>3632</v>
      </c>
      <c r="D6" s="578"/>
      <c r="E6" s="578"/>
      <c r="F6" s="578"/>
      <c r="G6" s="578"/>
      <c r="H6" s="107"/>
    </row>
    <row r="7" spans="1:8">
      <c r="A7" s="833" t="s">
        <v>82</v>
      </c>
      <c r="B7" s="833"/>
      <c r="C7" s="230">
        <v>-64</v>
      </c>
      <c r="D7" s="578"/>
      <c r="E7" s="578"/>
      <c r="F7" s="578"/>
      <c r="G7" s="578"/>
      <c r="H7" s="107"/>
    </row>
    <row r="8" spans="1:8" s="308" customFormat="1">
      <c r="A8" s="833" t="s">
        <v>231</v>
      </c>
      <c r="B8" s="833"/>
      <c r="C8" s="230">
        <f>SUM(D8:G8)</f>
        <v>508</v>
      </c>
      <c r="D8" s="230">
        <v>38</v>
      </c>
      <c r="E8" s="230">
        <v>31</v>
      </c>
      <c r="F8" s="230">
        <v>275</v>
      </c>
      <c r="G8" s="230">
        <v>164</v>
      </c>
      <c r="H8" s="107"/>
    </row>
    <row r="9" spans="1:8">
      <c r="A9" s="281" t="s">
        <v>83</v>
      </c>
      <c r="B9" s="281"/>
      <c r="C9" s="311">
        <f>SUM(C5:C8)</f>
        <v>7902</v>
      </c>
      <c r="D9" s="311">
        <f t="shared" ref="D9:F9" si="0">SUM(D5:D8)</f>
        <v>38</v>
      </c>
      <c r="E9" s="311">
        <f t="shared" si="0"/>
        <v>31</v>
      </c>
      <c r="F9" s="311">
        <f t="shared" si="0"/>
        <v>275</v>
      </c>
      <c r="G9" s="311">
        <f t="shared" ref="G9" si="1">SUM(G5:G8)</f>
        <v>164</v>
      </c>
      <c r="H9" s="107"/>
    </row>
    <row r="10" spans="1:8">
      <c r="A10" s="460"/>
      <c r="B10" s="460"/>
      <c r="C10" s="312"/>
      <c r="D10" s="312"/>
      <c r="E10" s="312"/>
      <c r="F10" s="312"/>
      <c r="G10" s="312"/>
      <c r="H10" s="107"/>
    </row>
    <row r="11" spans="1:8" s="308" customFormat="1" ht="12" customHeight="1">
      <c r="A11" s="92"/>
      <c r="B11" s="92"/>
      <c r="C11" s="269"/>
      <c r="D11" s="577"/>
      <c r="E11" s="269"/>
      <c r="F11" s="269"/>
      <c r="G11" s="312"/>
      <c r="H11" s="107"/>
    </row>
    <row r="12" spans="1:8" s="308" customFormat="1" ht="24.75" thickBot="1">
      <c r="A12" s="309">
        <v>2017</v>
      </c>
      <c r="B12" s="685"/>
      <c r="C12" s="568" t="s">
        <v>60</v>
      </c>
      <c r="D12" s="568" t="s">
        <v>616</v>
      </c>
      <c r="E12" s="568" t="s">
        <v>622</v>
      </c>
      <c r="F12" s="568" t="s">
        <v>230</v>
      </c>
      <c r="G12" s="568" t="s">
        <v>883</v>
      </c>
      <c r="H12" s="107"/>
    </row>
    <row r="13" spans="1:8" s="308" customFormat="1">
      <c r="A13" s="833" t="s">
        <v>80</v>
      </c>
      <c r="B13" s="833"/>
      <c r="C13" s="230">
        <v>3759.1000000000004</v>
      </c>
      <c r="D13" s="230"/>
      <c r="E13" s="230"/>
      <c r="F13" s="230"/>
      <c r="G13" s="312"/>
      <c r="H13" s="107"/>
    </row>
    <row r="14" spans="1:8" s="308" customFormat="1">
      <c r="A14" s="833" t="s">
        <v>81</v>
      </c>
      <c r="B14" s="833"/>
      <c r="C14" s="230">
        <v>3405.875</v>
      </c>
      <c r="D14" s="230"/>
      <c r="E14" s="230"/>
      <c r="F14" s="230"/>
      <c r="G14" s="312"/>
      <c r="H14" s="107"/>
    </row>
    <row r="15" spans="1:8" s="308" customFormat="1">
      <c r="A15" s="833" t="s">
        <v>82</v>
      </c>
      <c r="B15" s="833"/>
      <c r="C15" s="230">
        <v>-245.4375</v>
      </c>
      <c r="D15" s="230"/>
      <c r="E15" s="230"/>
      <c r="F15" s="230"/>
      <c r="G15" s="312"/>
      <c r="H15" s="107"/>
    </row>
    <row r="16" spans="1:8" s="308" customFormat="1">
      <c r="A16" s="833" t="s">
        <v>231</v>
      </c>
      <c r="B16" s="833"/>
      <c r="C16" s="230">
        <v>510</v>
      </c>
      <c r="D16" s="230">
        <v>70</v>
      </c>
      <c r="E16" s="230">
        <v>52</v>
      </c>
      <c r="F16" s="230">
        <v>256</v>
      </c>
      <c r="G16" s="312">
        <v>132</v>
      </c>
      <c r="H16" s="107"/>
    </row>
    <row r="17" spans="1:8">
      <c r="A17" s="281" t="s">
        <v>83</v>
      </c>
      <c r="B17" s="281"/>
      <c r="C17" s="684">
        <f>SUM(C13:C16)</f>
        <v>7429.5375000000004</v>
      </c>
      <c r="D17" s="684">
        <f>SUM(D16)</f>
        <v>70</v>
      </c>
      <c r="E17" s="684">
        <f t="shared" ref="E17:G17" si="2">SUM(E16)</f>
        <v>52</v>
      </c>
      <c r="F17" s="684">
        <f t="shared" si="2"/>
        <v>256</v>
      </c>
      <c r="G17" s="684">
        <f t="shared" si="2"/>
        <v>132</v>
      </c>
      <c r="H17" s="107"/>
    </row>
    <row r="18" spans="1:8">
      <c r="A18" s="460"/>
      <c r="B18" s="460"/>
      <c r="C18" s="312"/>
      <c r="D18" s="312"/>
      <c r="E18" s="312"/>
      <c r="F18" s="312"/>
      <c r="G18" s="312"/>
      <c r="H18" s="107"/>
    </row>
    <row r="19" spans="1:8">
      <c r="A19" s="460"/>
      <c r="B19" s="460"/>
      <c r="C19" s="312"/>
      <c r="D19" s="312"/>
      <c r="E19" s="312"/>
      <c r="F19" s="312"/>
      <c r="G19" s="312"/>
      <c r="H19" s="107"/>
    </row>
    <row r="20" spans="1:8">
      <c r="A20" s="832" t="s">
        <v>253</v>
      </c>
      <c r="B20" s="832"/>
      <c r="C20" s="832"/>
      <c r="D20" s="832"/>
      <c r="E20" s="832"/>
      <c r="F20" s="832"/>
      <c r="G20" s="832"/>
      <c r="H20" s="308"/>
    </row>
    <row r="21" spans="1:8">
      <c r="A21" s="832" t="s">
        <v>207</v>
      </c>
      <c r="B21" s="832"/>
      <c r="C21" s="832"/>
      <c r="D21" s="832"/>
      <c r="E21" s="832"/>
      <c r="F21" s="832"/>
      <c r="G21" s="832"/>
      <c r="H21" s="308"/>
    </row>
    <row r="22" spans="1:8">
      <c r="A22" s="460" t="s">
        <v>208</v>
      </c>
      <c r="B22" s="460"/>
      <c r="C22" s="460"/>
      <c r="D22" s="460"/>
      <c r="E22" s="460"/>
      <c r="F22" s="460"/>
      <c r="G22" s="20"/>
      <c r="H22" s="308"/>
    </row>
    <row r="23" spans="1:8">
      <c r="A23" s="460"/>
      <c r="B23" s="460"/>
      <c r="C23" s="460"/>
      <c r="D23" s="460"/>
      <c r="E23" s="460"/>
      <c r="F23" s="460"/>
      <c r="G23" s="20"/>
      <c r="H23" s="308"/>
    </row>
    <row r="24" spans="1:8" ht="14.25">
      <c r="A24" s="334" t="s">
        <v>268</v>
      </c>
      <c r="B24" s="460"/>
      <c r="C24" s="460"/>
      <c r="D24" s="460"/>
      <c r="E24" s="460"/>
      <c r="F24" s="460"/>
      <c r="G24" s="20"/>
    </row>
  </sheetData>
  <mergeCells count="10">
    <mergeCell ref="A20:G20"/>
    <mergeCell ref="A21:G21"/>
    <mergeCell ref="A5:B5"/>
    <mergeCell ref="A6:B6"/>
    <mergeCell ref="A7:B7"/>
    <mergeCell ref="A13:B13"/>
    <mergeCell ref="A14:B14"/>
    <mergeCell ref="A15:B15"/>
    <mergeCell ref="A8:B8"/>
    <mergeCell ref="A16:B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L65"/>
  <sheetViews>
    <sheetView showGridLines="0" zoomScaleNormal="100" workbookViewId="0"/>
  </sheetViews>
  <sheetFormatPr baseColWidth="10" defaultColWidth="11" defaultRowHeight="12"/>
  <cols>
    <col min="1" max="1" width="20.375" style="18" customWidth="1"/>
    <col min="2" max="2" width="2.75" style="18" customWidth="1"/>
    <col min="3" max="3" width="40.875" style="18" customWidth="1"/>
    <col min="4" max="4" width="12" style="18" customWidth="1"/>
    <col min="5" max="5" width="10.625" style="18" customWidth="1"/>
    <col min="6" max="6" width="9.875" style="18" customWidth="1"/>
    <col min="7" max="9" width="11" style="18"/>
    <col min="10" max="10" width="9.875" style="18" bestFit="1" customWidth="1"/>
    <col min="11" max="11" width="19.75" style="18" bestFit="1" customWidth="1"/>
    <col min="12" max="16384" width="11" style="18"/>
  </cols>
  <sheetData>
    <row r="1" spans="1:7" ht="21">
      <c r="A1" s="825" t="s">
        <v>668</v>
      </c>
      <c r="B1" s="28"/>
      <c r="C1" s="28"/>
      <c r="D1" s="109"/>
      <c r="E1" s="109"/>
    </row>
    <row r="2" spans="1:7">
      <c r="C2" s="28"/>
      <c r="D2" s="32"/>
      <c r="E2" s="28"/>
    </row>
    <row r="3" spans="1:7">
      <c r="A3" s="55"/>
      <c r="B3" s="55"/>
      <c r="C3" s="55"/>
      <c r="D3" s="110"/>
      <c r="E3" s="32" t="s">
        <v>135</v>
      </c>
      <c r="F3" s="55"/>
      <c r="G3" s="55"/>
    </row>
    <row r="4" spans="1:7">
      <c r="A4" s="834" t="s">
        <v>97</v>
      </c>
      <c r="B4" s="834"/>
      <c r="C4" s="111" t="s">
        <v>102</v>
      </c>
      <c r="D4" s="112" t="s">
        <v>98</v>
      </c>
      <c r="E4" s="112" t="s">
        <v>129</v>
      </c>
      <c r="F4" s="597">
        <v>2018</v>
      </c>
      <c r="G4" s="113">
        <v>2017</v>
      </c>
    </row>
    <row r="5" spans="1:7">
      <c r="A5" s="37"/>
      <c r="B5" s="114"/>
      <c r="C5" s="36"/>
      <c r="D5" s="32"/>
      <c r="E5" s="32"/>
      <c r="F5" s="37"/>
      <c r="G5" s="38"/>
    </row>
    <row r="6" spans="1:7">
      <c r="A6" s="835" t="s">
        <v>130</v>
      </c>
      <c r="B6" s="835"/>
      <c r="C6" s="4"/>
      <c r="D6" s="115"/>
      <c r="E6" s="115"/>
      <c r="F6" s="598"/>
      <c r="G6" s="116"/>
    </row>
    <row r="7" spans="1:7" s="308" customFormat="1">
      <c r="A7" s="117" t="s">
        <v>858</v>
      </c>
      <c r="B7" s="118"/>
      <c r="C7" s="4" t="s">
        <v>820</v>
      </c>
      <c r="D7" s="115">
        <v>2029</v>
      </c>
      <c r="E7" s="115">
        <v>2024</v>
      </c>
      <c r="F7" s="632">
        <v>703</v>
      </c>
      <c r="G7" s="619">
        <v>301</v>
      </c>
    </row>
    <row r="8" spans="1:7" s="308" customFormat="1" ht="12.75">
      <c r="A8" s="117" t="s">
        <v>819</v>
      </c>
      <c r="B8" s="118"/>
      <c r="C8" s="4" t="s">
        <v>821</v>
      </c>
      <c r="D8" s="115">
        <v>2028</v>
      </c>
      <c r="E8" s="564">
        <v>0</v>
      </c>
      <c r="F8" s="632">
        <v>628</v>
      </c>
      <c r="G8" s="619">
        <v>627</v>
      </c>
    </row>
    <row r="9" spans="1:7" ht="12.75">
      <c r="A9" s="117" t="s">
        <v>101</v>
      </c>
      <c r="B9" s="118"/>
      <c r="C9" s="4" t="s">
        <v>661</v>
      </c>
      <c r="D9" s="564">
        <v>0</v>
      </c>
      <c r="E9" s="564">
        <v>0</v>
      </c>
      <c r="F9" s="633">
        <v>0</v>
      </c>
      <c r="G9" s="619">
        <v>500</v>
      </c>
    </row>
    <row r="10" spans="1:7" s="308" customFormat="1">
      <c r="A10" s="117" t="s">
        <v>818</v>
      </c>
      <c r="B10" s="118"/>
      <c r="C10" s="4" t="s">
        <v>820</v>
      </c>
      <c r="D10" s="115">
        <v>2028</v>
      </c>
      <c r="E10" s="115">
        <v>2023</v>
      </c>
      <c r="F10" s="632">
        <v>300</v>
      </c>
      <c r="G10" s="619">
        <v>0</v>
      </c>
    </row>
    <row r="11" spans="1:7" ht="12.75">
      <c r="A11" s="117" t="s">
        <v>658</v>
      </c>
      <c r="B11" s="118"/>
      <c r="C11" s="4" t="s">
        <v>822</v>
      </c>
      <c r="D11" s="115">
        <v>2030</v>
      </c>
      <c r="E11" s="564">
        <v>0</v>
      </c>
      <c r="F11" s="632">
        <v>498</v>
      </c>
      <c r="G11" s="619">
        <v>492</v>
      </c>
    </row>
    <row r="12" spans="1:7">
      <c r="A12" s="119" t="s">
        <v>17</v>
      </c>
      <c r="B12" s="120"/>
      <c r="C12" s="121"/>
      <c r="D12" s="122"/>
      <c r="E12" s="122"/>
      <c r="F12" s="631">
        <f>SUM(F7:F11)</f>
        <v>2129</v>
      </c>
      <c r="G12" s="620">
        <f>SUM(G7:G11)</f>
        <v>1920</v>
      </c>
    </row>
    <row r="13" spans="1:7">
      <c r="A13" s="117"/>
      <c r="B13" s="118"/>
      <c r="C13" s="4"/>
      <c r="D13" s="123"/>
      <c r="E13" s="123"/>
      <c r="F13" s="634"/>
      <c r="G13" s="621"/>
    </row>
    <row r="14" spans="1:7" ht="14.25">
      <c r="A14" s="124"/>
      <c r="B14" s="125"/>
      <c r="C14" s="6"/>
      <c r="D14" s="123"/>
      <c r="E14" s="123"/>
      <c r="F14" s="635"/>
      <c r="G14" s="622"/>
    </row>
    <row r="15" spans="1:7" ht="14.25">
      <c r="A15" s="835" t="s">
        <v>126</v>
      </c>
      <c r="B15" s="835"/>
      <c r="C15" s="126"/>
      <c r="D15" s="6"/>
      <c r="E15" s="6"/>
      <c r="F15" s="636"/>
      <c r="G15" s="623"/>
    </row>
    <row r="16" spans="1:7">
      <c r="A16" s="127" t="s">
        <v>121</v>
      </c>
      <c r="B16" s="118"/>
      <c r="C16" s="4" t="s">
        <v>662</v>
      </c>
      <c r="D16" s="52"/>
      <c r="E16" s="410">
        <v>2019</v>
      </c>
      <c r="F16" s="632">
        <v>706</v>
      </c>
      <c r="G16" s="619">
        <v>728</v>
      </c>
    </row>
    <row r="17" spans="1:12">
      <c r="A17" s="128" t="s">
        <v>122</v>
      </c>
      <c r="B17" s="129"/>
      <c r="C17" s="130" t="s">
        <v>663</v>
      </c>
      <c r="D17" s="131"/>
      <c r="E17" s="436">
        <v>2019</v>
      </c>
      <c r="F17" s="637">
        <v>116</v>
      </c>
      <c r="G17" s="624">
        <v>116</v>
      </c>
    </row>
    <row r="18" spans="1:12">
      <c r="A18" s="132" t="s">
        <v>18</v>
      </c>
      <c r="B18" s="129"/>
      <c r="C18" s="133"/>
      <c r="D18" s="131"/>
      <c r="E18" s="131"/>
      <c r="F18" s="637">
        <f>SUM(F16:F17)</f>
        <v>822</v>
      </c>
      <c r="G18" s="624">
        <f>SUM(G16:G17)</f>
        <v>844</v>
      </c>
    </row>
    <row r="19" spans="1:12">
      <c r="A19" s="117"/>
      <c r="B19" s="134"/>
      <c r="C19" s="4"/>
      <c r="D19" s="4"/>
      <c r="E19" s="4"/>
      <c r="F19" s="581"/>
      <c r="G19" s="625"/>
    </row>
    <row r="20" spans="1:12">
      <c r="A20" s="119" t="s">
        <v>19</v>
      </c>
      <c r="B20" s="135"/>
      <c r="C20" s="121"/>
      <c r="D20" s="136"/>
      <c r="E20" s="136"/>
      <c r="F20" s="631">
        <f>+F18+F12</f>
        <v>2951</v>
      </c>
      <c r="G20" s="686">
        <f>+G18+G12</f>
        <v>2764</v>
      </c>
    </row>
    <row r="22" spans="1:12">
      <c r="A22" s="137" t="s">
        <v>164</v>
      </c>
      <c r="B22" s="55"/>
      <c r="C22" s="137"/>
      <c r="D22" s="137"/>
      <c r="E22" s="137"/>
      <c r="F22" s="137"/>
      <c r="G22" s="137"/>
      <c r="H22" s="55"/>
      <c r="I22" s="55"/>
    </row>
    <row r="23" spans="1:12">
      <c r="A23" s="628" t="s">
        <v>884</v>
      </c>
      <c r="B23" s="55"/>
      <c r="C23" s="628"/>
      <c r="D23" s="628"/>
      <c r="E23" s="628"/>
      <c r="F23" s="628"/>
      <c r="G23" s="628"/>
      <c r="H23" s="55"/>
      <c r="I23" s="55"/>
    </row>
    <row r="24" spans="1:12">
      <c r="A24" s="137" t="s">
        <v>165</v>
      </c>
      <c r="B24" s="55"/>
      <c r="C24" s="137"/>
      <c r="D24" s="137"/>
      <c r="E24" s="137"/>
      <c r="F24" s="137"/>
      <c r="G24" s="137"/>
      <c r="H24" s="55"/>
      <c r="I24" s="55"/>
    </row>
    <row r="25" spans="1:12">
      <c r="A25" s="837"/>
      <c r="B25" s="837"/>
      <c r="C25" s="837"/>
      <c r="D25" s="837"/>
      <c r="E25" s="837"/>
      <c r="F25" s="837"/>
      <c r="G25" s="55"/>
      <c r="H25" s="55"/>
      <c r="I25" s="55"/>
      <c r="J25" s="55"/>
      <c r="K25" s="55"/>
      <c r="L25" s="55"/>
    </row>
    <row r="26" spans="1:12">
      <c r="A26" s="837"/>
      <c r="B26" s="837"/>
      <c r="C26" s="837"/>
      <c r="D26" s="837"/>
      <c r="E26" s="837"/>
      <c r="F26" s="837"/>
      <c r="G26" s="55"/>
      <c r="H26" s="55"/>
      <c r="I26" s="55"/>
      <c r="J26" s="55"/>
      <c r="K26" s="55"/>
      <c r="L26" s="55"/>
    </row>
    <row r="27" spans="1:12">
      <c r="A27" s="137"/>
      <c r="B27" s="137"/>
      <c r="C27" s="137"/>
      <c r="D27" s="137"/>
      <c r="E27" s="137"/>
      <c r="F27" s="137"/>
      <c r="G27" s="55"/>
      <c r="H27" s="55"/>
      <c r="I27" s="55"/>
      <c r="J27" s="55"/>
      <c r="K27" s="55"/>
      <c r="L27" s="55"/>
    </row>
    <row r="28" spans="1:12">
      <c r="A28" s="837"/>
      <c r="B28" s="837"/>
      <c r="C28" s="837"/>
      <c r="D28" s="837"/>
      <c r="E28" s="837"/>
      <c r="F28" s="837"/>
      <c r="G28" s="55"/>
      <c r="H28" s="55"/>
      <c r="I28" s="55"/>
      <c r="J28" s="55"/>
      <c r="K28" s="55"/>
      <c r="L28" s="55"/>
    </row>
    <row r="34" spans="1:7" ht="12.75">
      <c r="A34" s="138"/>
      <c r="B34" s="138"/>
      <c r="C34" s="138"/>
      <c r="D34" s="138"/>
      <c r="E34" s="138"/>
      <c r="F34" s="138"/>
      <c r="G34" s="138"/>
    </row>
    <row r="35" spans="1:7">
      <c r="A35" s="139"/>
      <c r="B35" s="140"/>
      <c r="C35" s="140"/>
      <c r="D35" s="140"/>
      <c r="E35" s="140"/>
      <c r="F35" s="836"/>
      <c r="G35" s="836"/>
    </row>
    <row r="61" spans="10:12" ht="12.75">
      <c r="J61" s="55"/>
      <c r="K61" s="138"/>
      <c r="L61" s="138"/>
    </row>
    <row r="62" spans="10:12" ht="12.75">
      <c r="J62" s="55"/>
      <c r="K62" s="138"/>
      <c r="L62" s="138"/>
    </row>
    <row r="63" spans="10:12" ht="12.75">
      <c r="J63" s="55"/>
      <c r="K63" s="138"/>
      <c r="L63" s="138"/>
    </row>
    <row r="64" spans="10:12" ht="12.75">
      <c r="J64" s="55"/>
      <c r="K64" s="138"/>
      <c r="L64" s="138"/>
    </row>
    <row r="65" spans="10:12" ht="12.75">
      <c r="J65" s="55"/>
      <c r="K65" s="138"/>
      <c r="L65" s="138"/>
    </row>
  </sheetData>
  <mergeCells count="7">
    <mergeCell ref="A4:B4"/>
    <mergeCell ref="A6:B6"/>
    <mergeCell ref="A15:B15"/>
    <mergeCell ref="F35:G35"/>
    <mergeCell ref="A25:F25"/>
    <mergeCell ref="A26:F26"/>
    <mergeCell ref="A28:F28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tabColor rgb="FF92D050"/>
    <pageSetUpPr fitToPage="1"/>
  </sheetPr>
  <dimension ref="A1:N26"/>
  <sheetViews>
    <sheetView zoomScaleNormal="100" workbookViewId="0"/>
  </sheetViews>
  <sheetFormatPr baseColWidth="10" defaultColWidth="11" defaultRowHeight="12"/>
  <cols>
    <col min="1" max="1" width="22.75" style="284" customWidth="1"/>
    <col min="2" max="2" width="14.25" style="284" customWidth="1"/>
    <col min="3" max="3" width="12.875" style="284" customWidth="1"/>
    <col min="4" max="4" width="11.5" style="284" customWidth="1"/>
    <col min="5" max="5" width="10.375" style="284" customWidth="1"/>
    <col min="6" max="6" width="10.375" style="18" customWidth="1"/>
    <col min="7" max="16384" width="11" style="18"/>
  </cols>
  <sheetData>
    <row r="1" spans="1:11" ht="21">
      <c r="A1" s="825" t="s">
        <v>960</v>
      </c>
      <c r="B1" s="72"/>
    </row>
    <row r="2" spans="1:11">
      <c r="A2" s="68" t="s">
        <v>151</v>
      </c>
      <c r="B2" s="72"/>
      <c r="H2" s="248"/>
      <c r="I2" s="248"/>
      <c r="J2" s="248"/>
      <c r="K2" s="248"/>
    </row>
    <row r="3" spans="1:11">
      <c r="A3" s="77"/>
      <c r="B3" s="72"/>
      <c r="H3" s="248"/>
      <c r="I3" s="248"/>
      <c r="J3" s="248"/>
      <c r="K3" s="248"/>
    </row>
    <row r="4" spans="1:11" s="308" customFormat="1" ht="12.75" thickBot="1">
      <c r="A4" s="482">
        <v>2018</v>
      </c>
      <c r="B4" s="303" t="s">
        <v>169</v>
      </c>
      <c r="C4" s="141" t="s">
        <v>34</v>
      </c>
      <c r="D4" s="141" t="s">
        <v>35</v>
      </c>
      <c r="E4" s="141" t="s">
        <v>91</v>
      </c>
    </row>
    <row r="5" spans="1:11" s="308" customFormat="1">
      <c r="A5" s="72" t="s">
        <v>30</v>
      </c>
      <c r="B5" s="84">
        <v>124680</v>
      </c>
      <c r="C5" s="84">
        <v>15026</v>
      </c>
      <c r="D5" s="84">
        <v>6248</v>
      </c>
      <c r="E5" s="84">
        <f>SUM(B5:D5)</f>
        <v>145954</v>
      </c>
    </row>
    <row r="6" spans="1:11" s="308" customFormat="1">
      <c r="A6" s="72" t="s">
        <v>31</v>
      </c>
      <c r="B6" s="84">
        <v>16994</v>
      </c>
      <c r="C6" s="84">
        <v>2048</v>
      </c>
      <c r="D6" s="84">
        <v>852</v>
      </c>
      <c r="E6" s="84">
        <f t="shared" ref="E6:E8" si="0">SUM(B6:D6)</f>
        <v>19894</v>
      </c>
    </row>
    <row r="7" spans="1:11" s="308" customFormat="1">
      <c r="A7" s="15" t="s">
        <v>32</v>
      </c>
      <c r="B7" s="84">
        <v>28013</v>
      </c>
      <c r="C7" s="84">
        <v>3376</v>
      </c>
      <c r="D7" s="84">
        <v>1404</v>
      </c>
      <c r="E7" s="84">
        <f t="shared" si="0"/>
        <v>32793</v>
      </c>
    </row>
    <row r="8" spans="1:11" s="308" customFormat="1">
      <c r="A8" s="15" t="s">
        <v>33</v>
      </c>
      <c r="B8" s="84">
        <f>3794+18624</f>
        <v>22418</v>
      </c>
      <c r="C8" s="84">
        <f>457+2245</f>
        <v>2702</v>
      </c>
      <c r="D8" s="84">
        <f>190+933</f>
        <v>1123</v>
      </c>
      <c r="E8" s="84">
        <f t="shared" si="0"/>
        <v>26243</v>
      </c>
    </row>
    <row r="9" spans="1:11" s="308" customFormat="1">
      <c r="A9" s="85" t="s">
        <v>36</v>
      </c>
      <c r="B9" s="143">
        <f>SUM(B5:B8)</f>
        <v>192105</v>
      </c>
      <c r="C9" s="143">
        <f>SUM(C5:C8)</f>
        <v>23152</v>
      </c>
      <c r="D9" s="143">
        <f>SUM(D5:D8)</f>
        <v>9627</v>
      </c>
      <c r="E9" s="143">
        <f>SUM(E5:E8)</f>
        <v>224884</v>
      </c>
    </row>
    <row r="10" spans="1:11" s="308" customFormat="1">
      <c r="A10" s="77"/>
      <c r="B10" s="72"/>
    </row>
    <row r="11" spans="1:11" s="308" customFormat="1">
      <c r="A11" s="77"/>
      <c r="B11" s="72"/>
    </row>
    <row r="12" spans="1:11" ht="12.75" thickBot="1">
      <c r="A12" s="328">
        <v>2017</v>
      </c>
      <c r="B12" s="303" t="s">
        <v>169</v>
      </c>
      <c r="C12" s="141" t="s">
        <v>34</v>
      </c>
      <c r="D12" s="141" t="s">
        <v>35</v>
      </c>
      <c r="E12" s="141" t="s">
        <v>91</v>
      </c>
      <c r="F12" s="61"/>
      <c r="H12" s="248"/>
      <c r="I12" s="248"/>
      <c r="J12" s="248"/>
      <c r="K12" s="248"/>
    </row>
    <row r="13" spans="1:11">
      <c r="A13" s="72" t="s">
        <v>30</v>
      </c>
      <c r="B13" s="84">
        <v>117331</v>
      </c>
      <c r="C13" s="84">
        <v>15250</v>
      </c>
      <c r="D13" s="84">
        <v>5997</v>
      </c>
      <c r="E13" s="84">
        <v>138578</v>
      </c>
      <c r="F13" s="142"/>
    </row>
    <row r="14" spans="1:11">
      <c r="A14" s="72" t="s">
        <v>31</v>
      </c>
      <c r="B14" s="84">
        <v>15848</v>
      </c>
      <c r="C14" s="84">
        <v>2088</v>
      </c>
      <c r="D14" s="84">
        <v>822</v>
      </c>
      <c r="E14" s="84">
        <v>18758</v>
      </c>
      <c r="F14" s="142"/>
    </row>
    <row r="15" spans="1:11">
      <c r="A15" s="15" t="s">
        <v>32</v>
      </c>
      <c r="B15" s="84">
        <v>26651</v>
      </c>
      <c r="C15" s="84">
        <v>3608</v>
      </c>
      <c r="D15" s="84">
        <v>1517</v>
      </c>
      <c r="E15" s="84">
        <v>31776</v>
      </c>
      <c r="F15" s="142"/>
    </row>
    <row r="16" spans="1:11">
      <c r="A16" s="15" t="s">
        <v>33</v>
      </c>
      <c r="B16" s="84">
        <v>12724</v>
      </c>
      <c r="C16" s="84">
        <v>1766</v>
      </c>
      <c r="D16" s="84">
        <v>784</v>
      </c>
      <c r="E16" s="84">
        <v>15274</v>
      </c>
      <c r="F16" s="142"/>
    </row>
    <row r="17" spans="1:14">
      <c r="A17" s="211" t="s">
        <v>36</v>
      </c>
      <c r="B17" s="687">
        <f>SUM(B13:B16)</f>
        <v>172554</v>
      </c>
      <c r="C17" s="687">
        <f>SUM(C13:C16)</f>
        <v>22712</v>
      </c>
      <c r="D17" s="687">
        <f>SUM(D13:D16)</f>
        <v>9120</v>
      </c>
      <c r="E17" s="687">
        <f>SUM(E13:E16)</f>
        <v>204386</v>
      </c>
      <c r="F17" s="142"/>
      <c r="I17" s="23"/>
    </row>
    <row r="18" spans="1:14">
      <c r="A18" s="308"/>
      <c r="B18" s="308"/>
      <c r="C18" s="308"/>
      <c r="D18" s="308"/>
      <c r="E18" s="308"/>
      <c r="F18" s="15"/>
      <c r="I18" s="23"/>
    </row>
    <row r="19" spans="1:14">
      <c r="A19" s="308"/>
      <c r="B19" s="308"/>
      <c r="C19" s="308"/>
      <c r="D19" s="308"/>
      <c r="E19" s="308"/>
      <c r="F19" s="61"/>
    </row>
    <row r="21" spans="1:14">
      <c r="J21" s="144"/>
      <c r="K21" s="145"/>
      <c r="L21" s="248"/>
      <c r="M21" s="248"/>
      <c r="N21" s="248"/>
    </row>
    <row r="22" spans="1:14">
      <c r="K22" s="145"/>
      <c r="L22" s="248"/>
      <c r="M22" s="248"/>
      <c r="N22" s="248"/>
    </row>
    <row r="23" spans="1:14">
      <c r="L23" s="248"/>
      <c r="M23" s="248"/>
      <c r="N23" s="248"/>
    </row>
    <row r="24" spans="1:14">
      <c r="L24" s="145"/>
      <c r="M24" s="248"/>
      <c r="N24" s="145"/>
    </row>
    <row r="25" spans="1:14">
      <c r="L25" s="248"/>
      <c r="M25" s="248"/>
      <c r="N25" s="248"/>
    </row>
    <row r="26" spans="1:14">
      <c r="L26" s="248"/>
      <c r="M26" s="248"/>
      <c r="N26" s="248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Navngitte områder</vt:lpstr>
      </vt:variant>
      <vt:variant>
        <vt:i4>25</vt:i4>
      </vt:variant>
    </vt:vector>
  </HeadingPairs>
  <TitlesOfParts>
    <vt:vector size="59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'17'!Utskriftsområde</vt:lpstr>
      <vt:lpstr>'18'!Utskriftsområde</vt:lpstr>
      <vt:lpstr>'19'!Utskriftsområde</vt:lpstr>
      <vt:lpstr>'2'!Utskriftsområde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'27'!Utskriftsområde</vt:lpstr>
      <vt:lpstr>'28'!Utskriftsområde</vt:lpstr>
      <vt:lpstr>'3'!Utskriftsområde</vt:lpstr>
      <vt:lpstr>'4'!Utskriftsområde</vt:lpstr>
      <vt:lpstr>'5'!Utskriftsområde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Hanne Kathrin Westgård Østråt</cp:lastModifiedBy>
  <cp:lastPrinted>2019-02-15T12:45:12Z</cp:lastPrinted>
  <dcterms:created xsi:type="dcterms:W3CDTF">2008-04-01T14:46:24Z</dcterms:created>
  <dcterms:modified xsi:type="dcterms:W3CDTF">2019-05-22T10:20:30Z</dcterms:modified>
</cp:coreProperties>
</file>