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Risikostyring\Pilar 3\2020\"/>
    </mc:Choice>
  </mc:AlternateContent>
  <xr:revisionPtr revIDLastSave="0" documentId="13_ncr:1_{CEFBEE82-0BC8-4374-95D7-B16A4ACB5694}" xr6:coauthVersionLast="44" xr6:coauthVersionMax="44" xr10:uidLastSave="{00000000-0000-0000-0000-000000000000}"/>
  <bookViews>
    <workbookView xWindow="12930" yWindow="6045" windowWidth="28800" windowHeight="11805" tabRatio="936" xr2:uid="{00000000-000D-0000-FFFF-FFFF00000000}"/>
  </bookViews>
  <sheets>
    <sheet name="Innholdsfortegnelse" sheetId="27" r:id="rId1"/>
    <sheet name="1" sheetId="32" r:id="rId2"/>
    <sheet name="2" sheetId="36" r:id="rId3"/>
    <sheet name="3" sheetId="31" r:id="rId4"/>
    <sheet name="4" sheetId="4" r:id="rId5"/>
    <sheet name="5" sheetId="14" r:id="rId6"/>
    <sheet name="6" sheetId="6" r:id="rId7"/>
    <sheet name="7" sheetId="28" r:id="rId8"/>
    <sheet name="8" sheetId="20" r:id="rId9"/>
    <sheet name="9" sheetId="21" r:id="rId10"/>
    <sheet name="10" sheetId="19" r:id="rId11"/>
    <sheet name="11" sheetId="18" r:id="rId12"/>
    <sheet name="12" sheetId="17" r:id="rId13"/>
    <sheet name="13" sheetId="9" r:id="rId14"/>
    <sheet name="14" sheetId="16" r:id="rId15"/>
    <sheet name="15" sheetId="15" r:id="rId16"/>
    <sheet name="16" sheetId="13" r:id="rId17"/>
    <sheet name="17" sheetId="29" r:id="rId18"/>
    <sheet name="18" sheetId="42" r:id="rId19"/>
    <sheet name="19" sheetId="30" r:id="rId20"/>
    <sheet name="20" sheetId="43" r:id="rId21"/>
    <sheet name="21" sheetId="8" r:id="rId22"/>
    <sheet name="22" sheetId="10" r:id="rId23"/>
    <sheet name="23" sheetId="5" r:id="rId24"/>
    <sheet name="24" sheetId="26" r:id="rId25"/>
    <sheet name="25" sheetId="25" r:id="rId26"/>
    <sheet name="26" sheetId="23" r:id="rId27"/>
    <sheet name="27" sheetId="11" r:id="rId28"/>
    <sheet name="28" sheetId="37" r:id="rId29"/>
    <sheet name="29" sheetId="38" r:id="rId30"/>
    <sheet name="30" sheetId="39" r:id="rId31"/>
    <sheet name="31" sheetId="41" r:id="rId32"/>
    <sheet name="32" sheetId="45" r:id="rId33"/>
    <sheet name="33" sheetId="47" r:id="rId34"/>
  </sheets>
  <externalReferences>
    <externalReference r:id="rId35"/>
  </externalReferences>
  <definedNames>
    <definedName name="_Toc288045747" localSheetId="1">'1'!#REF!</definedName>
    <definedName name="_Toc288045747" localSheetId="2">'2'!#REF!</definedName>
    <definedName name="_Toc288045747" localSheetId="3">'3'!#REF!</definedName>
    <definedName name="_Toc288045748" localSheetId="4">'4'!#REF!</definedName>
    <definedName name="_xlnm.Print_Area" localSheetId="1">'1'!$A$1:$G$55</definedName>
    <definedName name="_xlnm.Print_Area" localSheetId="10">'10'!$A$1:$G$39</definedName>
    <definedName name="_xlnm.Print_Area" localSheetId="11">'11'!$A$1:$F$21</definedName>
    <definedName name="_xlnm.Print_Area" localSheetId="12">'12'!$A$1:$E$40</definedName>
    <definedName name="_xlnm.Print_Area" localSheetId="13">'13'!$A$1:$D$5</definedName>
    <definedName name="_xlnm.Print_Area" localSheetId="14">'14'!$A$1:$D$23</definedName>
    <definedName name="_xlnm.Print_Area" localSheetId="15">'15'!$A$1:$E$33</definedName>
    <definedName name="_xlnm.Print_Area" localSheetId="16">'16'!$A$1:$G$158</definedName>
    <definedName name="_xlnm.Print_Area" localSheetId="17">'17'!$A$1:$D$2</definedName>
    <definedName name="_xlnm.Print_Area" localSheetId="18">'18'!$A$1:$D$3</definedName>
    <definedName name="_xlnm.Print_Area" localSheetId="19">'19'!$A$1:$E$3</definedName>
    <definedName name="_xlnm.Print_Area" localSheetId="2">'2'!$A$1:$G$24</definedName>
    <definedName name="_xlnm.Print_Area" localSheetId="21">'21'!$A$1:$I$21</definedName>
    <definedName name="_xlnm.Print_Area" localSheetId="22">'22'!$A$1:$I$15</definedName>
    <definedName name="_xlnm.Print_Area" localSheetId="23">'23'!$A$1:$E$23</definedName>
    <definedName name="_xlnm.Print_Area" localSheetId="24">'24'!$A$1:$F$18</definedName>
    <definedName name="_xlnm.Print_Area" localSheetId="25">'25'!$A$1:$E$10</definedName>
    <definedName name="_xlnm.Print_Area" localSheetId="26">'26'!$A$1:$E$10</definedName>
    <definedName name="_xlnm.Print_Area" localSheetId="27">'27'!$A$1:$E$43</definedName>
    <definedName name="_xlnm.Print_Area" localSheetId="28">'28'!$A$1:$K$46</definedName>
    <definedName name="_xlnm.Print_Area" localSheetId="3">'3'!$A$1:$H$16</definedName>
    <definedName name="_xlnm.Print_Area" localSheetId="4">'4'!$A$1:$E$58</definedName>
    <definedName name="_xlnm.Print_Area" localSheetId="5">'5'!$A$1:$F$27</definedName>
    <definedName name="_xlnm.Print_Area" localSheetId="7">'7'!$A$1:$I$28</definedName>
    <definedName name="_xlnm.Print_Area" localSheetId="8">'8'!$A$1:$G$21</definedName>
    <definedName name="_xlnm.Print_Area" localSheetId="9">'9'!$A$1:$C$30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5" i="4" l="1"/>
  <c r="B28" i="4"/>
  <c r="D37" i="17" l="1"/>
  <c r="C37" i="17"/>
  <c r="B37" i="17"/>
  <c r="G20" i="39" l="1"/>
  <c r="G7" i="39"/>
  <c r="G12" i="39" l="1"/>
  <c r="G38" i="39" l="1"/>
  <c r="H38" i="39" s="1"/>
  <c r="G35" i="39"/>
  <c r="C38" i="39"/>
  <c r="C37" i="39"/>
  <c r="C14" i="39"/>
  <c r="B32" i="39"/>
  <c r="E20" i="14" l="1"/>
  <c r="E19" i="14"/>
  <c r="C19" i="14"/>
  <c r="C20" i="14"/>
  <c r="C17" i="14"/>
  <c r="E17" i="14"/>
  <c r="E11" i="14"/>
  <c r="D11" i="14"/>
  <c r="C11" i="14"/>
  <c r="E13" i="14"/>
  <c r="D13" i="14"/>
  <c r="C13" i="14"/>
  <c r="E9" i="14"/>
  <c r="D9" i="14"/>
  <c r="C9" i="14"/>
  <c r="F20" i="14"/>
  <c r="F19" i="14"/>
  <c r="F17" i="14"/>
  <c r="F24" i="14" s="1"/>
  <c r="F13" i="14"/>
  <c r="F9" i="14"/>
  <c r="F14" i="14" s="1"/>
  <c r="G17" i="6"/>
  <c r="F17" i="6"/>
  <c r="E17" i="6"/>
  <c r="D17" i="6"/>
  <c r="C17" i="6"/>
  <c r="C16" i="6"/>
  <c r="B45" i="4"/>
  <c r="B17" i="4"/>
  <c r="F26" i="14" l="1"/>
  <c r="C51" i="4" l="1"/>
  <c r="C36" i="4"/>
  <c r="C17" i="4"/>
  <c r="C28" i="4" s="1"/>
  <c r="C55" i="4" l="1"/>
  <c r="C31" i="4"/>
  <c r="C56" i="4" s="1"/>
  <c r="C47" i="4"/>
  <c r="C49" i="4"/>
  <c r="C50" i="4"/>
  <c r="C38" i="4" l="1"/>
  <c r="C57" i="4" s="1"/>
  <c r="C52" i="4"/>
  <c r="C53" i="4" s="1"/>
  <c r="C30" i="32" l="1"/>
  <c r="B24" i="32"/>
  <c r="C12" i="16" l="1"/>
  <c r="D12" i="16"/>
  <c r="B12" i="16"/>
  <c r="E17" i="19"/>
  <c r="I41" i="9" l="1"/>
  <c r="H41" i="9"/>
  <c r="G41" i="9"/>
  <c r="J41" i="9" s="1"/>
  <c r="D41" i="9"/>
  <c r="C41" i="9"/>
  <c r="B41" i="9"/>
  <c r="E41" i="9" s="1"/>
  <c r="A41" i="9"/>
  <c r="J40" i="9"/>
  <c r="E40" i="9"/>
  <c r="J39" i="9"/>
  <c r="E39" i="9"/>
  <c r="J38" i="9"/>
  <c r="E38" i="9"/>
  <c r="J37" i="9"/>
  <c r="E37" i="9"/>
  <c r="J36" i="9"/>
  <c r="E36" i="9"/>
  <c r="J35" i="9"/>
  <c r="E35" i="9"/>
  <c r="J34" i="9"/>
  <c r="E34" i="9"/>
  <c r="J33" i="9"/>
  <c r="E33" i="9"/>
  <c r="J32" i="9"/>
  <c r="E32" i="9"/>
  <c r="J31" i="9"/>
  <c r="E31" i="9"/>
  <c r="J30" i="9"/>
  <c r="E30" i="9"/>
  <c r="A29" i="9"/>
  <c r="J28" i="9"/>
  <c r="E28" i="9"/>
  <c r="A28" i="9"/>
  <c r="I22" i="9"/>
  <c r="H22" i="9"/>
  <c r="G22" i="9"/>
  <c r="E22" i="9"/>
  <c r="D22" i="9"/>
  <c r="C22" i="9"/>
  <c r="B22" i="9"/>
  <c r="J21" i="9"/>
  <c r="E21" i="9"/>
  <c r="J20" i="9"/>
  <c r="E20" i="9"/>
  <c r="J19" i="9"/>
  <c r="E19" i="9"/>
  <c r="J18" i="9"/>
  <c r="E18" i="9"/>
  <c r="J17" i="9"/>
  <c r="E17" i="9"/>
  <c r="J16" i="9"/>
  <c r="E16" i="9"/>
  <c r="J15" i="9"/>
  <c r="E15" i="9"/>
  <c r="J14" i="9"/>
  <c r="E14" i="9"/>
  <c r="J13" i="9"/>
  <c r="E13" i="9"/>
  <c r="J12" i="9"/>
  <c r="E12" i="9"/>
  <c r="J11" i="9"/>
  <c r="E11" i="9"/>
  <c r="J9" i="9"/>
  <c r="J22" i="9" s="1"/>
  <c r="E9" i="9"/>
  <c r="C5" i="18"/>
  <c r="C20" i="18"/>
  <c r="F20" i="18" s="1"/>
  <c r="F19" i="18"/>
  <c r="E17" i="18"/>
  <c r="D17" i="18"/>
  <c r="C17" i="18"/>
  <c r="B17" i="18"/>
  <c r="F16" i="18"/>
  <c r="F15" i="18"/>
  <c r="C14" i="18"/>
  <c r="F14" i="18" s="1"/>
  <c r="F17" i="18" s="1"/>
  <c r="D16" i="19"/>
  <c r="D18" i="19" s="1"/>
  <c r="C16" i="19"/>
  <c r="C18" i="19" s="1"/>
  <c r="E35" i="19"/>
  <c r="D34" i="19"/>
  <c r="D36" i="19" s="1"/>
  <c r="C34" i="19"/>
  <c r="C36" i="19" s="1"/>
  <c r="E33" i="19"/>
  <c r="E32" i="19"/>
  <c r="E31" i="19"/>
  <c r="E30" i="19"/>
  <c r="E29" i="19"/>
  <c r="E28" i="19"/>
  <c r="E27" i="19"/>
  <c r="E26" i="19"/>
  <c r="E25" i="19"/>
  <c r="E24" i="19"/>
  <c r="E23" i="19"/>
  <c r="C20" i="21"/>
  <c r="C23" i="21" s="1"/>
  <c r="C27" i="21" s="1"/>
  <c r="B20" i="21"/>
  <c r="B23" i="21" s="1"/>
  <c r="B27" i="21" s="1"/>
  <c r="C13" i="21"/>
  <c r="C12" i="21"/>
  <c r="C9" i="21"/>
  <c r="C8" i="21"/>
  <c r="B7" i="21"/>
  <c r="B10" i="21" s="1"/>
  <c r="B14" i="21" s="1"/>
  <c r="C6" i="21"/>
  <c r="C5" i="21"/>
  <c r="C7" i="21" s="1"/>
  <c r="C10" i="21" s="1"/>
  <c r="C14" i="21" s="1"/>
  <c r="E34" i="19" l="1"/>
  <c r="E36" i="19" s="1"/>
  <c r="H11" i="10"/>
  <c r="F11" i="10"/>
  <c r="D11" i="10"/>
  <c r="E9" i="20" l="1"/>
  <c r="E5" i="20"/>
  <c r="C10" i="20"/>
  <c r="D10" i="20"/>
  <c r="E17" i="20"/>
  <c r="E16" i="20"/>
  <c r="E15" i="20"/>
  <c r="E14" i="20"/>
  <c r="B10" i="20" l="1"/>
  <c r="H36" i="39" l="1"/>
  <c r="H31" i="39"/>
  <c r="H30" i="39"/>
  <c r="H29" i="39"/>
  <c r="H28" i="39"/>
  <c r="H27" i="39"/>
  <c r="H6" i="39"/>
  <c r="E38" i="39"/>
  <c r="D38" i="39"/>
  <c r="F37" i="39"/>
  <c r="E37" i="39"/>
  <c r="D37" i="39"/>
  <c r="F35" i="39"/>
  <c r="E35" i="39"/>
  <c r="D35" i="39"/>
  <c r="C35" i="39"/>
  <c r="F26" i="39"/>
  <c r="E26" i="39"/>
  <c r="C26" i="39"/>
  <c r="F25" i="39"/>
  <c r="E25" i="39"/>
  <c r="D25" i="39"/>
  <c r="C25" i="39"/>
  <c r="D24" i="39"/>
  <c r="C24" i="39"/>
  <c r="E23" i="39"/>
  <c r="D23" i="39"/>
  <c r="C23" i="39"/>
  <c r="E22" i="39"/>
  <c r="D22" i="39"/>
  <c r="C22" i="39"/>
  <c r="E21" i="39"/>
  <c r="H21" i="39" s="1"/>
  <c r="F20" i="39"/>
  <c r="E20" i="39"/>
  <c r="D20" i="39"/>
  <c r="H20" i="39" s="1"/>
  <c r="F16" i="39"/>
  <c r="E16" i="39"/>
  <c r="C16" i="39"/>
  <c r="F15" i="39"/>
  <c r="E15" i="39"/>
  <c r="D15" i="39"/>
  <c r="F14" i="39"/>
  <c r="D14" i="39"/>
  <c r="E13" i="39"/>
  <c r="H13" i="39" s="1"/>
  <c r="E12" i="39"/>
  <c r="H12" i="39" s="1"/>
  <c r="E11" i="39"/>
  <c r="H11" i="39" s="1"/>
  <c r="E10" i="39"/>
  <c r="D10" i="39"/>
  <c r="C10" i="39"/>
  <c r="E9" i="39"/>
  <c r="D9" i="39"/>
  <c r="C9" i="39"/>
  <c r="H9" i="39" s="1"/>
  <c r="F8" i="39"/>
  <c r="E8" i="39"/>
  <c r="D8" i="39"/>
  <c r="C8" i="39"/>
  <c r="F7" i="39"/>
  <c r="F17" i="39" s="1"/>
  <c r="E7" i="39"/>
  <c r="D7" i="39"/>
  <c r="C7" i="39"/>
  <c r="B17" i="39"/>
  <c r="H10" i="39" l="1"/>
  <c r="H16" i="39"/>
  <c r="H7" i="39"/>
  <c r="H22" i="39"/>
  <c r="H25" i="39"/>
  <c r="H14" i="39"/>
  <c r="H23" i="39"/>
  <c r="G37" i="39"/>
  <c r="H37" i="39" s="1"/>
  <c r="H8" i="39"/>
  <c r="H15" i="39"/>
  <c r="H26" i="39"/>
  <c r="H24" i="39"/>
  <c r="D17" i="39"/>
  <c r="C17" i="39"/>
  <c r="H35" i="39"/>
  <c r="E17" i="39"/>
  <c r="B10" i="11"/>
  <c r="B23" i="11"/>
  <c r="C33" i="11"/>
  <c r="C23" i="11"/>
  <c r="C10" i="11"/>
  <c r="E12" i="26" l="1"/>
  <c r="C14" i="5" l="1"/>
  <c r="D18" i="5" l="1"/>
  <c r="D14" i="5"/>
  <c r="D19" i="5" s="1"/>
  <c r="H4" i="10" l="1"/>
  <c r="D13" i="8"/>
  <c r="C13" i="8"/>
  <c r="D11" i="8"/>
  <c r="D12" i="8"/>
  <c r="D9" i="8"/>
  <c r="D8" i="8"/>
  <c r="C8" i="8"/>
  <c r="D7" i="8"/>
  <c r="G13" i="8" l="1"/>
  <c r="F13" i="8"/>
  <c r="G12" i="8"/>
  <c r="G11" i="8"/>
  <c r="G9" i="8"/>
  <c r="F8" i="8"/>
  <c r="G8" i="8" s="1"/>
  <c r="G7" i="8"/>
  <c r="C8" i="6" l="1"/>
  <c r="C16" i="38" l="1"/>
  <c r="C16" i="32" l="1"/>
  <c r="J9" i="45" l="1"/>
  <c r="I9" i="45"/>
  <c r="H9" i="45"/>
  <c r="G9" i="45"/>
  <c r="F9" i="45"/>
  <c r="E9" i="45"/>
  <c r="D9" i="45"/>
  <c r="C9" i="45"/>
  <c r="B9" i="45"/>
  <c r="K8" i="45"/>
  <c r="K9" i="45" s="1"/>
  <c r="G39" i="39"/>
  <c r="F39" i="39"/>
  <c r="E39" i="39"/>
  <c r="D39" i="39"/>
  <c r="C39" i="39"/>
  <c r="B39" i="39"/>
  <c r="G32" i="39"/>
  <c r="D32" i="39"/>
  <c r="F32" i="39"/>
  <c r="E32" i="39"/>
  <c r="C32" i="39"/>
  <c r="C109" i="38"/>
  <c r="C91" i="38"/>
  <c r="C63" i="38"/>
  <c r="C81" i="38" s="1"/>
  <c r="C53" i="38"/>
  <c r="C54" i="38" s="1"/>
  <c r="G9" i="6"/>
  <c r="F9" i="6"/>
  <c r="E9" i="6"/>
  <c r="D9" i="6"/>
  <c r="C9" i="6"/>
  <c r="E24" i="14"/>
  <c r="C24" i="14"/>
  <c r="E14" i="14"/>
  <c r="D14" i="14"/>
  <c r="C14" i="14"/>
  <c r="B51" i="4"/>
  <c r="B36" i="4"/>
  <c r="B55" i="4" l="1"/>
  <c r="C110" i="38"/>
  <c r="G41" i="39"/>
  <c r="F41" i="39"/>
  <c r="E41" i="39"/>
  <c r="D41" i="39"/>
  <c r="C41" i="39"/>
  <c r="E26" i="14"/>
  <c r="C82" i="38"/>
  <c r="B47" i="4"/>
  <c r="B50" i="4"/>
  <c r="B41" i="39"/>
  <c r="H39" i="39"/>
  <c r="H17" i="39"/>
  <c r="G17" i="39"/>
  <c r="H32" i="39"/>
  <c r="B31" i="4"/>
  <c r="B56" i="4" s="1"/>
  <c r="B49" i="4"/>
  <c r="B38" i="4" l="1"/>
  <c r="B57" i="4" s="1"/>
  <c r="B52" i="4"/>
  <c r="B53" i="4" s="1"/>
  <c r="C111" i="38"/>
  <c r="H41" i="39"/>
  <c r="B10" i="32"/>
  <c r="D8" i="47" l="1"/>
  <c r="C8" i="47"/>
  <c r="B8" i="47"/>
  <c r="J154" i="13" l="1"/>
  <c r="H154" i="13"/>
  <c r="E154" i="13"/>
  <c r="D154" i="13"/>
  <c r="C154" i="13"/>
  <c r="I153" i="13"/>
  <c r="I152" i="13"/>
  <c r="I151" i="13"/>
  <c r="I150" i="13"/>
  <c r="I149" i="13"/>
  <c r="I148" i="13"/>
  <c r="I147" i="13"/>
  <c r="I146" i="13"/>
  <c r="I145" i="13"/>
  <c r="I144" i="13"/>
  <c r="J142" i="13"/>
  <c r="H142" i="13"/>
  <c r="E142" i="13"/>
  <c r="D142" i="13"/>
  <c r="C142" i="13"/>
  <c r="I141" i="13"/>
  <c r="I140" i="13"/>
  <c r="I139" i="13"/>
  <c r="I138" i="13"/>
  <c r="I137" i="13"/>
  <c r="I136" i="13"/>
  <c r="I135" i="13"/>
  <c r="I134" i="13"/>
  <c r="I133" i="13"/>
  <c r="I132" i="13"/>
  <c r="J130" i="13"/>
  <c r="H130" i="13"/>
  <c r="E130" i="13"/>
  <c r="D130" i="13"/>
  <c r="C130" i="13"/>
  <c r="I129" i="13"/>
  <c r="I128" i="13"/>
  <c r="I127" i="13"/>
  <c r="I126" i="13"/>
  <c r="I125" i="13"/>
  <c r="I124" i="13"/>
  <c r="I123" i="13"/>
  <c r="I122" i="13"/>
  <c r="I121" i="13"/>
  <c r="I120" i="13"/>
  <c r="J118" i="13"/>
  <c r="H118" i="13"/>
  <c r="E118" i="13"/>
  <c r="D118" i="13"/>
  <c r="C118" i="13"/>
  <c r="I117" i="13"/>
  <c r="I115" i="13"/>
  <c r="I114" i="13"/>
  <c r="I113" i="13"/>
  <c r="I112" i="13"/>
  <c r="I111" i="13"/>
  <c r="I110" i="13"/>
  <c r="I109" i="13"/>
  <c r="I108" i="13"/>
  <c r="J106" i="13"/>
  <c r="H106" i="13"/>
  <c r="E106" i="13"/>
  <c r="D106" i="13"/>
  <c r="C106" i="13"/>
  <c r="I105" i="13"/>
  <c r="I104" i="13"/>
  <c r="I103" i="13"/>
  <c r="I102" i="13"/>
  <c r="I101" i="13"/>
  <c r="I100" i="13"/>
  <c r="I99" i="13"/>
  <c r="I98" i="13"/>
  <c r="I97" i="13"/>
  <c r="I96" i="13"/>
  <c r="J94" i="13"/>
  <c r="H94" i="13"/>
  <c r="E94" i="13"/>
  <c r="D94" i="13"/>
  <c r="C94" i="13"/>
  <c r="I93" i="13"/>
  <c r="I92" i="13"/>
  <c r="I91" i="13"/>
  <c r="I90" i="13"/>
  <c r="I89" i="13"/>
  <c r="I88" i="13"/>
  <c r="I87" i="13"/>
  <c r="I86" i="13"/>
  <c r="I85" i="13"/>
  <c r="I84" i="13"/>
  <c r="I142" i="13" l="1"/>
  <c r="E155" i="13"/>
  <c r="I130" i="13"/>
  <c r="I118" i="13"/>
  <c r="I106" i="13"/>
  <c r="H155" i="13"/>
  <c r="C155" i="13"/>
  <c r="I154" i="13"/>
  <c r="D155" i="13"/>
  <c r="J155" i="13"/>
  <c r="I94" i="13"/>
  <c r="C16" i="17"/>
  <c r="D16" i="17"/>
  <c r="B16" i="17"/>
  <c r="I155" i="13" l="1"/>
  <c r="D18" i="17"/>
  <c r="C18" i="17"/>
  <c r="B18" i="17"/>
  <c r="C21" i="16" l="1"/>
  <c r="B21" i="16"/>
  <c r="D32" i="15"/>
  <c r="C32" i="15"/>
  <c r="B32" i="15"/>
  <c r="E31" i="15"/>
  <c r="E30" i="15"/>
  <c r="D27" i="15"/>
  <c r="C27" i="15"/>
  <c r="B27" i="15"/>
  <c r="E26" i="15"/>
  <c r="E25" i="15"/>
  <c r="E24" i="15"/>
  <c r="E27" i="15" l="1"/>
  <c r="E32" i="15"/>
  <c r="C18" i="5" l="1"/>
  <c r="C19" i="5" s="1"/>
  <c r="D39" i="17" l="1"/>
  <c r="C39" i="17"/>
  <c r="B39" i="17"/>
  <c r="E15" i="19" l="1"/>
  <c r="D18" i="20" l="1"/>
  <c r="C18" i="20"/>
  <c r="B18" i="20"/>
  <c r="E10" i="31" l="1"/>
  <c r="D7" i="26" l="1"/>
  <c r="E6" i="20" l="1"/>
  <c r="E7" i="20"/>
  <c r="E8" i="20"/>
  <c r="E10" i="20" l="1"/>
  <c r="E18" i="20"/>
  <c r="E6" i="19"/>
  <c r="E7" i="19"/>
  <c r="E8" i="19"/>
  <c r="E9" i="19"/>
  <c r="E10" i="19"/>
  <c r="E11" i="19"/>
  <c r="E12" i="19"/>
  <c r="E13" i="19"/>
  <c r="E14" i="19"/>
  <c r="E5" i="19"/>
  <c r="E16" i="19" l="1"/>
  <c r="E18" i="19" s="1"/>
  <c r="G17" i="28" l="1"/>
  <c r="G11" i="28"/>
  <c r="G19" i="28" l="1"/>
  <c r="E7" i="23"/>
  <c r="C7" i="25" l="1"/>
  <c r="F13" i="26" l="1"/>
  <c r="E13" i="26"/>
  <c r="D13" i="26"/>
  <c r="C13" i="26"/>
  <c r="B13" i="26"/>
  <c r="H10" i="10" l="1"/>
  <c r="H9" i="10"/>
  <c r="H8" i="10"/>
  <c r="H7" i="10"/>
  <c r="H6" i="10"/>
  <c r="H5" i="10"/>
  <c r="G11" i="10"/>
  <c r="I11" i="10"/>
  <c r="F14" i="8" l="1"/>
  <c r="F11" i="18" l="1"/>
  <c r="F10" i="18"/>
  <c r="E8" i="18"/>
  <c r="D8" i="18"/>
  <c r="C8" i="18"/>
  <c r="B8" i="18"/>
  <c r="F6" i="18"/>
  <c r="F5" i="18"/>
  <c r="F8" i="18" l="1"/>
  <c r="F10" i="10" l="1"/>
  <c r="F9" i="10"/>
  <c r="F8" i="10"/>
  <c r="F7" i="10"/>
  <c r="F6" i="10"/>
  <c r="F5" i="10"/>
  <c r="F4" i="10"/>
  <c r="C10" i="31" l="1"/>
  <c r="F11" i="28" l="1"/>
  <c r="F17" i="28"/>
  <c r="F19" i="28" l="1"/>
  <c r="D10" i="10"/>
  <c r="D9" i="10"/>
  <c r="C4" i="10"/>
  <c r="D4" i="10" s="1"/>
  <c r="C14" i="8" l="1"/>
  <c r="D6" i="10" l="1"/>
  <c r="D7" i="23" l="1"/>
  <c r="C11" i="10" l="1"/>
  <c r="E11" i="10"/>
  <c r="D21" i="16" l="1"/>
  <c r="B33" i="11" l="1"/>
  <c r="D8" i="10" l="1"/>
  <c r="D7" i="10"/>
  <c r="D5" i="10"/>
  <c r="C7" i="23" l="1"/>
  <c r="F7" i="26" l="1"/>
  <c r="C7" i="26"/>
  <c r="B7" i="26"/>
  <c r="E7" i="26"/>
  <c r="B7" i="25" l="1"/>
</calcChain>
</file>

<file path=xl/sharedStrings.xml><?xml version="1.0" encoding="utf-8"?>
<sst xmlns="http://schemas.openxmlformats.org/spreadsheetml/2006/main" count="2360" uniqueCount="928">
  <si>
    <t>Antall aksjer</t>
  </si>
  <si>
    <t>Bokført verdi</t>
  </si>
  <si>
    <t>Stemmerett</t>
  </si>
  <si>
    <t>Selskaper som er fullt konsolidert</t>
  </si>
  <si>
    <t>Oppkjøpsmetoden</t>
  </si>
  <si>
    <t>Sum</t>
  </si>
  <si>
    <t>Konsolideringsmetode er lik for regnskapsformål og kapitaldekningsformål.</t>
  </si>
  <si>
    <t>Øvrige finansinstitusjoner</t>
  </si>
  <si>
    <t>Overkursfond</t>
  </si>
  <si>
    <t>Avsatt utbytte</t>
  </si>
  <si>
    <t>Annen egenkapital</t>
  </si>
  <si>
    <t>Sum balanseført egenkapital</t>
  </si>
  <si>
    <t>Utsatt skatt, goodwill og andre immaterielle eiendeler</t>
  </si>
  <si>
    <t>Sum kjernekapital</t>
  </si>
  <si>
    <t>Tilleggskapital utover kjernekapital</t>
  </si>
  <si>
    <t>Netto ansvarlig kapital</t>
  </si>
  <si>
    <t>Sum tidsbegrenset</t>
  </si>
  <si>
    <t>Sum fondsobligasjon</t>
  </si>
  <si>
    <t>Sum ansvarlig lånekapital</t>
  </si>
  <si>
    <t>Foretak</t>
  </si>
  <si>
    <t>Massemarked</t>
  </si>
  <si>
    <t>Brutto engasjement kunder</t>
  </si>
  <si>
    <t>Netto engasjement kunder</t>
  </si>
  <si>
    <t>Stater (Norges Bank)</t>
  </si>
  <si>
    <t>Institusjoner</t>
  </si>
  <si>
    <t>Sum engasjementsbeløp</t>
  </si>
  <si>
    <t>Rogaland</t>
  </si>
  <si>
    <t>Agder-fylkene</t>
  </si>
  <si>
    <t>Hordaland</t>
  </si>
  <si>
    <t>Øvrige</t>
  </si>
  <si>
    <t>Ubenyttet kreditt</t>
  </si>
  <si>
    <t>Garantier</t>
  </si>
  <si>
    <t>Sum brutto engasjement kunder</t>
  </si>
  <si>
    <t>Industri</t>
  </si>
  <si>
    <t>Varehandel, hotell og restaurantvirksomhet</t>
  </si>
  <si>
    <t>Tjenesteytende virksomhet</t>
  </si>
  <si>
    <t>Offentlig forvaltning og finansielle tjenester</t>
  </si>
  <si>
    <t>Sum foretak</t>
  </si>
  <si>
    <t>På forespørsel</t>
  </si>
  <si>
    <t>&lt;1 år</t>
  </si>
  <si>
    <t>1-5 år</t>
  </si>
  <si>
    <t>over 5 år</t>
  </si>
  <si>
    <t>Engasjement</t>
  </si>
  <si>
    <t>EAD</t>
  </si>
  <si>
    <t>Konsolidert</t>
  </si>
  <si>
    <t>Massemarked SMB</t>
  </si>
  <si>
    <t>Unotert</t>
  </si>
  <si>
    <t>Omsatt på børs</t>
  </si>
  <si>
    <t>Øvrige eiendeler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</si>
  <si>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</si>
  <si>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</si>
  <si>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</si>
  <si>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</si>
  <si>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</si>
  <si>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</si>
  <si>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</si>
  <si>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</si>
  <si>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</si>
  <si>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</si>
  <si>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</si>
  <si>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Massemarkedsengasjementer</t>
  </si>
  <si>
    <t xml:space="preserve">  -herav massemarked SMB</t>
  </si>
  <si>
    <t>Banktjenester for massemarkedskunder</t>
  </si>
  <si>
    <t>Banktjenester for bedriftskunder</t>
  </si>
  <si>
    <t>Betaling og oppgjørstjenester</t>
  </si>
  <si>
    <t>Totalt</t>
  </si>
  <si>
    <t>Investeringer</t>
  </si>
  <si>
    <t>Finansielle investeringer til virkelig verdi over resultat</t>
  </si>
  <si>
    <t>Øvrige finansielle investeringer</t>
  </si>
  <si>
    <t>Strategiske investeringer til virkelig verdi over resultat</t>
  </si>
  <si>
    <t>Øvrige strategiske investeringer</t>
  </si>
  <si>
    <t>Beløp medregnet i kjernekapital eller tilleggskapital</t>
  </si>
  <si>
    <t>Nominell verdi</t>
  </si>
  <si>
    <t xml:space="preserve">Sum </t>
  </si>
  <si>
    <t>Engasjementer med pant i fast eiendom</t>
  </si>
  <si>
    <t>Øvrige massemarkedsengasjementer</t>
  </si>
  <si>
    <t>kategoriseres ikke som engasjement med fast eiendom, men som øvrig massemarked.</t>
  </si>
  <si>
    <t>2)</t>
  </si>
  <si>
    <t>Kapitaldekning</t>
  </si>
  <si>
    <t>Hovedstol</t>
  </si>
  <si>
    <t>Forfall</t>
  </si>
  <si>
    <t>Sum finansielle investeringer til virkelig verdi over resultatet</t>
  </si>
  <si>
    <t>Betingelser</t>
  </si>
  <si>
    <t>Øvrige foretak</t>
  </si>
  <si>
    <t>Spesialiserte foretak</t>
  </si>
  <si>
    <t>Fradrag for avsatt utbytte</t>
  </si>
  <si>
    <t>EiendomsMegler 1 SR-Eiendom AS</t>
  </si>
  <si>
    <t>NOK</t>
  </si>
  <si>
    <t>EUR</t>
  </si>
  <si>
    <t>USD</t>
  </si>
  <si>
    <t xml:space="preserve">  -  </t>
  </si>
  <si>
    <t>NOK 684</t>
  </si>
  <si>
    <t>NOK 116</t>
  </si>
  <si>
    <t>SpareBank 1 Næringskreditt AS</t>
  </si>
  <si>
    <t>Sandnes Sparebank</t>
  </si>
  <si>
    <t>Kjernekapital</t>
  </si>
  <si>
    <t>Fondsobligasjon</t>
  </si>
  <si>
    <t>Tidsbegrenset ansvarlig kapital</t>
  </si>
  <si>
    <t>Sum tilleggskapital</t>
  </si>
  <si>
    <t>tidspunkt</t>
  </si>
  <si>
    <t>Tidsbegrenset</t>
  </si>
  <si>
    <t>Sum strategiske investeringer til virkelig verdi over resultat</t>
  </si>
  <si>
    <t>Øvrig massemarked</t>
  </si>
  <si>
    <t>Beløp i mill kroner</t>
  </si>
  <si>
    <t>Beløp i tusen kroner</t>
  </si>
  <si>
    <t>Første forfalls-</t>
  </si>
  <si>
    <t>Bokført 
verdi</t>
  </si>
  <si>
    <t>Virkelig
 verdi</t>
  </si>
  <si>
    <t>SR-Forvaltning AS</t>
  </si>
  <si>
    <t xml:space="preserve">Investeringene blir behandlet likt for kapitaldekningsformål bortsett fra konsernets investeringer i </t>
  </si>
  <si>
    <t>Datterselskap som rapporterer etter standardmetode</t>
  </si>
  <si>
    <t>Kapitaldekning %</t>
  </si>
  <si>
    <t>Investeringer i tilknyttede selskaper</t>
  </si>
  <si>
    <t>Investeringer i felleskontrollert virksomhet</t>
  </si>
  <si>
    <t>Sum finansielle derivater</t>
  </si>
  <si>
    <t>Konsoliderings metode</t>
  </si>
  <si>
    <t>Ubenyttet kreditt og garantier</t>
  </si>
  <si>
    <t>(beløp i mill kroner)</t>
  </si>
  <si>
    <t>Datterselskap</t>
  </si>
  <si>
    <t>(beløp i tusen kroner)</t>
  </si>
  <si>
    <t xml:space="preserve">                  Engasjementsbeløp</t>
  </si>
  <si>
    <t>Engasjementskategori</t>
  </si>
  <si>
    <t>Aksjekapital</t>
  </si>
  <si>
    <t>Rygir Industrier AS konsern</t>
  </si>
  <si>
    <t xml:space="preserve">  -herav engasjementer med pant i fast eiendom</t>
  </si>
  <si>
    <t xml:space="preserve">  -herav øvrige massemarkedsengasjementer</t>
  </si>
  <si>
    <t xml:space="preserve">Øvrige foretak </t>
  </si>
  <si>
    <t>Ren kjernekapitaldekning</t>
  </si>
  <si>
    <t>Sum øvrig massemarked</t>
  </si>
  <si>
    <t xml:space="preserve">Brutto utlån </t>
  </si>
  <si>
    <t xml:space="preserve">
Engasjementsbeløp</t>
  </si>
  <si>
    <t xml:space="preserve">Gjennomsnittlig 
engasjementsbeløp </t>
  </si>
  <si>
    <t>Pilar 3 - Vedlegg</t>
  </si>
  <si>
    <t>Arkfane</t>
  </si>
  <si>
    <t>Innhold</t>
  </si>
  <si>
    <t xml:space="preserve">Side i Pilar 3 </t>
  </si>
  <si>
    <t>Oppdateres</t>
  </si>
  <si>
    <t>Årlig</t>
  </si>
  <si>
    <t>Kvartalsvis</t>
  </si>
  <si>
    <t xml:space="preserve"> Konsolideringsgrunnlag</t>
  </si>
  <si>
    <t xml:space="preserve"> Ansvarlig kapital i andre finansinstitusjoner</t>
  </si>
  <si>
    <t xml:space="preserve">Operasjonell risiko </t>
  </si>
  <si>
    <r>
      <rPr>
        <b/>
        <sz val="9"/>
        <rFont val="Calibri"/>
        <family val="2"/>
        <scheme val="minor"/>
      </rPr>
      <t>Konsern</t>
    </r>
    <r>
      <rPr>
        <sz val="9"/>
        <rFont val="Calibri"/>
        <family val="2"/>
        <scheme val="minor"/>
      </rPr>
      <t xml:space="preserve"> (beløp i mill kroner)</t>
    </r>
  </si>
  <si>
    <r>
      <t>Fondsobligasjon</t>
    </r>
    <r>
      <rPr>
        <vertAlign val="superscript"/>
        <sz val="9"/>
        <rFont val="Calibri"/>
        <family val="2"/>
        <scheme val="minor"/>
      </rPr>
      <t xml:space="preserve"> 1)</t>
    </r>
  </si>
  <si>
    <t xml:space="preserve"> Engasjementsbeløp for hver engasjementstype fordelt på  bransjer før fradrag for nedskrivninger</t>
  </si>
  <si>
    <t xml:space="preserve"> Engasjementsbeløp for hver engasjementstype fordelt etter gjenstående løpetid</t>
  </si>
  <si>
    <t xml:space="preserve"> De faktiske verdiendringene for den enkelte engasjementskategori og utvikling fra tidligere perioder (IRB)</t>
  </si>
  <si>
    <t>Oversikt over bokført verdi og virkelig verdi, gevinster og tap</t>
  </si>
  <si>
    <t>Oversikt over type og verdi av børsnoterte aksjer, unoterte aksjer i diversifiserte porteføljer og andre engasjementer</t>
  </si>
  <si>
    <t xml:space="preserve"> Avstemming av endringer i henholdsvis verdiendringer og nedskrivinger for engasjementer med verdifall</t>
  </si>
  <si>
    <r>
      <t xml:space="preserve">Herav sikret med pant i fast eiendom </t>
    </r>
    <r>
      <rPr>
        <b/>
        <vertAlign val="superscript"/>
        <sz val="9"/>
        <rFont val="Calibri"/>
        <family val="2"/>
        <scheme val="minor"/>
      </rPr>
      <t>1)</t>
    </r>
  </si>
  <si>
    <r>
      <t xml:space="preserve">Herav sikret med pant i fast eiendom </t>
    </r>
    <r>
      <rPr>
        <vertAlign val="superscript"/>
        <sz val="9"/>
        <rFont val="Calibri"/>
        <family val="2"/>
        <scheme val="minor"/>
      </rPr>
      <t>1)</t>
    </r>
  </si>
  <si>
    <t>Konsolidering - datterselskap</t>
  </si>
  <si>
    <t>Ansvarlig kapital i andre finansinstitusjoner</t>
  </si>
  <si>
    <t>Ansvarlig kapital</t>
  </si>
  <si>
    <t>Investering i tilknyttede selskaper og felleskontrollert virksomhet</t>
  </si>
  <si>
    <t>Engasjementsbeløp for hver engasjementstype fordelt på geografiske områder før fradrag for nedskrivninger.</t>
  </si>
  <si>
    <t>Engasjementsbeløp for hver engasjementstype fordelt på  bransjer før fradrag for nedskrivninger</t>
  </si>
  <si>
    <t>Engasjementsbeløp for hver engasjementstype fordelt etter gjenstående løpetid</t>
  </si>
  <si>
    <t>Avstemming av endringer i henholdsvis verdiendringer og nedskrivinger for engasjementer med verdifall</t>
  </si>
  <si>
    <t>Samlet engasjementsbeløp og andelen som er sikret med pant, fordelt på engasjementskategorier (IRB)</t>
  </si>
  <si>
    <t>De faktiske verdiendringene for den enkelte engasjementskategori og utvikling fra tidligere perioder (IRB)</t>
  </si>
  <si>
    <t>Investeringer (egenkapitalposisjoner utenfor handelsportefølje) fordelt etter formål</t>
  </si>
  <si>
    <t>Oversikt over motpartsrisiko for derivater mv. utenfor handelsporteføljen</t>
  </si>
  <si>
    <t>Sensitivitet på netto rentekost før skatt (renteendring på ett prosentpoeng)</t>
  </si>
  <si>
    <t xml:space="preserve">forretningsområde de 3 siste årene.  Banktjenester for massemarkedet 12 %, banktjenester for bedriftsmarkedet 15 % </t>
  </si>
  <si>
    <t xml:space="preserve">og for øvrige tjenester 18 %. </t>
  </si>
  <si>
    <r>
      <rPr>
        <vertAlign val="superscript"/>
        <sz val="9"/>
        <rFont val="Calibri"/>
        <family val="2"/>
        <scheme val="minor"/>
      </rPr>
      <t xml:space="preserve">1) </t>
    </r>
    <r>
      <rPr>
        <sz val="9"/>
        <rFont val="Calibri"/>
        <family val="2"/>
        <scheme val="minor"/>
      </rPr>
      <t>Betingelser fremgår av tabellen "Ansvarlig lånekapital og Fondsobligasjon"</t>
    </r>
  </si>
  <si>
    <t>Finansparken Bjergsted AS</t>
  </si>
  <si>
    <t xml:space="preserve">Sertifikater og obligasjoner </t>
  </si>
  <si>
    <t>Fastrenteutlån til kunder</t>
  </si>
  <si>
    <t>Øvrige utlån og innskudd</t>
  </si>
  <si>
    <t>Gjeld stiftet ved utstedelse av verdipapirer</t>
  </si>
  <si>
    <t>Annet</t>
  </si>
  <si>
    <t>Total renterisiko</t>
  </si>
  <si>
    <t>Løpetidsbånd</t>
  </si>
  <si>
    <t>0 -  3 mnd</t>
  </si>
  <si>
    <t>3 -  6 mnd</t>
  </si>
  <si>
    <t>6 -  9 mnd</t>
  </si>
  <si>
    <t>9 - 12 mnd</t>
  </si>
  <si>
    <t>12 - 18 mnd</t>
  </si>
  <si>
    <t>18 - 24 mnd</t>
  </si>
  <si>
    <t>2 - 10 år</t>
  </si>
  <si>
    <t>10 år +</t>
  </si>
  <si>
    <t xml:space="preserve">CHF </t>
  </si>
  <si>
    <t>Renterisiko oppstår ved at konsernet kan ha ulik rentebindingstid på sine eiendeler og forpliktelser. Handelsaktivitetene knyttet til</t>
  </si>
  <si>
    <t>omsetning av renteinstrumenter skal til enhver tid skje innenfor vedtatte rammer og fullmakter. Konsernets rammer definerer kvantitative</t>
  </si>
  <si>
    <t>BN Bank</t>
  </si>
  <si>
    <t>Andel operasjonell risiko konsoliderte selskap</t>
  </si>
  <si>
    <t xml:space="preserve">SpareBank 1 Boligkreditt AS og BN Bank AS bruker IRB metoden i sin kapitaldekningsrapportering. </t>
  </si>
  <si>
    <t>SpareBank 1 Gruppen</t>
  </si>
  <si>
    <t>Fradrag i forventet tap IRB fratrukket tapsavsetninger</t>
  </si>
  <si>
    <t>Fradrag ren kjernekapital for vesentlige investeringer i finansinstitusjoner</t>
  </si>
  <si>
    <t>Fradrag for vesentlige investeringer i finansinstitusjoner</t>
  </si>
  <si>
    <t>og fradragene tas i samme kapitalklasse som det instrumentet man eier tilhører. Investeringer i rene</t>
  </si>
  <si>
    <t>Investeringer som overstiger 10 % av egen ren kjernekapital etter fradrag kommer til fradrag i ansvarlig kapital</t>
  </si>
  <si>
    <t>Det skilles mellom vesentlige eierandeler &gt; 10 % og ikke vesentlige eierandeler i finansinstitusjoner.</t>
  </si>
  <si>
    <t>Risikovektet balanse</t>
  </si>
  <si>
    <t>Investeringene blir behandlet likt for kapitaldekningsformål.</t>
  </si>
  <si>
    <t>Sum ren kjernekapital</t>
  </si>
  <si>
    <t>Risikovektet balanse for kredittrisiko fordelt på engasjementskategorier og underkategorier</t>
  </si>
  <si>
    <t xml:space="preserve">Risikovektet balanse for operasjonell risiko </t>
  </si>
  <si>
    <t>Risikovektet balanse kredittrisiko IRB</t>
  </si>
  <si>
    <t>Risikovektet balanse standardmetoden</t>
  </si>
  <si>
    <t>Samlet risikovektet balanse knyttet til kredittrisiko</t>
  </si>
  <si>
    <t xml:space="preserve"> Risikovektet balanse for kredittrisiko fordelt på engasjementskategorier og underkategorier </t>
  </si>
  <si>
    <t>SR-PE-Feeder III KS</t>
  </si>
  <si>
    <t>SR-Forvaltning</t>
  </si>
  <si>
    <t>Svekket kredittverdighet motpart (CVA)</t>
  </si>
  <si>
    <t xml:space="preserve">Risikovektet balanse for operasjonell risiko er beregnet i prosent av snitt inntekt for hvert </t>
  </si>
  <si>
    <t xml:space="preserve">Samlede realiserte gevinster
 eller tap </t>
  </si>
  <si>
    <t xml:space="preserve">Urealiserte gevinster
 eller tap </t>
  </si>
  <si>
    <t xml:space="preserve"> Oversikt over motpartsrisiko for derivater mv. </t>
  </si>
  <si>
    <r>
      <t xml:space="preserve">Rente og valutainstrumenter </t>
    </r>
    <r>
      <rPr>
        <vertAlign val="superscript"/>
        <sz val="9"/>
        <rFont val="Calibri"/>
        <family val="2"/>
        <scheme val="minor"/>
      </rPr>
      <t xml:space="preserve"> </t>
    </r>
  </si>
  <si>
    <t>Minimumskrav ren kjernekapital 4,5 %</t>
  </si>
  <si>
    <t>Bufferkrav</t>
  </si>
  <si>
    <t>Bevaringsbuffer 2,5 %</t>
  </si>
  <si>
    <t>Sum bufferkrav til ren kjernekapital</t>
  </si>
  <si>
    <t>Tilgjengelig ren kjernekapital etter bufferkrav</t>
  </si>
  <si>
    <t>Eierandel i %</t>
  </si>
  <si>
    <t xml:space="preserve"> Ansvarlig kapital </t>
  </si>
  <si>
    <t>Ansvarlig kapital, herunder kjernekapital og tilleggskapital samt aktuelle tillegg, fradrag og begrensninger.</t>
  </si>
  <si>
    <r>
      <t xml:space="preserve"> Risikovektet balanse for operasjonell risiko etter sjablongmetoden </t>
    </r>
    <r>
      <rPr>
        <i/>
        <vertAlign val="superscript"/>
        <sz val="9"/>
        <rFont val="Calibri"/>
        <family val="2"/>
        <scheme val="minor"/>
      </rPr>
      <t>1)</t>
    </r>
  </si>
  <si>
    <r>
      <t xml:space="preserve">1) </t>
    </r>
    <r>
      <rPr>
        <sz val="9"/>
        <rFont val="Calibri"/>
        <family val="2"/>
        <scheme val="minor"/>
      </rPr>
      <t>SpareBank 1 SR-Bank konsern benytter sjablongmetoden.  Øvrige selskaper benytter basismetoden.</t>
    </r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</si>
  <si>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Risikovektet balanse beregnes etter standardmetoden.</t>
    </r>
  </si>
  <si>
    <t>Foretak SMB</t>
  </si>
  <si>
    <t>Utsteder</t>
  </si>
  <si>
    <t>Entydig identifikasjonskode (f.eks. CUSIP, ISIN eller Bloombergs identifikasjonskode for rettede emisjoner)</t>
  </si>
  <si>
    <t>Gjeldende lovgivning for instrumentet</t>
  </si>
  <si>
    <t>Norge</t>
  </si>
  <si>
    <t>Behandling etter kapitalregelverket</t>
  </si>
  <si>
    <t>Regler som gjelder i overgansperioden</t>
  </si>
  <si>
    <t xml:space="preserve"> Tier 1</t>
  </si>
  <si>
    <t>Tier 2</t>
  </si>
  <si>
    <t>Regler som gjelder etter overgansperioden</t>
  </si>
  <si>
    <t>Medregning på selskaps- eller (del)konsolidert nivå, selskaps- og (del)konsolidert nivå</t>
  </si>
  <si>
    <t>Selskap og konsern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</si>
  <si>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</si>
  <si>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</si>
  <si>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</si>
  <si>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Emisjonskurs</t>
  </si>
  <si>
    <t>100 prosent</t>
  </si>
  <si>
    <t>Innløsningskurs</t>
  </si>
  <si>
    <t>100 prosent av Nominelt beløp</t>
  </si>
  <si>
    <t>Regnskapsmessig klassifisering</t>
  </si>
  <si>
    <t>Ansvar - amortisert kost</t>
  </si>
  <si>
    <t>Opprinnelig utstedelsesdato</t>
  </si>
  <si>
    <t>Evigvarende eller tidsbegrenset</t>
  </si>
  <si>
    <t>Evigvarende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</si>
  <si>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</si>
  <si>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</si>
  <si>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</si>
  <si>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</si>
  <si>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</si>
  <si>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Datoer for eventuell etterfølgende innløsningsrett</t>
  </si>
  <si>
    <t>Kvartalsvis på termindato</t>
  </si>
  <si>
    <t>Renter/utbytte</t>
  </si>
  <si>
    <t>Fast eller flytende rente/utbytte</t>
  </si>
  <si>
    <t>Fast til flytende</t>
  </si>
  <si>
    <t>Flytende</t>
  </si>
  <si>
    <t>Rentesats og eventuell tilknyttet referanserente</t>
  </si>
  <si>
    <t>Vilkår om at det ikke kan betales utbytte hvis det ikke er betalt rente på instrumentet («dividend stopper»)</t>
  </si>
  <si>
    <t>nei</t>
  </si>
  <si>
    <t>20a</t>
  </si>
  <si>
    <t>Full fleksibilitet, delvis fleksibilitet eller pliktig (med hensyn til tidspunkt)</t>
  </si>
  <si>
    <t>pliktig</t>
  </si>
  <si>
    <t>20b</t>
  </si>
  <si>
    <t>Full fleksibilitet, delvis fleksibilitet eller pliktig (med hensyn til beløp)</t>
  </si>
  <si>
    <t>Vilkår om renteøkning eller annet incitament til innfrielse</t>
  </si>
  <si>
    <t>Ikke-kumulativ eller kumulativ</t>
  </si>
  <si>
    <t>Ikke-kumulativ</t>
  </si>
  <si>
    <t>kumulativ</t>
  </si>
  <si>
    <t>Konvertering/nedskrivning</t>
  </si>
  <si>
    <t>Konvertibel eller ikke konvertibel</t>
  </si>
  <si>
    <t>Ikke konvertibel</t>
  </si>
  <si>
    <t>Hvis konvertibel, nivå(er) som utløser konvertering</t>
  </si>
  <si>
    <t>N/A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</si>
  <si>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</si>
  <si>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</si>
  <si>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</si>
  <si>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</si>
  <si>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</si>
  <si>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</si>
  <si>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</si>
  <si>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Hvis nedskrivning, hel eller delvis</t>
  </si>
  <si>
    <t>Hel eller delvis</t>
  </si>
  <si>
    <t>Hvis nedskrivning, med endelig virkning eller midlertidig</t>
  </si>
  <si>
    <t>Midlertidig</t>
  </si>
  <si>
    <t>Hvis midlertidig nedskrivning, beskrivelse av oppskrivningsmekanismen</t>
  </si>
  <si>
    <t>Prioritetsrekkefølge ved avvikling (oppgi instrumenttypen som har nærmeste bedre prioritet</t>
  </si>
  <si>
    <t>Senior usikret</t>
  </si>
  <si>
    <t>Vilkår som gjør at instrumentet ikke kan medregnes etter overgangsperioden</t>
  </si>
  <si>
    <t>Hvis ja, spesifiser hvilke vilkår som ikke oppfyller nye krav</t>
  </si>
  <si>
    <t>Ren kjernekapital: Instrumenter og opptjent kapital</t>
  </si>
  <si>
    <t>Kapitalinstrumenter og tilhørende overkursfond</t>
  </si>
  <si>
    <t>26 (1), 27,     28 og 29</t>
  </si>
  <si>
    <t xml:space="preserve">  herav: instrumenttype 1</t>
  </si>
  <si>
    <t xml:space="preserve">  herav: instrumenttype 2</t>
  </si>
  <si>
    <t xml:space="preserve">  herav: instrumenttype 3</t>
  </si>
  <si>
    <t>Opptjent egenkapital i form av tidligere års tilbakeholdte resultater</t>
  </si>
  <si>
    <t>26 (1) (C)</t>
  </si>
  <si>
    <t>Akkumulerte andre inntekter og kostnader og andre fond o.l.</t>
  </si>
  <si>
    <t>26 (1) (d) og (e)</t>
  </si>
  <si>
    <t>3a</t>
  </si>
  <si>
    <t>Avsetning for generell bankrisiko</t>
  </si>
  <si>
    <t>26 (1) (f)</t>
  </si>
  <si>
    <t>Rene kjernekapitalinstrumenter omfattet av overgangsbestemmelser</t>
  </si>
  <si>
    <t>Statlige innskudd av ren kjernekapital omfattet av overgangsbestemmeler</t>
  </si>
  <si>
    <t>Minoritetsinteresser</t>
  </si>
  <si>
    <t>5a</t>
  </si>
  <si>
    <t>Revidert delårsoverskudd fratrukket påregnelig skatt mv. og utbytte</t>
  </si>
  <si>
    <t>26 (2)</t>
  </si>
  <si>
    <t>Ren kjernekapital før regulatoriske justeringer</t>
  </si>
  <si>
    <t>Sum rad 1 t.o.m 5a</t>
  </si>
  <si>
    <t>Ren kjernekapital: Regulatoriske justeringer</t>
  </si>
  <si>
    <t>Vedijusteringer som følge av kravene om forsvarlig verdsettelse (negativt beløp)</t>
  </si>
  <si>
    <t>34 og 105</t>
  </si>
  <si>
    <t>Immaterielle eiendeler redusert med utsatt skatt (negativt beløp)</t>
  </si>
  <si>
    <t>36 (1) (b) og 37</t>
  </si>
  <si>
    <t>Tomt felt i EØS</t>
  </si>
  <si>
    <t>Utsatt skattefordel som ikke skyldes midlertidige forskjeller redusert med utsatt skatt som kan motregnes (negativt beløp)</t>
  </si>
  <si>
    <t>36 (1) (c) og 38</t>
  </si>
  <si>
    <t>Verdiendringer på sikringsinstrumenter ved kontantstrømsikring</t>
  </si>
  <si>
    <t>33 (1) (a)</t>
  </si>
  <si>
    <t>Positive verdier av justert forventet tap etter kapitalkravsforskriften § 15-7 (tas inn som negativt beløp)</t>
  </si>
  <si>
    <t>36 (1) (d), 40 og 159</t>
  </si>
  <si>
    <t>Økning i egenkapitalen knyttet til fremtidig inntekt grunnet verdipapiriserte eiendeler (negativt beløp)</t>
  </si>
  <si>
    <t>32 (1)</t>
  </si>
  <si>
    <t>Gevinster eller tap på gjeld målt til virkelig verdi som skyldes endringer i egen kredittverdighet</t>
  </si>
  <si>
    <t>33 (1) (b) og (c )</t>
  </si>
  <si>
    <t>Overfinansiering av pensjonsforpliktelser (negativt beløp)</t>
  </si>
  <si>
    <t>36 (1) (e) og 41</t>
  </si>
  <si>
    <t>Direkte, indirekte og syntetiske beholdninger av egne rene kjernekapitalinstrumenter (negativt beløp)</t>
  </si>
  <si>
    <t>36 (1) (f) og 42</t>
  </si>
  <si>
    <t>Beholdning av ren kjernekapital i annet selskap i finansiell sektor som har en gjensidig investering av ansvarlig kapital (negativt beløp)</t>
  </si>
  <si>
    <t>36 (1) (g) og 44</t>
  </si>
  <si>
    <t>Direkte, indirekte og syntetiske beholdninger av ren kjernekapital i andre selskaper i finansiell sektor der institusjonen ikke har vesentlig investering. Beløp som overstiger grensen på 10 %, regnet etter fradrag som er tillatt for korte posisjoner (negativt beløp)</t>
  </si>
  <si>
    <t>36 (1) (h), 43, 45, 46, 49 (2), 79, 469 (1) (a), 472 (10) og 478 (1)</t>
  </si>
  <si>
    <t>Direkte, indirekte og syntetiske beholdninger av ren kjernekapital i andre selskaper i finansiell sektor der institusjonen har vesentlige investeringer som samlet overstiger  grensen på 10 %, Beløp regnet etter fradrag som er tillatt for korte posisjoner (negativt beløp)</t>
  </si>
  <si>
    <t>36 (1) (i), 43, 45, 47,  48 (1) (b), 49 (1) til (3) og 79</t>
  </si>
  <si>
    <t>Poster som alternativt kan få 1250 % risikovekt (negativt beløp)</t>
  </si>
  <si>
    <t>36 (1) (k)</t>
  </si>
  <si>
    <t>herav: kvalifiserte eiendeler i selskap utenfor finansiell sektor (negativt beløp)</t>
  </si>
  <si>
    <t>36 (1) (k) (i) og 89 til 91</t>
  </si>
  <si>
    <t>20c</t>
  </si>
  <si>
    <t>herav: verdipapiriseringsposisjoner (negativt beløp)</t>
  </si>
  <si>
    <t>36 (1) (k) (ii), 243 (1) (b), 244 (1) (b) og 258</t>
  </si>
  <si>
    <t>20d</t>
  </si>
  <si>
    <t>herav: motpartsrisiko for transaksjoner som ikke er avsluttet (negativt beløp)</t>
  </si>
  <si>
    <t>36 (1) (k) (iii) og 379 (3)</t>
  </si>
  <si>
    <t>Utsatt skattefordel som skyldes midlertidige forskjeller og som overstiger unntaksgrensen på 10 %, redusert med utsatt skatt som kan motregnes (negativt beløp)</t>
  </si>
  <si>
    <t>36 (1) (c), 38 og 48 (1) (a)</t>
  </si>
  <si>
    <t>Beløp som overstiger unntaksgrensen på 17,65 % (negativt beløp)</t>
  </si>
  <si>
    <t>48 (1)</t>
  </si>
  <si>
    <t>herav: direkte, indirekte og syntetiske beholdninger av ren kjernekapital i andre selskaper i finansiell sektor der institusjonen har en vesentlig investering (negativt beløp)</t>
  </si>
  <si>
    <t>36 (1) (i) og 48 (1) (b)</t>
  </si>
  <si>
    <t>herav: utsatt skattefordel som skyldes midlertidige forskjeller (negativt beløp)</t>
  </si>
  <si>
    <t>25a</t>
  </si>
  <si>
    <t>Akkumulert underskudd i inneværende regnskapsår (negativt beløp)</t>
  </si>
  <si>
    <t>36 (1) (a)</t>
  </si>
  <si>
    <t>25b</t>
  </si>
  <si>
    <t>Påregnelig skatt relatert til rene kjernekapitalposter (negativt beløp)</t>
  </si>
  <si>
    <t>36 (1) (l)</t>
  </si>
  <si>
    <t>Justeringer i ren kjernekapital som følge av overgangsbestemmelser</t>
  </si>
  <si>
    <t>Sum 26a og 26b</t>
  </si>
  <si>
    <t>26a</t>
  </si>
  <si>
    <t>Overgangsbestemmelser for regulatoriske filtre relaterte til urealiserte gevinster og tap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</si>
  <si>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</si>
  <si>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</si>
  <si>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</si>
  <si>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</si>
  <si>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26b</t>
  </si>
  <si>
    <t>Beløp som skal trekkes fra eller legges til ren kjernekapital som følge av overgangsbestemmelser for andre filtre og fradrag</t>
  </si>
  <si>
    <t>herav:…</t>
  </si>
  <si>
    <t>Overskytende fradrag i annen godkjent kjernekapital (negativt beløp)</t>
  </si>
  <si>
    <t>36 (1) (j)</t>
  </si>
  <si>
    <t>Sum regulatoriske justeringer i ren kjernekapital</t>
  </si>
  <si>
    <t>Sum rad 7 t.o.m. 20a, 21, 22, 25a, 25b, 26 og 27</t>
  </si>
  <si>
    <t>Ren kjernekapital</t>
  </si>
  <si>
    <t>Rad 6 pluss rad 28 hvis beløpet i rad 28 er negativt, ellers minus</t>
  </si>
  <si>
    <t>Annen godkjent kjernekapital: Instrumenter</t>
  </si>
  <si>
    <t>51 og 52</t>
  </si>
  <si>
    <t>herav klassifisert som egenkapital etter gjeldende regnskapsstandard</t>
  </si>
  <si>
    <t>herav: klassifisert som gjeld etter gjeldende regnskapsstandard</t>
  </si>
  <si>
    <t>Fondsobligasjonskapital omfattet av overgangsbestemmelser</t>
  </si>
  <si>
    <t>486 (3) og (5)</t>
  </si>
  <si>
    <t>Statlige innskudd av fondsobligasjonskapital omfattet av overgangsbestemmeler</t>
  </si>
  <si>
    <t>85 og 86</t>
  </si>
  <si>
    <t>herav: instrumenter omfattet av overgangsbestemmelser</t>
  </si>
  <si>
    <t>Annen godkjent kjernekapital før regulatoriske justeringer</t>
  </si>
  <si>
    <t>Sum rad 30, 33 og 34</t>
  </si>
  <si>
    <t>Annen godkjent kjernekapital: Regulatoriske justeringer</t>
  </si>
  <si>
    <t>Direkte, indirekte og syntetiske beholdninger av egen fondsobligasjonskapital (negativt beløp)</t>
  </si>
  <si>
    <t>52 (1) (b), 56 (a) og 57</t>
  </si>
  <si>
    <t>Beholdning av annen godkjent kjernekapital i annet selskap i finansiell sektor som har en gjensidig investering av ansvarlig kapital (negativt beløp)</t>
  </si>
  <si>
    <t>56 (b) og 58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</si>
  <si>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</si>
  <si>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56 (c), 59, 60 og 79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</si>
  <si>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</si>
  <si>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56 (d), 59 og 79</t>
  </si>
  <si>
    <t>Justeringer i annen godkjent kjernekapital som følge av overgangsbestemmelser</t>
  </si>
  <si>
    <t>Sum rad 41a, 41b og 41c</t>
  </si>
  <si>
    <t>41a</t>
  </si>
  <si>
    <t>Fradrag som skal gjøres i annen godkjent kjernekapital, i stedet for ren kjernekapital, som følge av overgangsbestemmelser (negativt beløp)</t>
  </si>
  <si>
    <t>469 (1) (b) og 472 (10) (a)</t>
  </si>
  <si>
    <t>herav: spesifiser de enkelte postene linje for linje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</si>
  <si>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</si>
  <si>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</si>
  <si>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</si>
  <si>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</si>
  <si>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herav: filter for urealisert tap</t>
  </si>
  <si>
    <t>herav: filter for urealisert gevinst (negativt beløp)</t>
  </si>
  <si>
    <t>Overskytende fradrag i tilleggskapital (negativt beløp)</t>
  </si>
  <si>
    <t>56 (e)</t>
  </si>
  <si>
    <t>Sum regulatoriske justeringer i annen godkjent kjernekapital</t>
  </si>
  <si>
    <t>Sum rad 37 t.o.m. 41 og rad 42</t>
  </si>
  <si>
    <t>Annen godkjent kjernekapital</t>
  </si>
  <si>
    <t>Rad 36 pluss rad 43. Gir fradrag fordi beløpet i rad 43 er negativt</t>
  </si>
  <si>
    <t>Sum rad 29 og rad 44</t>
  </si>
  <si>
    <t>Tilleggskapital: Instrumenter og avsetninger</t>
  </si>
  <si>
    <t>62 og 63</t>
  </si>
  <si>
    <t>Tilleggskapital omfattet av overgangsbestemmelser</t>
  </si>
  <si>
    <t>486 (4) og (5)</t>
  </si>
  <si>
    <t>Statlige innskudd av tilleggskapital omfattet av overgangsbestemmelser</t>
  </si>
  <si>
    <t>Ansvarlig lånekapital utstedt av datterselskaper til tredjeparter som kan medregnes i tilleggskapitalen</t>
  </si>
  <si>
    <t>87 og 88</t>
  </si>
  <si>
    <t>Tallverdien av negative verdier av justert forventet tap</t>
  </si>
  <si>
    <t>62 (c) og (d)</t>
  </si>
  <si>
    <t>Tilleggskapital før regulatoriske justeringer</t>
  </si>
  <si>
    <t>Sum rad 46 t.o.m. 48 og rad 50</t>
  </si>
  <si>
    <t>Tilleggskapital: Regulatoriske justeringer</t>
  </si>
  <si>
    <t>Direkte, indirekte og syntetiske beholdninger av egen ansvarlig lånekapital (negativt beløp)</t>
  </si>
  <si>
    <t>63 (b) (i), 66 (a) og 67</t>
  </si>
  <si>
    <t>Beholdning av tilleggskapital i annet selskap i finansiell sektor som har en gjensidig investering av ansvarlig kapital (negativt beløp)</t>
  </si>
  <si>
    <t>66 (b) og 68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</si>
  <si>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</si>
  <si>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66 (c), 69, 70 og 79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</si>
  <si>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</si>
  <si>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</si>
  <si>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</si>
  <si>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</si>
  <si>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</si>
  <si>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66 (d), 69 og 79</t>
  </si>
  <si>
    <t>Justeringer i tilleggskapital som følge av overgangsbestemmelser (negativt beløp)</t>
  </si>
  <si>
    <t>Sum rad 56a, 56b og 56c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</si>
  <si>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</si>
  <si>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</si>
  <si>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</si>
  <si>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</si>
  <si>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</si>
  <si>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</si>
  <si>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herav: filter for urealisert gevinst</t>
  </si>
  <si>
    <t>Sum regulatoriske justeringer i tilleggskapital</t>
  </si>
  <si>
    <t>Sum rad 52 t.o.m. 54, rad 55 og 56</t>
  </si>
  <si>
    <t>Tilleggskapital</t>
  </si>
  <si>
    <t>Rad 51 pluss rad 57 hvis beløpet i rad 57 er negativt, ellers minus</t>
  </si>
  <si>
    <t>Sum rad 45 og rad 58</t>
  </si>
  <si>
    <t>59a</t>
  </si>
  <si>
    <t>Økning i beregningsgrunnlaget som følge av overgangsbestemmelser</t>
  </si>
  <si>
    <t>472 (10) (b)</t>
  </si>
  <si>
    <t>herav: beløp som ikke er trukket fra ren kjernekapital</t>
  </si>
  <si>
    <t>469 (1) (b)</t>
  </si>
  <si>
    <t>herav: beløp som ikke er trukket fra annen godkjent kjernekapital</t>
  </si>
  <si>
    <t>herav: beløp som ikke er trukket fra tilleggskapital</t>
  </si>
  <si>
    <t>Beregningsgrunnlag</t>
  </si>
  <si>
    <t>Kapitaldekning og buffere</t>
  </si>
  <si>
    <t>92 (2) (a)</t>
  </si>
  <si>
    <t>Kjernekapitaldekning</t>
  </si>
  <si>
    <t>92 (2) (b)</t>
  </si>
  <si>
    <t>92 (2) (c)</t>
  </si>
  <si>
    <t>Kombindert bufferkrav som prosent av beregningsgrunnlaget</t>
  </si>
  <si>
    <t>CRD 128, 129, 130, 131 og 133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</si>
  <si>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</si>
  <si>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</si>
  <si>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</si>
  <si>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</si>
  <si>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</si>
  <si>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CRD 131</t>
  </si>
  <si>
    <t>Ren kjernekapital tilgjengelig for oppfyllelse av bufferkrav</t>
  </si>
  <si>
    <t>CRD 128</t>
  </si>
  <si>
    <t>Ikke relevant etter EØS-regler</t>
  </si>
  <si>
    <t>Beholdninger av ansvarlig kapital i andre selskaper i finansiell sektor der institusjonen har en ikke vesentlig investering, som samlet er under grensen på 10 %. Beløp regnet etter fradrag som er tillatt for korte posisjoner</t>
  </si>
  <si>
    <t>36 (1) (h), 45, 46, 472 (10), 56 (c), 59, 60, 66 (c), 69 og 70</t>
  </si>
  <si>
    <t>Beholdninger av ren kapital i andre selskaper i finansiell sektor der institusjonen har en vesentlig investering, som samlet er under grensen på 10 %. Beløp regnet etter fradrag som er tillatt for korte posisjoner</t>
  </si>
  <si>
    <t>36 (1) (i), 45 og 48</t>
  </si>
  <si>
    <t>Utsatt skattefordel skyldes midlertidige forskjeller redusert med utsatt skatt som kan motregnes, som er under grensen på 10 %.</t>
  </si>
  <si>
    <t>36 (1) (c), 38 og 48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</si>
  <si>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</si>
  <si>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</si>
  <si>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</si>
  <si>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</si>
  <si>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</si>
  <si>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</si>
  <si>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484 (3) og 486 (2) og (5)</t>
  </si>
  <si>
    <t>Overskytende ren kjernekapital omfattet av overgangsbestemmelser</t>
  </si>
  <si>
    <t>Grense for medregning av fondsobligasjonskapital omfattet av overgangsbestemmelser</t>
  </si>
  <si>
    <t>484 (4) og 486 (3) og (5)</t>
  </si>
  <si>
    <t>Overskytende fondsobligasjonskapital omfattet av overgangsbestemmelser</t>
  </si>
  <si>
    <t>Grense for medregning av ansvarlig lånekapital omfattet av overgangsbestemmelser</t>
  </si>
  <si>
    <t>484 (5) og 486 (4) og (5)</t>
  </si>
  <si>
    <t>Overskytende ansvarlig lånekapital omfattet av overgangsbestemmelser</t>
  </si>
  <si>
    <t>Referanse</t>
  </si>
  <si>
    <t>Eiendeler</t>
  </si>
  <si>
    <t>Kontanter og fordringer på sentralbanker</t>
  </si>
  <si>
    <t>Utlån til og fordringer på kredittinstitusjoner</t>
  </si>
  <si>
    <t>Sertifikater og obligasjoner</t>
  </si>
  <si>
    <t>Finansielle derivater</t>
  </si>
  <si>
    <t>Aksjer, andeler og andre egenkapitalinteresser</t>
  </si>
  <si>
    <t>Investering i eierinteresser</t>
  </si>
  <si>
    <t>Virksomhet som skal selges</t>
  </si>
  <si>
    <t>Immaterielle eiendeler</t>
  </si>
  <si>
    <t>Andre eiendeler</t>
  </si>
  <si>
    <t>Sum eiendeler</t>
  </si>
  <si>
    <t xml:space="preserve">Forpliktelser </t>
  </si>
  <si>
    <t>Gjeld til kredittinstitusjoner</t>
  </si>
  <si>
    <t>Innskudd fra kunder</t>
  </si>
  <si>
    <t>Utsatt skatt</t>
  </si>
  <si>
    <t>Annen gjeld og balanseført forpliktelse</t>
  </si>
  <si>
    <t>Ansvarlig lånekapital</t>
  </si>
  <si>
    <t>Herav ansvarlig lånekapital som kvalifiserer som godkjent tilleggskapital</t>
  </si>
  <si>
    <t>Herav ansvarlig lån under overgangsregler</t>
  </si>
  <si>
    <t>Herav fondsobligasjoner under overgangsregler</t>
  </si>
  <si>
    <t>Sum gjeld</t>
  </si>
  <si>
    <t>Egenkapital</t>
  </si>
  <si>
    <t>Innskutt egenkapital</t>
  </si>
  <si>
    <t>Sum egenkapital</t>
  </si>
  <si>
    <t>Sum gjeld og egenkapital</t>
  </si>
  <si>
    <t>(B) Referanser til artikler i forordningen (CRR)</t>
  </si>
  <si>
    <t>(C) Beløp omfattet av overgangs-regler</t>
  </si>
  <si>
    <t>(A) Beløp på datoen for offentliggjøring</t>
  </si>
  <si>
    <t>Uvektet kjernekapitalandel (Leverage ratio)</t>
  </si>
  <si>
    <t xml:space="preserve">Derivater: Fremtidig eksponering ved bruk av markedsverdimetoden </t>
  </si>
  <si>
    <t xml:space="preserve">Øvrige eiendeler </t>
  </si>
  <si>
    <t xml:space="preserve">Kjernekapital </t>
  </si>
  <si>
    <t xml:space="preserve">Uvektet kjernekapitalandel </t>
  </si>
  <si>
    <t xml:space="preserve"> Oversikt over bokført verdi og virkelig verdi, gevinster og tap</t>
  </si>
  <si>
    <t>De viktigste avtalevilkårene for kapitalinstrumenter</t>
  </si>
  <si>
    <t xml:space="preserve"> Beregning av uvektet kjernekapitalandel (Leverage ratio)</t>
  </si>
  <si>
    <t>9a</t>
  </si>
  <si>
    <t>9b</t>
  </si>
  <si>
    <t xml:space="preserve"> De viktigste avtalevilkårene for kapitalinstrumenter</t>
  </si>
  <si>
    <t>SpareBank1 SR-Bank ASA</t>
  </si>
  <si>
    <t>BN Bank ASA</t>
  </si>
  <si>
    <t xml:space="preserve">SpareBank 1 SR-Bank ASA sin andel i SpareBank 1 Boligkreditt </t>
  </si>
  <si>
    <t xml:space="preserve">SpareBank 1 SR-Bank ASA sin andel i SpareBank 1 Næringskreditt </t>
  </si>
  <si>
    <t>SpareBank 1 SR-Bank ASA sin andel i BN Bank</t>
  </si>
  <si>
    <t xml:space="preserve">Elimineringer </t>
  </si>
  <si>
    <t>1)</t>
  </si>
  <si>
    <t>Forholdet mellom ansvarlig kapital i regnskapet og den ansvarlige kapitalen som beregnes for kapitaldekningsformål</t>
  </si>
  <si>
    <t>Gjeld-amortisert kost</t>
  </si>
  <si>
    <t>Kvartalsvis påfølgende</t>
  </si>
  <si>
    <t>Full fleksibilitet</t>
  </si>
  <si>
    <t>SpareBank 1 Boligkreditt</t>
  </si>
  <si>
    <t>Ansvarlig lån</t>
  </si>
  <si>
    <t>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</t>
  </si>
  <si>
    <t>Gjeldende minstekrav. 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</t>
  </si>
  <si>
    <t>Senior Usikret</t>
  </si>
  <si>
    <t>SpareBank 1 Næringskreditt</t>
  </si>
  <si>
    <t>Etter nedskrivning av obligasjonene kan utstederen skrive opp obligasjonene og betale obligasjonsrente i henhold til de til enhver tid gjeldende regler for slik oppskrivning og rentebetaling.</t>
  </si>
  <si>
    <t>Delkonsolidert nivå</t>
  </si>
  <si>
    <t>Tier 1</t>
  </si>
  <si>
    <t>Portefølje</t>
  </si>
  <si>
    <t>Estimert mislighold</t>
  </si>
  <si>
    <t>Faktisk mislighold</t>
  </si>
  <si>
    <t>Massemarked med pant i fast eiendom</t>
  </si>
  <si>
    <t>Estimert tapsgrad</t>
  </si>
  <si>
    <t>Faktisk tapsgrad</t>
  </si>
  <si>
    <t>Uvektet IRB Misligholdsnivå - PD per misligholdsklasse</t>
  </si>
  <si>
    <t>IRB Misligholdsnivå - PD per misligholdsklasse</t>
  </si>
  <si>
    <t>Uvektet IRB Misligholdsnivå - PD-modeller</t>
  </si>
  <si>
    <t>IRB Misligholdsnivå - PD-modeller</t>
  </si>
  <si>
    <t>IRB Tapsgrad for misligholdte lån - LGD</t>
  </si>
  <si>
    <t xml:space="preserve"> IRB Tapsgrad for misligholdte lån - LGD (uvektet) </t>
  </si>
  <si>
    <t>Regnskapshuset SR AS</t>
  </si>
  <si>
    <t>SR-Boligkreditt AS</t>
  </si>
  <si>
    <t>kjernekapitalinstumenter som ikke kommer til fradrag i ansvarlig kapital vektes 250 % i beregningsgrunnlaget.</t>
  </si>
  <si>
    <t xml:space="preserve">Skal stå tilbake for utstederens alminnelige ikke-subordinerte gjeld, dog slik at obligasjonene med renter skal ha prioritet likt med annen Tilleggskapital og skal dekkes foran utstederens kjernekapital </t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</si>
  <si>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Ser at det er noen kunder fra Tradex, som ikke finnes i kunderegisteret. Disse har jeg foreløpi satt til sted 9999.</t>
    </r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</si>
  <si>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Regner ut inngående beholdning, utgående beholdning ,snitt beholdning samt andel av total beholdning for det enkelte sted.</t>
    </r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</si>
  <si>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Andel av total beholdning benyttes for å regne ut provisjon for det enkelte sted.</t>
    </r>
  </si>
  <si>
    <t>NO0010745920</t>
  </si>
  <si>
    <t>NO0010746191</t>
  </si>
  <si>
    <t>Datterselskap som rapporterer etter IRB metode</t>
  </si>
  <si>
    <t xml:space="preserve">Kredittrisiko- og motpartsrisiko  </t>
  </si>
  <si>
    <t>EUR 50</t>
  </si>
  <si>
    <t>Visa Norge IFS</t>
  </si>
  <si>
    <t>9,35 % p.a. til 9.12.2019, deretter 3 mnd Nibor + 5,75 % p.a.</t>
  </si>
  <si>
    <t>3 mnd Nibor + 4,75 % p.a. til 9.12.2019, deretter Nibor + 5,75 % p.a.</t>
  </si>
  <si>
    <t>Obligasjoner med fortrinnsrett</t>
  </si>
  <si>
    <t xml:space="preserve">SpareBank 1 SR-Bank har ingen sikkerhetsstillelser som medfører redusert engasjementsbeløp. </t>
  </si>
  <si>
    <t>Utlån til kunder</t>
  </si>
  <si>
    <t xml:space="preserve"> Ansvarlig lånekapital og fondsobligasjoner</t>
  </si>
  <si>
    <t xml:space="preserve"> Samlet engasjementsbeløp og andelen som er sikret med pant i fast eiendom fordelt på engasjementskategorier (IRB)</t>
  </si>
  <si>
    <t>Ansvarlig lånekapital og fondsobligasjoner</t>
  </si>
  <si>
    <t>Sum massemarked med pant i fast eiendom</t>
  </si>
  <si>
    <t xml:space="preserve">Foretak   </t>
  </si>
  <si>
    <t>Finansielle investeringer til virkelig verdi over resultatet</t>
  </si>
  <si>
    <t xml:space="preserve">Sammensetningen av ansvarlig kapital </t>
  </si>
  <si>
    <t>Delårsresultat</t>
  </si>
  <si>
    <t>Uvektet kjernekapitaldekning</t>
  </si>
  <si>
    <t>Egenkapital posisjoner</t>
  </si>
  <si>
    <t>XS1334772255</t>
  </si>
  <si>
    <t xml:space="preserve"> Tier 2</t>
  </si>
  <si>
    <t>EUR 50 mill</t>
  </si>
  <si>
    <t>Nei</t>
  </si>
  <si>
    <t>4,00 % til 21.12.17, deretter 6 mnd EURIBOR + 1,725 %</t>
  </si>
  <si>
    <t>NO0010767643</t>
  </si>
  <si>
    <t xml:space="preserve">(-) Mottatt godkjent løpende margin i form av kontanter som motregnes mot endring i markedsverdi </t>
  </si>
  <si>
    <t xml:space="preserve">Gjenkjøpsavtaler m.v. jf. CRR 429 (5)(d) og (8) </t>
  </si>
  <si>
    <t xml:space="preserve">Gjenkjøpsavtaler m.v.: Fremtidig eksponering for motpartsrisiko jf. CRR 429b (1) </t>
  </si>
  <si>
    <t xml:space="preserve">Ved unntagelse av rad 020 (CRR 429b (1)). Gjenkjøpsavtaler m.v.: Fremtidig verdi jf. CRR (429b (4) og (222) </t>
  </si>
  <si>
    <t xml:space="preserve">Gjenkjøpsavtaler m.v.: motpartsrisiko for agenttransaksjoner jf. CRR 429b (6)(a) </t>
  </si>
  <si>
    <t xml:space="preserve">(-) CCP-element av kundeclearede engasjementer i form av gjenkjøpsavtaler m.v. </t>
  </si>
  <si>
    <t xml:space="preserve">Derivater: Markedsverdi </t>
  </si>
  <si>
    <t xml:space="preserve">(-) CCP-element  av kundeclearede engasjementer i form av eksponeringer i derivater (markedsverdi)  </t>
  </si>
  <si>
    <t>(-) CCP-element av kundeclearede engasjementer i form av eksponeringer i derivater (Potensiell fremtidig eksponering)</t>
  </si>
  <si>
    <t xml:space="preserve">Derivater: Opprinnelig engasjementsmetoden </t>
  </si>
  <si>
    <t xml:space="preserve">(-) CCP-element av kundeclearede engasjementer i form av eksponeringer i derivater (Opprinnelig engasjementsverdi) </t>
  </si>
  <si>
    <t xml:space="preserve">Maksimal nominell verdi av utstedte kredittderivater </t>
  </si>
  <si>
    <t>(-) Kjøpte kredittderivater som annerkjennes for motregning for utstedte kredittderivater</t>
  </si>
  <si>
    <t xml:space="preserve">Poster utenom balansen med 10 % konverteringsfaktor etter standardmetoden </t>
  </si>
  <si>
    <t xml:space="preserve">Poster utenom balansen med 20 % konverteringsfaktor etter standardmetoden </t>
  </si>
  <si>
    <t xml:space="preserve">Poster utenom balansen med 50 % konverteringsfaktor etter standardmetoden </t>
  </si>
  <si>
    <t xml:space="preserve">Poster utenom balansen med 100 % konverteringsfaktor etter standardmetoden </t>
  </si>
  <si>
    <t xml:space="preserve">Brutto avgitt sikkerhetsstillelse i forbindelse med derivatkontrakter </t>
  </si>
  <si>
    <t xml:space="preserve">(-) Fordringer for løpende margin i form av kontanter utbetalt i derivattransaksjoner  </t>
  </si>
  <si>
    <t xml:space="preserve">(-) CCP-element av kundeclearede engasjementer i form av eksponeringer i derivater (startmargin) </t>
  </si>
  <si>
    <t>Justeringer for bokførte salgstransaksjoner av gjenkjøpsavtaler mv.</t>
  </si>
  <si>
    <t>(-) Forvaltede eiendeler</t>
  </si>
  <si>
    <t>(-) Beløp i samsvar med artikkel 429 (7) i CRR  for konserinterne engasjementer (solo nivå)</t>
  </si>
  <si>
    <t xml:space="preserve">(-) Eksponering i samsvar med artikkel 429 (14) i CRR </t>
  </si>
  <si>
    <t xml:space="preserve">(-) Regulatoriske justeringer i kjernekapital </t>
  </si>
  <si>
    <t xml:space="preserve">(-) Regulatoriske justeringer i kjernekapital etter overgangsregler  </t>
  </si>
  <si>
    <t xml:space="preserve">Totalt eksponeringsbeløp </t>
  </si>
  <si>
    <t xml:space="preserve">Totalt eksponeringsbeløp etter overgangsregler </t>
  </si>
  <si>
    <t xml:space="preserve">Kjernekapital etter overgangsregler </t>
  </si>
  <si>
    <t xml:space="preserve">Uvektet kjernekapitalandel etter overgangsregler </t>
  </si>
  <si>
    <t xml:space="preserve">Kapital </t>
  </si>
  <si>
    <t>HitecVision Asset Solutions LP</t>
  </si>
  <si>
    <t xml:space="preserve">Strategiske investeringer til virkelig verdi over resultat </t>
  </si>
  <si>
    <t>Verdi 
31.12.2016</t>
  </si>
  <si>
    <t>År</t>
  </si>
  <si>
    <t>Gjennomsnitt</t>
  </si>
  <si>
    <t xml:space="preserve">Estimert mislighold </t>
  </si>
  <si>
    <t xml:space="preserve">Faktisk mislighold </t>
  </si>
  <si>
    <t xml:space="preserve"> IRB Tapsgrad for misligholdte lån - LGD (EAD-vektet) </t>
  </si>
  <si>
    <t>EAD-vektet IRB Misligholdsnivå - PD-modeller</t>
  </si>
  <si>
    <t xml:space="preserve">Massemarked </t>
  </si>
  <si>
    <t>Forventet tap</t>
  </si>
  <si>
    <t>Faktisk tap</t>
  </si>
  <si>
    <t xml:space="preserve">IRB Forventet tap (EL) og faktisk netto regnskapsført tap </t>
  </si>
  <si>
    <t xml:space="preserve">Spesialiserte foretak* </t>
  </si>
  <si>
    <t xml:space="preserve">* SpareBank 1 SR-Bank har erfart at nåværende kategorisering av foretak innebærer at banken har en andel av spesialiserte foretak som er vesentlig høyere enn andre sammenlignbare banker. </t>
  </si>
  <si>
    <t xml:space="preserve">Om et foretak kategoriseres som spesialisert eller ikke har under dagens regelverk ingen betydning for kapitalkravet. </t>
  </si>
  <si>
    <t xml:space="preserve">Dersom ett eller flere av vilkårene ikke er oppfylt, skal ikke engasjementet kategoriseres som spesialisert foretak. </t>
  </si>
  <si>
    <t xml:space="preserve">Banken har derfor igangsatt et arbeid for å bringe kategoriseringen i retning av gjeldende markedspraksis og forskriftens bestemmelser.   </t>
  </si>
  <si>
    <t xml:space="preserve">Bankens gjeldende kategorisering av foretak som spesialisert foretak er utelukkende gjort på bakgrunn av foretakets næringskode, uten at det gjøres en eksplisitt vurdering av om vilkårene i Kapitalkravsforskriftens § 9-1 tredje ledd er oppfylt. </t>
  </si>
  <si>
    <t>Tabell 1: Geografisk fordeling av relevante kredittengasjementer</t>
  </si>
  <si>
    <t>Generelle kredittengasjementer</t>
  </si>
  <si>
    <t>Engasjementer i handelsporteføljen</t>
  </si>
  <si>
    <t>Verdipapiriseringsengasjementer</t>
  </si>
  <si>
    <t>Kapitalkrav</t>
  </si>
  <si>
    <t>Engasjementsbeløp for SA</t>
  </si>
  <si>
    <t>Engasjementsbeløp for IRB</t>
  </si>
  <si>
    <t>Summen av lange og korte posisjoner i handelsporteføljen</t>
  </si>
  <si>
    <t>Verdien av engasjementer i handelsporteføljen for interne modeller</t>
  </si>
  <si>
    <t>Herav: Generelle kredittengasjementer</t>
  </si>
  <si>
    <t>Herav: Engasjementer i handelsporteføljen</t>
  </si>
  <si>
    <t>Herav: Verdipapiriserings-engasjementer</t>
  </si>
  <si>
    <t>Vekter for kapitalkrav</t>
  </si>
  <si>
    <t>Motsyklisk kapitalbuffersats</t>
  </si>
  <si>
    <t>Konsernets generelle kreditteksponering mot utlandet utgjør under 2 % av den totale eksponeringen. I henhold til kommisjonsforordning 115/2014 tilordnes disse utenlandske engasjementene til Norge.</t>
  </si>
  <si>
    <t>Tabell 2: Størrelsen på foretaksspesifikk motsyklisk kapitalbuffer</t>
  </si>
  <si>
    <t>Samlet beregningsgrunnlag</t>
  </si>
  <si>
    <t>Foretaksspesifikk motsyklisk kapitalbuffersats</t>
  </si>
  <si>
    <t>Krav til foretaksspesifikk motsyklisk kapitalbuffer</t>
  </si>
  <si>
    <t>Engasjements-beløp for SA</t>
  </si>
  <si>
    <t>Engasjements-beløp for IRB</t>
  </si>
  <si>
    <t>Overholdelse av krav om motsyklisk kapitalbuffer</t>
  </si>
  <si>
    <t>I konsernet foretas en forholdsmessig konsolidering.</t>
  </si>
  <si>
    <r>
      <t xml:space="preserve">BN Bank ASA </t>
    </r>
    <r>
      <rPr>
        <vertAlign val="superscript"/>
        <sz val="9"/>
        <rFont val="Calibri"/>
        <family val="2"/>
        <scheme val="minor"/>
      </rPr>
      <t>1)</t>
    </r>
  </si>
  <si>
    <t>SpareBank 1 Kredittkort AS</t>
  </si>
  <si>
    <t>SpareBank 1 Næringskreditt AS og SpareBank 1 Kredittkort AS bruker standardmetoden i sin kapitaldekningsrapportering.</t>
  </si>
  <si>
    <t xml:space="preserve">SpareBank 1 SR-Bank ASA sin andel i SpareBank 1 Kredittkort </t>
  </si>
  <si>
    <t xml:space="preserve">2) I enkelte av de tilknyttede selskapene foretas det en omallokering basert på solgte utlån ved årsslutt som medfører at eierandelen endres pr 31.12. Den bokførte verdien av disse selskapene   </t>
  </si>
  <si>
    <t>Norsk rett</t>
  </si>
  <si>
    <t>NOK 625 mill</t>
  </si>
  <si>
    <t>NO0010792476</t>
  </si>
  <si>
    <t>NO0010799323</t>
  </si>
  <si>
    <t>NOK 150 mill</t>
  </si>
  <si>
    <t>3 mnd NIBOR + 1,52%</t>
  </si>
  <si>
    <t>3 mnd NIBOR + 3,20%</t>
  </si>
  <si>
    <t>Innenfor maksimalt disponeringsbeløp iht CRDIV/CRR-forskriften § 6</t>
  </si>
  <si>
    <t>Hybridkapital</t>
  </si>
  <si>
    <t>Hybridkapital som ikke kan medregnes i ren kjernekapital</t>
  </si>
  <si>
    <t xml:space="preserve">Herav fondsobligasjoner som kvalifiserer som annen godkjent kjernekapital  </t>
  </si>
  <si>
    <t xml:space="preserve">Hybridkapital som kvalifiserer som annen godkjent kjernekapital </t>
  </si>
  <si>
    <t xml:space="preserve">    SR-Boligkreditt</t>
  </si>
  <si>
    <t>Investeringer i tilknyttede selskaper blir bokført etter egenkapitalmetoden i konsernet og etter kostmetoden i morbanken.</t>
  </si>
  <si>
    <t>Investeringer i felleskontrollert virksomhet blir bokført etter egenkapitalmetoden i konsernet og etter kostmetoden i morbanken.</t>
  </si>
  <si>
    <t>NO0010802382</t>
  </si>
  <si>
    <t>NOK 300 mill</t>
  </si>
  <si>
    <t>3 mnd NIBOR + 1,45%</t>
  </si>
  <si>
    <t xml:space="preserve">SpareBank 1 Boligkreditt AS, SpareBank 1 Næringskreditt AS, BN Bank AS og SpareBank 1 Kredittkort AS. </t>
  </si>
  <si>
    <t>SpareBank 1 Betaling</t>
  </si>
  <si>
    <t>Visa</t>
  </si>
  <si>
    <r>
      <t xml:space="preserve">Hybridkapital </t>
    </r>
    <r>
      <rPr>
        <vertAlign val="superscript"/>
        <sz val="9"/>
        <rFont val="Calibri"/>
        <family val="2"/>
        <scheme val="minor"/>
      </rPr>
      <t>1)</t>
    </r>
  </si>
  <si>
    <t>Systemrisikobuffer 3,0 %</t>
  </si>
  <si>
    <t>Stater og sentralbanker</t>
  </si>
  <si>
    <t>Lokale og regionale myndigheter, offentlige foretak</t>
  </si>
  <si>
    <t>Verdiendring 
i 2017 (i %)</t>
  </si>
  <si>
    <t>Verdi 
31.12.2017</t>
  </si>
  <si>
    <t xml:space="preserve">Foretak SMB </t>
  </si>
  <si>
    <t>Monner AS</t>
  </si>
  <si>
    <t>SR PE Feeder IV AS</t>
  </si>
  <si>
    <t>Optimarin AS</t>
  </si>
  <si>
    <t>Offshore Merchant Partners Asset Yield Fund LP</t>
  </si>
  <si>
    <t>SpareBank 1 Markets</t>
  </si>
  <si>
    <t xml:space="preserve">mål for maksimalt potensielt tap ved et parallellskift i rentekurven på ett prosentpoeng. </t>
  </si>
  <si>
    <t>Rammen er totalt 85 mill kroner fordelt på 50 mill kroner og 35 mill kroner på totalbalansen for henholdsvis Treasury og SR-Bank Markets.</t>
  </si>
  <si>
    <t xml:space="preserve">Den kommersielle risikoen kvantifiseres og overvåkes kontinuerlig. </t>
  </si>
  <si>
    <t>Ja</t>
  </si>
  <si>
    <t>Ref. pkt 24</t>
  </si>
  <si>
    <t>Gjeldende minstekrav. 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 For tiden: 5% kjernekapitaldekning og 8% kapitaldekning fastsatt i Beregningsforskriften</t>
  </si>
  <si>
    <t>NO0010811318</t>
  </si>
  <si>
    <t>3mN +310</t>
  </si>
  <si>
    <t>NOK 300</t>
  </si>
  <si>
    <t>NOK 625</t>
  </si>
  <si>
    <t>3 mnd Nibor + 1,45 % p.a.</t>
  </si>
  <si>
    <t>3 mnd Nibor + 1,52 % p.a.</t>
  </si>
  <si>
    <t>6 mnd Euribor + 1,725 % p.a.</t>
  </si>
  <si>
    <t>NOK 472 mill</t>
  </si>
  <si>
    <t>Egenkapital-amortisert kost</t>
  </si>
  <si>
    <t>FinStart Nordic AS</t>
  </si>
  <si>
    <t>Verdiendring 
i 2018 (i %)</t>
  </si>
  <si>
    <t>Verdi 
31.12.2018</t>
  </si>
  <si>
    <t>Verdi
 2018</t>
  </si>
  <si>
    <t>Bjergsted Terrasse AS</t>
  </si>
  <si>
    <t>Trinn 3</t>
  </si>
  <si>
    <t>2018 (Etter IFRS 9)</t>
  </si>
  <si>
    <t>Nedskrivninger på utlån</t>
  </si>
  <si>
    <t>Nedskrivninger på finansielle forpliktelser</t>
  </si>
  <si>
    <t>Fiske/ fiskeoppdrett</t>
  </si>
  <si>
    <t>Jordbruk/ skogbruk</t>
  </si>
  <si>
    <t xml:space="preserve">Energi, olje og gass </t>
  </si>
  <si>
    <t>Bygg og anlegg</t>
  </si>
  <si>
    <t>Kraft og vannforsyning</t>
  </si>
  <si>
    <t>Eiendom</t>
  </si>
  <si>
    <t>Shipping og øvrig transport</t>
  </si>
  <si>
    <t>Fradrag ren kjernekapital for ikke vesentlige investeringer i finansinstitusjoner</t>
  </si>
  <si>
    <t>Verdijustering som følge av kravene om forsvarlig verdsettelse</t>
  </si>
  <si>
    <t>NOK 700</t>
  </si>
  <si>
    <t>HitecVision Private Equity IV LP</t>
  </si>
  <si>
    <t>Boost AI AS</t>
  </si>
  <si>
    <t>Trinn 1</t>
  </si>
  <si>
    <t>Trinn 2</t>
  </si>
  <si>
    <t>Varehandel, hotell og restaurantvirksomh.</t>
  </si>
  <si>
    <t>Sum Næring</t>
  </si>
  <si>
    <t>Sum Personkunder</t>
  </si>
  <si>
    <t xml:space="preserve">Trinn 1 </t>
  </si>
  <si>
    <t>Total</t>
  </si>
  <si>
    <t xml:space="preserve">Overført til (fra) Trinn 1 </t>
  </si>
  <si>
    <t>Overført til (fra) Trinn 2</t>
  </si>
  <si>
    <t xml:space="preserve">Overført til (fra) Trinn 3 </t>
  </si>
  <si>
    <t>Netto ny måling av nedskrivninger</t>
  </si>
  <si>
    <t>Nye utstedte eller kjøpte utlån</t>
  </si>
  <si>
    <t>Utlån som har blitt fraregnet</t>
  </si>
  <si>
    <t>Endring pga modifikasjoner som ikke har resultert i fraregning</t>
  </si>
  <si>
    <t>Periodens konstaterte tap</t>
  </si>
  <si>
    <t>Periodens konstaterte tap hvor det tidligere er nedskrevet</t>
  </si>
  <si>
    <t xml:space="preserve">Endringer i modell/risikoparametre </t>
  </si>
  <si>
    <t>Andre bevegelser</t>
  </si>
  <si>
    <r>
      <t>SpareBank 1 Kredittkort</t>
    </r>
    <r>
      <rPr>
        <b/>
        <vertAlign val="superscript"/>
        <sz val="9"/>
        <rFont val="Calibri"/>
        <family val="2"/>
        <scheme val="minor"/>
      </rPr>
      <t xml:space="preserve"> </t>
    </r>
  </si>
  <si>
    <t>Nedskrivninger på utlån og finansielle forpliktelser</t>
  </si>
  <si>
    <t>01.01.2018</t>
  </si>
  <si>
    <t>Endring nedskrivning på utlån</t>
  </si>
  <si>
    <t>Endring nedskrivning på finansielle forpliktelser</t>
  </si>
  <si>
    <t>Total 
31.12.2018</t>
  </si>
  <si>
    <t>Nedskrivninger etter amortisert kost - Bedriftsmarked</t>
  </si>
  <si>
    <t>Nedskrivninger etter amortisert kost - Privatmarked</t>
  </si>
  <si>
    <t>Boliglån til virkelig verdi over utvidet resultat</t>
  </si>
  <si>
    <t>Sum nedskrivninger på utlån og finansielle forpliktelser</t>
  </si>
  <si>
    <t>Presentert som:</t>
  </si>
  <si>
    <t>Finansielle forpliktelser - nedskrivninger på garantier, ubenyttet kreditt, lånetilsagn</t>
  </si>
  <si>
    <t>NO0010833486</t>
  </si>
  <si>
    <t>NOK 700 mill</t>
  </si>
  <si>
    <t>NOK 400 mill</t>
  </si>
  <si>
    <t>3 mnd NIBOR + 3,50%</t>
  </si>
  <si>
    <t>3 mnd NIBOR + 3.75 %</t>
  </si>
  <si>
    <t>full fleksibilitet</t>
  </si>
  <si>
    <t>Om kapitaldekning faller under 8,0 % eller kjernekapital under 5,125 %</t>
  </si>
  <si>
    <t>NO0010826696</t>
  </si>
  <si>
    <t>NO0010835408</t>
  </si>
  <si>
    <t>NO0010833908</t>
  </si>
  <si>
    <t>3mN +360</t>
  </si>
  <si>
    <t>3mN +450</t>
  </si>
  <si>
    <t>3mN +153</t>
  </si>
  <si>
    <t>3mN +167</t>
  </si>
  <si>
    <t>3mN +180</t>
  </si>
  <si>
    <t>Stå tilbake for all annen gjeld og skal, med mindre annet er avtalt eller fremkommer av offentlige reguleringer, ha prioritet likt med annen hybridkapital
- Instrumenter i kolonne L har bedre prioritet</t>
  </si>
  <si>
    <t>NO0010834930</t>
  </si>
  <si>
    <t xml:space="preserve"> - Når dekningen av Ren Kjernekapital faller under 5,125 prosent på Utsteders selskapsnivå eller på konsolidert nivå, regnet både for (i)Utsteder alene og (ii)den gruppe der Utsteder er Deltagende Foretak. - Finanstilsynet eller annen kompetent offentlig myndighet kan instruere nedskrivning med endelig virkning.</t>
  </si>
  <si>
    <t>3) BN Bank foretar en proporsjonal konsolidering av selskapene SB1 Boligkreditt og SB1 Kredittkort i sin kapitaldekning, regnskapsmessig bruker BN Bank kostmetoden.</t>
  </si>
  <si>
    <t>3)</t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</si>
  <si>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Andel er totalt engasjement med slik sikkerhetsstillelse i forhold til totalt engasjement for gjeldende engasjementskategori</t>
    </r>
  </si>
  <si>
    <r>
      <rPr>
        <vertAlign val="superscript"/>
        <sz val="9"/>
        <rFont val="Calibri"/>
        <family val="2"/>
        <scheme val="minor"/>
      </rPr>
      <t>2)</t>
    </r>
    <r>
      <rPr>
        <sz val="9"/>
        <rFont val="Calibri"/>
        <family val="2"/>
        <scheme val="minor"/>
      </rPr>
      <t xml:space="preserve"> Et engasjement på en massemarkedskunde der realisasjonsverdi av boligen vurderes lavere enn 30 % av kundens engasjement</t>
    </r>
  </si>
  <si>
    <t xml:space="preserve">
Beløp i mill kroner</t>
  </si>
  <si>
    <t>Balanseførte nedskrivinger på utlån og finansielle forpliktelser, trinnvis fordelt på geografiske områder,</t>
  </si>
  <si>
    <t>Balanseførte nedskrivninger på utlån og finansielle forpliktelser</t>
  </si>
  <si>
    <t>Balanseførte nedskrivninger på utlån, trinnvis fordelt per næring.</t>
  </si>
  <si>
    <t xml:space="preserve">SpareBank 1  Boligkreditt AS </t>
  </si>
  <si>
    <t>NO0010846025</t>
  </si>
  <si>
    <t>NOK 450 mill</t>
  </si>
  <si>
    <t>Balanseførte nedskrivninger på utlån</t>
  </si>
  <si>
    <t>Samlet engasjementsbeløp fordelt på engasjementstype</t>
  </si>
  <si>
    <t>Kredittkvalitet for eksponeringer etter IRB metode</t>
  </si>
  <si>
    <t>Risikoklasse</t>
  </si>
  <si>
    <t>Brutto engasjementsbeløp på balansen</t>
  </si>
  <si>
    <t>Brutto engasjementsbeløp utenom balansen</t>
  </si>
  <si>
    <t>Vektet gjennomsnittlig PD</t>
  </si>
  <si>
    <t>Vektet gjennomsnittlig LGD</t>
  </si>
  <si>
    <t>RWA</t>
  </si>
  <si>
    <t>Gjennomsnittlig risikovekt</t>
  </si>
  <si>
    <t>SMB</t>
  </si>
  <si>
    <t xml:space="preserve">I </t>
  </si>
  <si>
    <t>Subtotal</t>
  </si>
  <si>
    <t>Øvrig foretak</t>
  </si>
  <si>
    <t>Massemarked pant i fast eiendom</t>
  </si>
  <si>
    <t>Total (all portfolios)</t>
  </si>
  <si>
    <t>2008-2018</t>
  </si>
  <si>
    <t>2007-2017</t>
  </si>
  <si>
    <t xml:space="preserve">Internt estimert uvektet tapsgrad for misligholdte lån mot massemarked med pant i fast eiendom (uten regulatoriske minimumskrav) var 11,8 % i 2017 og 13,9 % i årene 2007-2017. </t>
  </si>
  <si>
    <t xml:space="preserve">Internt estimert EAD-vektet tapsgrad for misligholdte lån mot massemarked med pant i fast eiendom (uten regulatoriske minimumskrav) var 12,5 % i 2017 og 14,3 % i årene 2007-2017. </t>
  </si>
  <si>
    <t xml:space="preserve">Validering av tapsgrad for 2018 var under utarbeidelse ved publisering av rapporten. </t>
  </si>
  <si>
    <t>Merk at validering av tapsgrad er endret fra rapportering per realisasjonsår til rapportering per misligholdsår.</t>
  </si>
  <si>
    <t xml:space="preserve"> Investeringer (egenkapitalposisjoner utenfor handelsportefølje) fordelt etter formål</t>
  </si>
  <si>
    <t xml:space="preserve"> Resultateffekt ved et positivt parallellskift i rentekurven på ett prosentpoeng ved utgangen av de to siste årene </t>
  </si>
  <si>
    <t xml:space="preserve"> dersom samtlige finansielle instrumenter ble vurdert til virkelig verdi</t>
  </si>
  <si>
    <t xml:space="preserve"> Forholdet mellom ansvarlig kapital i konsernregnskapet og den ansvarlige kapitalen som beregnes for kapitaldekningsformål</t>
  </si>
  <si>
    <t xml:space="preserve">Dette arbeidet vil fullføres samtidig med tilpasning til ny Basel standard. </t>
  </si>
  <si>
    <t xml:space="preserve"> Engasjementsbeløp for hver engasjementstype fordelt på geografiske områder før fradrag for nedskrivninger</t>
  </si>
  <si>
    <t xml:space="preserve"> Samlet engasjementsbeløp fordelt på engasjementstype</t>
  </si>
  <si>
    <t xml:space="preserve"> Samlet engasjementsbeløp er definert som brutto utlån til kunder + garantier + ubenyttet kreditt i konsernet, </t>
  </si>
  <si>
    <t>etter eventuell nedskrivning og uten hensyn til eventuell sikkerhetsstillelse og engasjementenes gjennomsnittlige størrelse i løpet av perioden.</t>
  </si>
  <si>
    <t>Balanseførte nedskrivninger på utlån, trinnfordelt per næring</t>
  </si>
  <si>
    <t>Balanseførte nedskrivinger på utlån og finansielle forpliktelser, trinnvis fordelt på geografiske områder</t>
  </si>
  <si>
    <t>NO0010832421</t>
  </si>
  <si>
    <t>Offentliggjøring av godtgjørelse</t>
  </si>
  <si>
    <t>Antall</t>
  </si>
  <si>
    <t>Godtgjørelse</t>
  </si>
  <si>
    <t>Herav variabel godtgjørelse</t>
  </si>
  <si>
    <t>Ledende ansatte</t>
  </si>
  <si>
    <t>Ansatte og tillitsvalgte med arbeidsoppgaver av vesentlig betydning for foretakets risikoeksponering</t>
  </si>
  <si>
    <t>Ansatte som er ansvarlig for uavhengig kontrollfunksjon</t>
  </si>
  <si>
    <t>Tillitsvalgte</t>
  </si>
  <si>
    <t>NO0010850621</t>
  </si>
  <si>
    <t>3mN +340</t>
  </si>
  <si>
    <t>NO0010842222</t>
  </si>
  <si>
    <t>3mN +192</t>
  </si>
  <si>
    <t/>
  </si>
  <si>
    <t>NO0010856164</t>
  </si>
  <si>
    <t>NOK 250 mill</t>
  </si>
  <si>
    <t>3 mnd NIBOR + 3,35%</t>
  </si>
  <si>
    <t>RWA etter SMB rabatt</t>
  </si>
  <si>
    <t>Pr 31.12.2019</t>
  </si>
  <si>
    <t>Kapitaldekning i prosent 31.12.2019</t>
  </si>
  <si>
    <t xml:space="preserve"> 31.12.2019</t>
  </si>
  <si>
    <t>Ansvarlig lånekapital og fondsobligasjon i utenlandsk valuta inngår i konsernets totale valutaposisjon slik at det ikke er valutarisiko knyttet til lånene. Av</t>
  </si>
  <si>
    <t>totalt 2 125 mill kroner i ansvarlig lånekapital teller 2 097 mill kroner som tidsbegrenset ansvarlig kapital. Aktiverte kostnader ved låneopptak</t>
  </si>
  <si>
    <t>blir reflektert i beregning av amortisert kost.</t>
  </si>
  <si>
    <t>Verdi 
31.12.2019</t>
  </si>
  <si>
    <t>Verdiendring 
i 2019 (i %)</t>
  </si>
  <si>
    <r>
      <t xml:space="preserve">Risikovektet balanse  2018 </t>
    </r>
    <r>
      <rPr>
        <vertAlign val="superscript"/>
        <sz val="9"/>
        <rFont val="Calibri"/>
        <family val="2"/>
        <scheme val="minor"/>
      </rPr>
      <t>1)</t>
    </r>
  </si>
  <si>
    <r>
      <t xml:space="preserve">Risikovektet balanse  2019 </t>
    </r>
    <r>
      <rPr>
        <b/>
        <vertAlign val="superscript"/>
        <sz val="9"/>
        <rFont val="Calibri"/>
        <family val="2"/>
        <scheme val="minor"/>
      </rPr>
      <t>1)</t>
    </r>
  </si>
  <si>
    <t>3 mnd NIBOR + 1,37 %</t>
  </si>
  <si>
    <t>18.12.2024
Regulatorisk eller skatterelatert call
Callkurs 100</t>
  </si>
  <si>
    <t>25.10.2023
Regulatorisk eller skatterelatert call
Callkurs 100</t>
  </si>
  <si>
    <t>NO0010871445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</si>
  <si>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SpareBank 1 SR-Bank ASA eier 2,21 % av SB1 Boligkreditt </t>
  </si>
  <si>
    <t>NO0010866635</t>
  </si>
  <si>
    <t>NOK 600 mill</t>
  </si>
  <si>
    <t>3 mnd NIBOR + 3,25%</t>
  </si>
  <si>
    <t>Utsatt skattefordel</t>
  </si>
  <si>
    <t>1) Bokført verdi av aksjene i de respektive selskapene erstattes av SpareBank 1 SR-Bank sin andel av selskapene sine poster i balansen.</t>
  </si>
  <si>
    <t>baserer seg på resultatandelen i 2019 og det er denne resultatandelen som benyttes ved utbytteutbetaling.</t>
  </si>
  <si>
    <t>til fradrag i ren kjernekapital.</t>
  </si>
  <si>
    <t>Agder</t>
  </si>
  <si>
    <t>Vestland</t>
  </si>
  <si>
    <t>Oslo/Viken</t>
  </si>
  <si>
    <t>Konsern - 2019
Nedskrivninger på utlån og finansielle forpliktelser</t>
  </si>
  <si>
    <t>01.01.2019</t>
  </si>
  <si>
    <t xml:space="preserve"> Endring nedskrivning på finansielle forpliktelser</t>
  </si>
  <si>
    <t>Total 
31.12.2019</t>
  </si>
  <si>
    <t>Nedskrivning etter amortisert kost - Bedriftsmarked</t>
  </si>
  <si>
    <t>Nedskrivning etter amortisert kost - Privatmarked</t>
  </si>
  <si>
    <t>Nedskrivning på utlån</t>
  </si>
  <si>
    <t>Konsern - 2018</t>
  </si>
  <si>
    <t>31.12.2019 (Etter IFRS 9)</t>
  </si>
  <si>
    <t>01.01.2019 - 31.12.2019</t>
  </si>
  <si>
    <t>01.01.2018 - 31.12.2018</t>
  </si>
  <si>
    <t>Balanse 01.01.</t>
  </si>
  <si>
    <t>Endringer 01.01. - 31.12.</t>
  </si>
  <si>
    <t>Balanse 31.12.</t>
  </si>
  <si>
    <t>2019 (Etter IFRS 9)</t>
  </si>
  <si>
    <t xml:space="preserve">Som følge av Finanstilsynets tilrådning til Finansdepartementet, avsnitt 4.6 går hele eksponeringen mot SB1 Betaling </t>
  </si>
  <si>
    <t>Konsern
Total balanseført nedskrivning finansielle forpliktelser</t>
  </si>
  <si>
    <t>Konsern 
Total balanseført nedskrivning utlån</t>
  </si>
  <si>
    <t>Pr 31.03.2020</t>
  </si>
  <si>
    <t>Eierandel i prosent   31.03.2020</t>
  </si>
  <si>
    <t>Kapitaldekning i prosent 31.03.2020</t>
  </si>
  <si>
    <t>Eierandel i prosent 31.12.2019</t>
  </si>
  <si>
    <r>
      <t xml:space="preserve">Risikovektet balanse </t>
    </r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31.12.2019</t>
    </r>
  </si>
  <si>
    <r>
      <t xml:space="preserve">1)  </t>
    </r>
    <r>
      <rPr>
        <sz val="9"/>
        <rFont val="Calibri"/>
        <family val="2"/>
        <scheme val="minor"/>
      </rPr>
      <t>SpareBank 1 SR-Bank sin andel</t>
    </r>
  </si>
  <si>
    <r>
      <t xml:space="preserve">Risikovektet balanse </t>
    </r>
    <r>
      <rPr>
        <b/>
        <vertAlign val="superscript"/>
        <sz val="9"/>
        <rFont val="Calibri"/>
        <family val="2"/>
        <scheme val="minor"/>
      </rPr>
      <t>1)</t>
    </r>
    <r>
      <rPr>
        <b/>
        <sz val="9"/>
        <rFont val="Calibri"/>
        <family val="2"/>
        <scheme val="minor"/>
      </rPr>
      <t xml:space="preserve"> 31.03.2020</t>
    </r>
  </si>
  <si>
    <t xml:space="preserve"> 31.03.2020</t>
  </si>
  <si>
    <t>Periodens resultat</t>
  </si>
  <si>
    <t>Delårsresultat som ikke kan medregnes i ren kjernekapital</t>
  </si>
  <si>
    <t xml:space="preserve">Motsykliskbuffer 1,0 % </t>
  </si>
  <si>
    <t>Standardtabell for offentliggjøring av opplysninger om foretaks overholdelse av krav om motsyklisk kapitalbuffer per 31.03.2020</t>
  </si>
  <si>
    <t xml:space="preserve">                                                                                                              SpareBank 1 SR-Bank ASA eier 35,02 % av BN Bank </t>
  </si>
  <si>
    <t xml:space="preserve"> SpareBank 1 SR-Bank ASA Balanse etter regnskap 31.03.2020</t>
  </si>
  <si>
    <t>SpareBank 1 SR-Bank ASA Balanse etter kapitaldekning 31.03.2020</t>
  </si>
  <si>
    <t>Samlet minstekrav for SpareBank 1 SR-Bank til ren kjernekapitaldekning inkludert motsyklisk kapitalbuffer og Pilar 2 påslag var</t>
  </si>
  <si>
    <t xml:space="preserve">pr 31.03.2020 12,7 prosent. Kravet består av 4,5 prosent i minstekrav, i tillegg til øvrige bufferkrav hvorav kravet til bevaringsbuffer </t>
  </si>
  <si>
    <t xml:space="preserve">er 2,5 prosent, systemrisikobuffer 3,0 prosent og motsyklisk kapitalbuffer 1,0 prosent. Motsyklisk kapitalbuffer ble som følge av </t>
  </si>
  <si>
    <t>Covid-19 situasjonen redusert med 1,5 %-poeng i mars 2020. Videre har Finanstilsynet fastsatt et individuelt Pilar 2-krav på 1,7 prosent.</t>
  </si>
  <si>
    <t>31.03.2020 (Etter IFRS 9)</t>
  </si>
  <si>
    <t>Oppdatert per 1. kvartal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</si>
</sst>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_ * #,##0_ ;_ * \-#,##0_ ;_ * &quot;-&quot;_ ;_ @_ "/>
    <numFmt numFmtId="165" formatCode="_(* #,##0_);_(* \(#,##0\);_(* &quot;-&quot;_);_(@_)"/>
    <numFmt numFmtId="166" formatCode="_(* #,##0.00_);_(* \(#,##0.00\);_(* &quot;-&quot;??_);_(@_)"/>
    <numFmt numFmtId="167" formatCode="#,##0;\(#,##0\);&quot;-&quot;"/>
    <numFmt numFmtId="168" formatCode="#,##0;[Red]\(#,##0\);0"/>
    <numFmt numFmtId="169" formatCode="_(* #,##0_);_(* \(#,##0\);_(* &quot; - &quot;_);_(@_)"/>
    <numFmt numFmtId="170" formatCode="0.0\ %"/>
    <numFmt numFmtId="171" formatCode="_(* #,##0_);_(* \(#,##0\);_(* &quot;-&quot;??_);_(@_)"/>
    <numFmt numFmtId="172" formatCode="#,##0.0"/>
    <numFmt numFmtId="173" formatCode="dd/mm/yyyy;@"/>
    <numFmt numFmtId="174" formatCode="_ * #,##0_ ;_ * \-#,##0_ ;_ * &quot;-&quot;??_ ;_ @_ "/>
    <numFmt numFmtId="175" formatCode="dd/mm/yy;@"/>
    <numFmt numFmtId="176" formatCode="_-* #,##0_-;\-* #,##0_-;_-* &quot;-&quot;??_-;_-@_-"/>
    <numFmt numFmtId="177" formatCode="#,##0.000"/>
    <numFmt numFmtId="178" formatCode="dd\/mm\/yyyy"/>
    <numFmt numFmtId="179" formatCode="_ * #,##0.00_ ;_ * \-#,##0.00_ ;_ * &quot;-&quot;??_ ;_ @_ "/>
  </numFmts>
  <fonts count="61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sz val="1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u val="singleAccounting"/>
      <sz val="9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Arial"/>
      <family val="2"/>
    </font>
    <font>
      <b/>
      <sz val="10"/>
      <name val="Verdana"/>
      <family val="2"/>
    </font>
    <font>
      <i/>
      <vertAlign val="superscript"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222222"/>
      <name val="Calibri"/>
      <family val="2"/>
      <scheme val="minor"/>
    </font>
    <font>
      <b/>
      <i/>
      <sz val="9"/>
      <color rgb="FF22222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color rgb="FF1F497D"/>
      <name val="Calibri"/>
      <family val="2"/>
    </font>
    <font>
      <sz val="7"/>
      <color rgb="FF1F497D"/>
      <name val="Times New Roman"/>
      <family val="1"/>
    </font>
    <font>
      <sz val="10"/>
      <name val="Arial Narrow"/>
      <family val="2"/>
    </font>
    <font>
      <sz val="7"/>
      <color indexed="8"/>
      <name val="Arial Narrow"/>
      <family val="2"/>
    </font>
    <font>
      <b/>
      <i/>
      <sz val="9"/>
      <name val="Calibri"/>
      <family val="2"/>
    </font>
    <font>
      <u/>
      <sz val="10"/>
      <color theme="10"/>
      <name val="Verdana"/>
      <family val="2"/>
    </font>
    <font>
      <b/>
      <i/>
      <sz val="9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FF0000"/>
      <name val="Calibri"/>
      <family val="2"/>
      <scheme val="minor"/>
    </font>
    <font>
      <b/>
      <u val="singleAccounting"/>
      <sz val="9"/>
      <color rgb="FFFF0000"/>
      <name val="Calibri"/>
      <family val="2"/>
      <scheme val="minor"/>
    </font>
    <font>
      <b/>
      <u val="doubleAccounting"/>
      <sz val="9"/>
      <color rgb="FFFF0000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doubleAccounting"/>
      <sz val="9"/>
      <color theme="1"/>
      <name val="Calibri"/>
      <family val="2"/>
      <scheme val="minor"/>
    </font>
    <font>
      <sz val="12"/>
      <color indexed="8"/>
      <name val="Gill Sans"/>
    </font>
    <font>
      <sz val="8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color indexed="8"/>
      <name val="Calibri"/>
      <family val="2"/>
      <scheme val="minor"/>
    </font>
    <font>
      <sz val="16"/>
      <color rgb="FF44546A"/>
      <name val="Calibri Light"/>
      <family val="2"/>
    </font>
    <font>
      <b/>
      <sz val="10"/>
      <color theme="1"/>
      <name val="Calibri"/>
      <family val="2"/>
      <scheme val="minor"/>
    </font>
    <font>
      <b/>
      <sz val="16"/>
      <color theme="0"/>
      <name val="Calibri"/>
      <family val="2"/>
    </font>
    <font>
      <sz val="9"/>
      <color rgb="FFFF0000"/>
      <name val="Calibri"/>
      <family val="2"/>
    </font>
    <font>
      <sz val="10"/>
      <color theme="1"/>
      <name val="Arial Narrow"/>
      <family val="2"/>
    </font>
    <font>
      <sz val="7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169" fontId="7" fillId="0" borderId="0" applyFill="0" applyBorder="0">
      <alignment horizontal="right" vertical="top"/>
    </xf>
    <xf numFmtId="0" fontId="8" fillId="0" borderId="0">
      <alignment horizontal="center" wrapText="1"/>
    </xf>
    <xf numFmtId="165" fontId="7" fillId="0" borderId="0" applyFill="0" applyBorder="0" applyAlignment="0" applyProtection="0">
      <alignment horizontal="right" vertical="top"/>
    </xf>
    <xf numFmtId="167" fontId="6" fillId="0" borderId="0"/>
    <xf numFmtId="0" fontId="7" fillId="0" borderId="0" applyFill="0" applyBorder="0">
      <alignment horizontal="left" vertical="top"/>
    </xf>
    <xf numFmtId="168" fontId="5" fillId="0" borderId="0"/>
    <xf numFmtId="0" fontId="9" fillId="0" borderId="0"/>
    <xf numFmtId="0" fontId="7" fillId="0" borderId="0"/>
    <xf numFmtId="0" fontId="9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5" fillId="6" borderId="12" applyNumberFormat="0" applyFont="0" applyBorder="0">
      <alignment horizontal="center" vertical="center"/>
    </xf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50" fillId="0" borderId="0"/>
    <xf numFmtId="0" fontId="51" fillId="0" borderId="0"/>
    <xf numFmtId="0" fontId="52" fillId="0" borderId="0"/>
    <xf numFmtId="0" fontId="52" fillId="0" borderId="0"/>
    <xf numFmtId="166" fontId="53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1" fillId="0" borderId="0"/>
    <xf numFmtId="3" fontId="50" fillId="0" borderId="0"/>
    <xf numFmtId="179" fontId="5" fillId="0" borderId="0" applyFont="0" applyFill="0" applyBorder="0" applyAlignment="0" applyProtection="0"/>
    <xf numFmtId="0" fontId="1" fillId="0" borderId="0"/>
  </cellStyleXfs>
  <cellXfs count="879">
    <xf numFmtId="0" fontId="0" fillId="0" borderId="0" xfId="0"/>
    <xf numFmtId="0" fontId="11" fillId="2" borderId="5" xfId="0" applyFont="1" applyFill="1" applyBorder="1"/>
    <xf numFmtId="14" fontId="12" fillId="2" borderId="5" xfId="0" applyNumberFormat="1" applyFont="1" applyFill="1" applyBorder="1"/>
    <xf numFmtId="14" fontId="11" fillId="2" borderId="5" xfId="0" applyNumberFormat="1" applyFont="1" applyFill="1" applyBorder="1"/>
    <xf numFmtId="0" fontId="11" fillId="0" borderId="0" xfId="5" applyFont="1" applyFill="1">
      <alignment horizontal="left" vertical="top"/>
    </xf>
    <xf numFmtId="164" fontId="11" fillId="0" borderId="0" xfId="1" applyNumberFormat="1" applyFont="1" applyFill="1" applyAlignment="1">
      <alignment vertical="top"/>
    </xf>
    <xf numFmtId="0" fontId="11" fillId="0" borderId="0" xfId="5" applyFont="1" applyFill="1" applyAlignment="1">
      <alignment horizontal="left" vertical="top"/>
    </xf>
    <xf numFmtId="0" fontId="12" fillId="0" borderId="6" xfId="5" applyFont="1" applyFill="1" applyBorder="1" applyAlignment="1">
      <alignment horizontal="left" vertical="top"/>
    </xf>
    <xf numFmtId="164" fontId="12" fillId="0" borderId="6" xfId="1" applyNumberFormat="1" applyFont="1" applyFill="1" applyBorder="1" applyAlignment="1">
      <alignment vertical="top"/>
    </xf>
    <xf numFmtId="164" fontId="11" fillId="0" borderId="6" xfId="1" applyNumberFormat="1" applyFont="1" applyFill="1" applyBorder="1" applyAlignment="1">
      <alignment vertical="top"/>
    </xf>
    <xf numFmtId="0" fontId="12" fillId="0" borderId="0" xfId="5" applyFont="1" applyFill="1">
      <alignment horizontal="left" vertical="top"/>
    </xf>
    <xf numFmtId="0" fontId="11" fillId="0" borderId="0" xfId="5" applyFont="1" applyFill="1" applyBorder="1" applyAlignment="1">
      <alignment horizontal="left" vertical="top"/>
    </xf>
    <xf numFmtId="164" fontId="11" fillId="0" borderId="0" xfId="1" applyNumberFormat="1" applyFont="1" applyFill="1" applyBorder="1" applyAlignment="1">
      <alignment vertical="top"/>
    </xf>
    <xf numFmtId="0" fontId="12" fillId="0" borderId="0" xfId="5" applyFont="1" applyFill="1" applyBorder="1" applyAlignment="1">
      <alignment horizontal="left" vertical="top"/>
    </xf>
    <xf numFmtId="0" fontId="12" fillId="2" borderId="0" xfId="0" applyFont="1" applyFill="1" applyBorder="1"/>
    <xf numFmtId="0" fontId="11" fillId="2" borderId="0" xfId="0" applyFont="1" applyFill="1" applyBorder="1"/>
    <xf numFmtId="0" fontId="12" fillId="0" borderId="5" xfId="5" applyFont="1" applyFill="1" applyBorder="1">
      <alignment horizontal="left" vertical="top"/>
    </xf>
    <xf numFmtId="14" fontId="11" fillId="3" borderId="5" xfId="0" applyNumberFormat="1" applyFont="1" applyFill="1" applyBorder="1"/>
    <xf numFmtId="0" fontId="11" fillId="2" borderId="0" xfId="0" applyFont="1" applyFill="1"/>
    <xf numFmtId="3" fontId="11" fillId="3" borderId="0" xfId="0" applyNumberFormat="1" applyFont="1" applyFill="1"/>
    <xf numFmtId="0" fontId="11" fillId="3" borderId="0" xfId="0" applyFont="1" applyFill="1"/>
    <xf numFmtId="0" fontId="11" fillId="2" borderId="4" xfId="0" applyFont="1" applyFill="1" applyBorder="1"/>
    <xf numFmtId="0" fontId="12" fillId="2" borderId="0" xfId="0" applyFont="1" applyFill="1"/>
    <xf numFmtId="0" fontId="11" fillId="0" borderId="0" xfId="5" applyFont="1" applyFill="1" applyAlignment="1">
      <alignment horizontal="center" vertical="top"/>
    </xf>
    <xf numFmtId="169" fontId="11" fillId="0" borderId="0" xfId="1" applyFont="1" applyFill="1" applyAlignment="1">
      <alignment vertical="top"/>
    </xf>
    <xf numFmtId="10" fontId="11" fillId="0" borderId="0" xfId="1" applyNumberFormat="1" applyFont="1" applyFill="1" applyAlignment="1">
      <alignment vertical="top"/>
    </xf>
    <xf numFmtId="0" fontId="11" fillId="0" borderId="0" xfId="0" applyFont="1"/>
    <xf numFmtId="168" fontId="11" fillId="2" borderId="0" xfId="6" applyFont="1" applyFill="1"/>
    <xf numFmtId="167" fontId="11" fillId="2" borderId="0" xfId="4" applyFont="1" applyFill="1" applyBorder="1"/>
    <xf numFmtId="168" fontId="11" fillId="2" borderId="0" xfId="6" applyFont="1" applyFill="1" applyBorder="1"/>
    <xf numFmtId="168" fontId="12" fillId="2" borderId="0" xfId="6" applyFont="1" applyFill="1" applyBorder="1"/>
    <xf numFmtId="168" fontId="12" fillId="0" borderId="0" xfId="6" applyFont="1" applyFill="1" applyBorder="1" applyAlignment="1">
      <alignment horizontal="right"/>
    </xf>
    <xf numFmtId="168" fontId="11" fillId="0" borderId="0" xfId="6" applyFont="1" applyFill="1" applyBorder="1"/>
    <xf numFmtId="168" fontId="11" fillId="0" borderId="0" xfId="6" applyFont="1" applyFill="1" applyBorder="1" applyAlignment="1">
      <alignment horizontal="right"/>
    </xf>
    <xf numFmtId="167" fontId="12" fillId="0" borderId="0" xfId="4" applyFont="1" applyFill="1" applyBorder="1" applyAlignment="1">
      <alignment horizontal="left"/>
    </xf>
    <xf numFmtId="167" fontId="12" fillId="0" borderId="0" xfId="8" applyNumberFormat="1" applyFont="1" applyFill="1" applyBorder="1" applyAlignment="1"/>
    <xf numFmtId="0" fontId="12" fillId="0" borderId="0" xfId="2" applyFont="1" applyFill="1" applyBorder="1" applyAlignment="1">
      <alignment horizontal="right"/>
    </xf>
    <xf numFmtId="0" fontId="11" fillId="0" borderId="0" xfId="2" applyFont="1" applyFill="1" applyBorder="1" applyAlignment="1">
      <alignment horizontal="right"/>
    </xf>
    <xf numFmtId="0" fontId="12" fillId="0" borderId="0" xfId="5" applyNumberFormat="1" applyFont="1" applyFill="1" applyBorder="1" applyAlignment="1">
      <alignment horizontal="left" vertical="top"/>
    </xf>
    <xf numFmtId="0" fontId="11" fillId="0" borderId="0" xfId="5" applyFont="1" applyFill="1" applyBorder="1">
      <alignment horizontal="left" vertical="top"/>
    </xf>
    <xf numFmtId="0" fontId="11" fillId="0" borderId="0" xfId="5" applyFont="1" applyFill="1" applyBorder="1" applyAlignment="1">
      <alignment horizontal="right" vertical="top" wrapText="1"/>
    </xf>
    <xf numFmtId="0" fontId="11" fillId="2" borderId="0" xfId="5" applyNumberFormat="1" applyFont="1" applyFill="1" applyBorder="1">
      <alignment horizontal="left" vertical="top"/>
    </xf>
    <xf numFmtId="0" fontId="11" fillId="0" borderId="0" xfId="1" applyNumberFormat="1" applyFont="1" applyFill="1" applyBorder="1" applyAlignment="1">
      <alignment vertical="top"/>
    </xf>
    <xf numFmtId="0" fontId="12" fillId="0" borderId="0" xfId="5" applyNumberFormat="1" applyFont="1" applyFill="1" applyBorder="1">
      <alignment horizontal="left" vertical="top"/>
    </xf>
    <xf numFmtId="0" fontId="12" fillId="0" borderId="0" xfId="5" applyFont="1" applyFill="1" applyBorder="1">
      <alignment horizontal="left" vertical="top"/>
    </xf>
    <xf numFmtId="0" fontId="11" fillId="0" borderId="0" xfId="5" applyFont="1" applyFill="1" applyBorder="1" applyAlignment="1">
      <alignment horizontal="left" vertical="top" wrapText="1"/>
    </xf>
    <xf numFmtId="0" fontId="11" fillId="0" borderId="0" xfId="5" applyNumberFormat="1" applyFont="1" applyFill="1" applyBorder="1">
      <alignment horizontal="left" vertical="top"/>
    </xf>
    <xf numFmtId="0" fontId="12" fillId="0" borderId="0" xfId="5" quotePrefix="1" applyNumberFormat="1" applyFont="1" applyFill="1" applyBorder="1" applyAlignment="1">
      <alignment horizontal="left" vertical="top"/>
    </xf>
    <xf numFmtId="0" fontId="12" fillId="0" borderId="0" xfId="5" applyFont="1" applyFill="1" applyBorder="1" applyAlignment="1">
      <alignment horizontal="left" vertical="top" wrapText="1"/>
    </xf>
    <xf numFmtId="0" fontId="11" fillId="0" borderId="0" xfId="5" applyNumberFormat="1" applyFont="1" applyFill="1" applyBorder="1" applyAlignment="1">
      <alignment horizontal="left" vertical="top"/>
    </xf>
    <xf numFmtId="168" fontId="11" fillId="0" borderId="0" xfId="6" applyFont="1" applyFill="1" applyBorder="1" applyAlignment="1">
      <alignment vertical="top"/>
    </xf>
    <xf numFmtId="167" fontId="11" fillId="0" borderId="0" xfId="5" applyNumberFormat="1" applyFont="1" applyFill="1" applyBorder="1">
      <alignment horizontal="left" vertical="top"/>
    </xf>
    <xf numFmtId="167" fontId="12" fillId="0" borderId="0" xfId="5" applyNumberFormat="1" applyFont="1" applyFill="1" applyBorder="1">
      <alignment horizontal="left" vertical="top"/>
    </xf>
    <xf numFmtId="0" fontId="11" fillId="0" borderId="0" xfId="0" applyFont="1" applyFill="1" applyBorder="1"/>
    <xf numFmtId="168" fontId="11" fillId="0" borderId="0" xfId="6" applyFont="1" applyFill="1"/>
    <xf numFmtId="0" fontId="14" fillId="2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right" wrapText="1"/>
    </xf>
    <xf numFmtId="0" fontId="11" fillId="2" borderId="0" xfId="0" applyFont="1" applyFill="1" applyAlignment="1"/>
    <xf numFmtId="0" fontId="12" fillId="2" borderId="0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left" wrapText="1"/>
    </xf>
    <xf numFmtId="14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left"/>
    </xf>
    <xf numFmtId="3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wrapText="1"/>
    </xf>
    <xf numFmtId="3" fontId="12" fillId="2" borderId="0" xfId="0" applyNumberFormat="1" applyFont="1" applyFill="1" applyBorder="1" applyAlignment="1">
      <alignment wrapText="1"/>
    </xf>
    <xf numFmtId="3" fontId="11" fillId="2" borderId="0" xfId="0" applyNumberFormat="1" applyFont="1" applyFill="1" applyAlignment="1"/>
    <xf numFmtId="3" fontId="11" fillId="2" borderId="0" xfId="0" applyNumberFormat="1" applyFont="1" applyFill="1"/>
    <xf numFmtId="0" fontId="11" fillId="2" borderId="0" xfId="0" applyFont="1" applyFill="1" applyBorder="1" applyAlignment="1"/>
    <xf numFmtId="3" fontId="11" fillId="2" borderId="0" xfId="0" applyNumberFormat="1" applyFont="1" applyFill="1" applyBorder="1" applyAlignment="1"/>
    <xf numFmtId="0" fontId="12" fillId="2" borderId="6" xfId="0" applyFont="1" applyFill="1" applyBorder="1" applyAlignment="1"/>
    <xf numFmtId="3" fontId="12" fillId="2" borderId="0" xfId="0" applyNumberFormat="1" applyFont="1" applyFill="1" applyBorder="1" applyAlignment="1"/>
    <xf numFmtId="0" fontId="14" fillId="2" borderId="0" xfId="0" applyFont="1" applyFill="1"/>
    <xf numFmtId="0" fontId="12" fillId="2" borderId="0" xfId="0" applyFont="1" applyFill="1" applyBorder="1" applyAlignment="1">
      <alignment wrapText="1"/>
    </xf>
    <xf numFmtId="0" fontId="12" fillId="2" borderId="5" xfId="0" applyFont="1" applyFill="1" applyBorder="1"/>
    <xf numFmtId="0" fontId="12" fillId="2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wrapText="1"/>
    </xf>
    <xf numFmtId="0" fontId="12" fillId="2" borderId="0" xfId="0" applyFont="1" applyFill="1" applyBorder="1" applyAlignment="1"/>
    <xf numFmtId="9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right"/>
    </xf>
    <xf numFmtId="3" fontId="11" fillId="2" borderId="0" xfId="0" applyNumberFormat="1" applyFont="1" applyFill="1" applyBorder="1" applyAlignment="1">
      <alignment horizontal="right"/>
    </xf>
    <xf numFmtId="0" fontId="12" fillId="2" borderId="6" xfId="0" applyFont="1" applyFill="1" applyBorder="1"/>
    <xf numFmtId="3" fontId="12" fillId="2" borderId="6" xfId="0" applyNumberFormat="1" applyFont="1" applyFill="1" applyBorder="1" applyAlignment="1"/>
    <xf numFmtId="9" fontId="11" fillId="2" borderId="6" xfId="0" applyNumberFormat="1" applyFont="1" applyFill="1" applyBorder="1" applyAlignment="1">
      <alignment horizontal="right"/>
    </xf>
    <xf numFmtId="0" fontId="11" fillId="2" borderId="6" xfId="0" applyFont="1" applyFill="1" applyBorder="1" applyAlignment="1">
      <alignment horizontal="righ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/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/>
    <xf numFmtId="9" fontId="11" fillId="3" borderId="0" xfId="0" applyNumberFormat="1" applyFont="1" applyFill="1" applyBorder="1" applyAlignment="1">
      <alignment horizontal="right"/>
    </xf>
    <xf numFmtId="14" fontId="12" fillId="2" borderId="5" xfId="0" applyNumberFormat="1" applyFont="1" applyFill="1" applyBorder="1" applyAlignment="1">
      <alignment horizontal="right" wrapText="1"/>
    </xf>
    <xf numFmtId="14" fontId="11" fillId="2" borderId="5" xfId="0" applyNumberFormat="1" applyFont="1" applyFill="1" applyBorder="1" applyAlignment="1">
      <alignment horizontal="right" wrapText="1"/>
    </xf>
    <xf numFmtId="0" fontId="13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right" vertical="top"/>
    </xf>
    <xf numFmtId="0" fontId="11" fillId="2" borderId="0" xfId="0" applyFont="1" applyFill="1" applyBorder="1" applyAlignment="1">
      <alignment horizontal="right" vertical="top"/>
    </xf>
    <xf numFmtId="14" fontId="12" fillId="2" borderId="5" xfId="0" applyNumberFormat="1" applyFont="1" applyFill="1" applyBorder="1" applyAlignment="1">
      <alignment horizontal="right" vertical="top"/>
    </xf>
    <xf numFmtId="14" fontId="11" fillId="2" borderId="5" xfId="0" applyNumberFormat="1" applyFont="1" applyFill="1" applyBorder="1" applyAlignment="1">
      <alignment horizontal="right" vertical="top"/>
    </xf>
    <xf numFmtId="0" fontId="12" fillId="2" borderId="0" xfId="0" applyFont="1" applyFill="1" applyBorder="1" applyAlignment="1">
      <alignment horizontal="left"/>
    </xf>
    <xf numFmtId="0" fontId="12" fillId="2" borderId="6" xfId="0" applyFont="1" applyFill="1" applyBorder="1" applyAlignment="1">
      <alignment horizontal="left"/>
    </xf>
    <xf numFmtId="0" fontId="11" fillId="2" borderId="0" xfId="0" applyFont="1" applyFill="1" applyAlignment="1">
      <alignment vertical="top" wrapText="1"/>
    </xf>
    <xf numFmtId="0" fontId="12" fillId="2" borderId="5" xfId="0" applyFont="1" applyFill="1" applyBorder="1" applyAlignment="1">
      <alignment horizontal="right" wrapText="1"/>
    </xf>
    <xf numFmtId="0" fontId="11" fillId="2" borderId="0" xfId="0" applyFont="1" applyFill="1" applyAlignment="1">
      <alignment horizontal="right"/>
    </xf>
    <xf numFmtId="3" fontId="12" fillId="2" borderId="0" xfId="11" applyNumberFormat="1" applyFont="1" applyFill="1" applyBorder="1" applyAlignment="1">
      <alignment horizontal="right" vertical="top" wrapText="1"/>
    </xf>
    <xf numFmtId="168" fontId="12" fillId="2" borderId="0" xfId="6" applyFont="1" applyFill="1"/>
    <xf numFmtId="168" fontId="11" fillId="0" borderId="0" xfId="6" applyFont="1" applyFill="1" applyAlignment="1">
      <alignment horizontal="right"/>
    </xf>
    <xf numFmtId="167" fontId="12" fillId="0" borderId="1" xfId="8" applyNumberFormat="1" applyFont="1" applyFill="1" applyBorder="1" applyAlignment="1"/>
    <xf numFmtId="168" fontId="12" fillId="0" borderId="1" xfId="6" applyFont="1" applyFill="1" applyBorder="1" applyAlignment="1">
      <alignment horizontal="right"/>
    </xf>
    <xf numFmtId="0" fontId="11" fillId="0" borderId="1" xfId="2" applyFont="1" applyFill="1" applyBorder="1" applyAlignment="1">
      <alignment horizontal="right"/>
    </xf>
    <xf numFmtId="164" fontId="12" fillId="0" borderId="0" xfId="4" applyNumberFormat="1" applyFont="1" applyFill="1" applyBorder="1"/>
    <xf numFmtId="0" fontId="11" fillId="0" borderId="0" xfId="5" applyFont="1" applyFill="1" applyAlignment="1">
      <alignment horizontal="right" vertical="top" wrapText="1"/>
    </xf>
    <xf numFmtId="169" fontId="11" fillId="0" borderId="0" xfId="1" applyFont="1" applyFill="1">
      <alignment horizontal="right" vertical="top"/>
    </xf>
    <xf numFmtId="164" fontId="11" fillId="0" borderId="0" xfId="5" applyNumberFormat="1" applyFont="1" applyFill="1">
      <alignment horizontal="left" vertical="top"/>
    </xf>
    <xf numFmtId="169" fontId="11" fillId="0" borderId="0" xfId="1" applyFont="1" applyFill="1" applyAlignment="1">
      <alignment horizontal="left" vertical="top"/>
    </xf>
    <xf numFmtId="164" fontId="12" fillId="0" borderId="3" xfId="5" applyNumberFormat="1" applyFont="1" applyFill="1" applyBorder="1">
      <alignment horizontal="left" vertical="top"/>
    </xf>
    <xf numFmtId="169" fontId="11" fillId="0" borderId="3" xfId="1" applyFont="1" applyFill="1" applyBorder="1" applyAlignment="1">
      <alignment horizontal="left" vertical="top"/>
    </xf>
    <xf numFmtId="0" fontId="12" fillId="0" borderId="3" xfId="5" applyFont="1" applyFill="1" applyBorder="1">
      <alignment horizontal="left" vertical="top"/>
    </xf>
    <xf numFmtId="0" fontId="11" fillId="0" borderId="3" xfId="5" applyFont="1" applyFill="1" applyBorder="1" applyAlignment="1">
      <alignment horizontal="left" vertical="top" wrapText="1"/>
    </xf>
    <xf numFmtId="0" fontId="11" fillId="0" borderId="0" xfId="5" applyFont="1" applyFill="1" applyAlignment="1">
      <alignment horizontal="left" vertical="top" wrapText="1"/>
    </xf>
    <xf numFmtId="164" fontId="11" fillId="0" borderId="0" xfId="5" applyNumberFormat="1" applyFont="1" applyFill="1" applyAlignment="1">
      <alignment horizontal="left" vertical="top"/>
    </xf>
    <xf numFmtId="169" fontId="16" fillId="0" borderId="0" xfId="1" applyFont="1" applyFill="1" applyAlignment="1">
      <alignment horizontal="left" vertical="top"/>
    </xf>
    <xf numFmtId="168" fontId="11" fillId="0" borderId="0" xfId="6" applyFont="1" applyFill="1" applyAlignment="1">
      <alignment vertical="top"/>
    </xf>
    <xf numFmtId="164" fontId="11" fillId="0" borderId="0" xfId="5" applyNumberFormat="1" applyFont="1" applyFill="1" applyBorder="1">
      <alignment horizontal="left" vertical="top"/>
    </xf>
    <xf numFmtId="164" fontId="11" fillId="0" borderId="1" xfId="5" applyNumberFormat="1" applyFont="1" applyFill="1" applyBorder="1">
      <alignment horizontal="left" vertical="top"/>
    </xf>
    <xf numFmtId="169" fontId="11" fillId="0" borderId="1" xfId="1" applyFont="1" applyFill="1" applyBorder="1" applyAlignment="1">
      <alignment horizontal="left" vertical="top"/>
    </xf>
    <xf numFmtId="0" fontId="11" fillId="0" borderId="1" xfId="5" applyFont="1" applyFill="1" applyBorder="1">
      <alignment horizontal="left" vertical="top"/>
    </xf>
    <xf numFmtId="167" fontId="11" fillId="0" borderId="1" xfId="5" applyNumberFormat="1" applyFont="1" applyFill="1" applyBorder="1">
      <alignment horizontal="left" vertical="top"/>
    </xf>
    <xf numFmtId="164" fontId="12" fillId="0" borderId="1" xfId="5" applyNumberFormat="1" applyFont="1" applyFill="1" applyBorder="1">
      <alignment horizontal="left" vertical="top"/>
    </xf>
    <xf numFmtId="167" fontId="12" fillId="0" borderId="1" xfId="5" applyNumberFormat="1" applyFont="1" applyFill="1" applyBorder="1">
      <alignment horizontal="left" vertical="top"/>
    </xf>
    <xf numFmtId="0" fontId="12" fillId="0" borderId="0" xfId="5" applyFont="1" applyFill="1" applyAlignment="1">
      <alignment horizontal="left" vertical="top"/>
    </xf>
    <xf numFmtId="169" fontId="12" fillId="0" borderId="3" xfId="1" applyFont="1" applyFill="1" applyBorder="1" applyAlignment="1">
      <alignment horizontal="left" vertical="top"/>
    </xf>
    <xf numFmtId="0" fontId="12" fillId="0" borderId="3" xfId="5" applyFont="1" applyFill="1" applyBorder="1" applyAlignment="1">
      <alignment horizontal="left" vertical="top" wrapText="1"/>
    </xf>
    <xf numFmtId="0" fontId="11" fillId="0" borderId="0" xfId="0" applyFont="1" applyFill="1"/>
    <xf numFmtId="168" fontId="20" fillId="0" borderId="0" xfId="6" applyFont="1" applyFill="1"/>
    <xf numFmtId="168" fontId="12" fillId="0" borderId="0" xfId="6" applyFont="1" applyFill="1" applyAlignment="1">
      <alignment horizontal="center"/>
    </xf>
    <xf numFmtId="168" fontId="12" fillId="0" borderId="0" xfId="6" applyFont="1" applyFill="1"/>
    <xf numFmtId="0" fontId="12" fillId="2" borderId="5" xfId="0" applyFont="1" applyFill="1" applyBorder="1" applyAlignment="1">
      <alignment horizontal="right"/>
    </xf>
    <xf numFmtId="3" fontId="12" fillId="2" borderId="0" xfId="0" applyNumberFormat="1" applyFont="1" applyFill="1" applyBorder="1" applyAlignment="1">
      <alignment horizontal="right"/>
    </xf>
    <xf numFmtId="3" fontId="12" fillId="2" borderId="6" xfId="0" applyNumberFormat="1" applyFont="1" applyFill="1" applyBorder="1" applyAlignment="1">
      <alignment horizontal="right"/>
    </xf>
    <xf numFmtId="170" fontId="11" fillId="2" borderId="0" xfId="10" applyNumberFormat="1" applyFont="1" applyFill="1"/>
    <xf numFmtId="4" fontId="11" fillId="2" borderId="0" xfId="0" applyNumberFormat="1" applyFont="1" applyFill="1"/>
    <xf numFmtId="0" fontId="11" fillId="2" borderId="0" xfId="0" applyFont="1" applyFill="1" applyAlignment="1">
      <alignment horizontal="left" vertical="top" wrapText="1"/>
    </xf>
    <xf numFmtId="3" fontId="12" fillId="2" borderId="0" xfId="11" applyNumberFormat="1" applyFont="1" applyFill="1" applyBorder="1" applyAlignment="1"/>
    <xf numFmtId="0" fontId="12" fillId="2" borderId="5" xfId="0" applyFont="1" applyFill="1" applyBorder="1" applyAlignment="1">
      <alignment horizontal="right" vertical="top" wrapText="1"/>
    </xf>
    <xf numFmtId="3" fontId="11" fillId="2" borderId="0" xfId="11" applyNumberFormat="1" applyFont="1" applyFill="1" applyBorder="1" applyAlignment="1"/>
    <xf numFmtId="0" fontId="11" fillId="2" borderId="0" xfId="0" quotePrefix="1" applyFont="1" applyFill="1"/>
    <xf numFmtId="3" fontId="12" fillId="2" borderId="0" xfId="1" applyNumberFormat="1" applyFont="1" applyFill="1" applyBorder="1" applyAlignment="1">
      <alignment horizontal="right" vertical="top" wrapText="1"/>
    </xf>
    <xf numFmtId="0" fontId="11" fillId="2" borderId="7" xfId="0" applyFont="1" applyFill="1" applyBorder="1" applyAlignment="1">
      <alignment vertical="top"/>
    </xf>
    <xf numFmtId="0" fontId="11" fillId="2" borderId="0" xfId="0" applyFont="1" applyFill="1" applyAlignment="1">
      <alignment horizontal="left"/>
    </xf>
    <xf numFmtId="3" fontId="11" fillId="3" borderId="0" xfId="0" applyNumberFormat="1" applyFont="1" applyFill="1" applyBorder="1" applyAlignment="1">
      <alignment horizontal="right"/>
    </xf>
    <xf numFmtId="3" fontId="12" fillId="3" borderId="0" xfId="0" applyNumberFormat="1" applyFont="1" applyFill="1" applyBorder="1" applyAlignment="1">
      <alignment horizontal="right"/>
    </xf>
    <xf numFmtId="3" fontId="11" fillId="2" borderId="0" xfId="0" applyNumberFormat="1" applyFont="1" applyFill="1" applyBorder="1" applyAlignment="1">
      <alignment horizontal="right" vertical="top" wrapText="1"/>
    </xf>
    <xf numFmtId="3" fontId="12" fillId="2" borderId="0" xfId="0" applyNumberFormat="1" applyFont="1" applyFill="1" applyBorder="1"/>
    <xf numFmtId="0" fontId="12" fillId="2" borderId="5" xfId="0" applyFont="1" applyFill="1" applyBorder="1" applyAlignment="1">
      <alignment horizontal="center" vertical="top" wrapText="1"/>
    </xf>
    <xf numFmtId="3" fontId="11" fillId="2" borderId="0" xfId="0" applyNumberFormat="1" applyFont="1" applyFill="1" applyBorder="1" applyAlignment="1">
      <alignment horizontal="right" wrapText="1"/>
    </xf>
    <xf numFmtId="0" fontId="14" fillId="2" borderId="0" xfId="0" applyFont="1" applyFill="1" applyBorder="1"/>
    <xf numFmtId="0" fontId="11" fillId="2" borderId="2" xfId="0" applyFont="1" applyFill="1" applyBorder="1"/>
    <xf numFmtId="3" fontId="12" fillId="2" borderId="6" xfId="0" applyNumberFormat="1" applyFont="1" applyFill="1" applyBorder="1"/>
    <xf numFmtId="0" fontId="14" fillId="2" borderId="0" xfId="12" applyFont="1" applyFill="1"/>
    <xf numFmtId="0" fontId="11" fillId="2" borderId="0" xfId="12" applyFont="1" applyFill="1"/>
    <xf numFmtId="0" fontId="11" fillId="2" borderId="0" xfId="12" applyFont="1" applyFill="1" applyBorder="1"/>
    <xf numFmtId="0" fontId="11" fillId="2" borderId="0" xfId="12" applyFont="1" applyFill="1" applyBorder="1" applyAlignment="1">
      <alignment horizontal="left" vertical="top"/>
    </xf>
    <xf numFmtId="0" fontId="12" fillId="2" borderId="0" xfId="12" applyFont="1" applyFill="1" applyBorder="1" applyAlignment="1">
      <alignment horizontal="left" vertical="top"/>
    </xf>
    <xf numFmtId="3" fontId="12" fillId="2" borderId="0" xfId="12" applyNumberFormat="1" applyFont="1" applyFill="1" applyBorder="1" applyAlignment="1">
      <alignment horizontal="right" vertical="top" wrapText="1"/>
    </xf>
    <xf numFmtId="9" fontId="13" fillId="2" borderId="0" xfId="10" applyFont="1" applyFill="1" applyBorder="1" applyAlignment="1">
      <alignment horizontal="right" vertical="top" wrapText="1"/>
    </xf>
    <xf numFmtId="9" fontId="12" fillId="2" borderId="0" xfId="10" applyFont="1" applyFill="1" applyBorder="1" applyAlignment="1">
      <alignment horizontal="right" vertical="top" wrapText="1"/>
    </xf>
    <xf numFmtId="14" fontId="12" fillId="2" borderId="0" xfId="0" applyNumberFormat="1" applyFont="1" applyFill="1"/>
    <xf numFmtId="0" fontId="12" fillId="2" borderId="0" xfId="0" applyFont="1" applyFill="1" applyAlignment="1">
      <alignment horizontal="left"/>
    </xf>
    <xf numFmtId="0" fontId="20" fillId="0" borderId="0" xfId="0" applyFont="1" applyAlignment="1">
      <alignment horizontal="center"/>
    </xf>
    <xf numFmtId="0" fontId="11" fillId="2" borderId="5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vertical="top" wrapText="1"/>
    </xf>
    <xf numFmtId="0" fontId="17" fillId="2" borderId="0" xfId="0" applyFont="1" applyFill="1"/>
    <xf numFmtId="9" fontId="11" fillId="2" borderId="0" xfId="10" applyFont="1" applyFill="1" applyBorder="1" applyAlignment="1">
      <alignment horizontal="right" wrapText="1"/>
    </xf>
    <xf numFmtId="3" fontId="11" fillId="2" borderId="0" xfId="10" applyNumberFormat="1" applyFont="1" applyFill="1"/>
    <xf numFmtId="0" fontId="11" fillId="2" borderId="6" xfId="0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right" wrapText="1"/>
    </xf>
    <xf numFmtId="0" fontId="11" fillId="2" borderId="6" xfId="0" applyFont="1" applyFill="1" applyBorder="1"/>
    <xf numFmtId="0" fontId="11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right" vertical="top" wrapText="1"/>
    </xf>
    <xf numFmtId="3" fontId="12" fillId="2" borderId="0" xfId="0" applyNumberFormat="1" applyFont="1" applyFill="1" applyBorder="1" applyAlignment="1">
      <alignment horizontal="right" vertical="top" wrapText="1"/>
    </xf>
    <xf numFmtId="3" fontId="12" fillId="2" borderId="5" xfId="0" applyNumberFormat="1" applyFont="1" applyFill="1" applyBorder="1" applyAlignment="1">
      <alignment horizontal="right" vertical="top" wrapText="1"/>
    </xf>
    <xf numFmtId="3" fontId="12" fillId="2" borderId="0" xfId="0" applyNumberFormat="1" applyFont="1" applyFill="1" applyBorder="1" applyAlignment="1">
      <alignment horizontal="right" vertical="center" wrapText="1"/>
    </xf>
    <xf numFmtId="170" fontId="12" fillId="2" borderId="6" xfId="10" applyNumberFormat="1" applyFont="1" applyFill="1" applyBorder="1"/>
    <xf numFmtId="171" fontId="11" fillId="2" borderId="0" xfId="11" applyNumberFormat="1" applyFont="1" applyFill="1" applyBorder="1" applyAlignment="1"/>
    <xf numFmtId="10" fontId="11" fillId="2" borderId="0" xfId="11" applyNumberFormat="1" applyFont="1" applyFill="1" applyBorder="1" applyAlignment="1"/>
    <xf numFmtId="0" fontId="14" fillId="2" borderId="2" xfId="0" applyFont="1" applyFill="1" applyBorder="1"/>
    <xf numFmtId="0" fontId="12" fillId="2" borderId="0" xfId="0" applyFont="1" applyFill="1" applyBorder="1" applyAlignment="1">
      <alignment vertical="top"/>
    </xf>
    <xf numFmtId="0" fontId="11" fillId="2" borderId="0" xfId="9" applyFont="1" applyFill="1"/>
    <xf numFmtId="0" fontId="11" fillId="0" borderId="0" xfId="7" applyFont="1" applyFill="1"/>
    <xf numFmtId="0" fontId="12" fillId="2" borderId="6" xfId="0" applyFont="1" applyFill="1" applyBorder="1" applyAlignment="1">
      <alignment vertical="top"/>
    </xf>
    <xf numFmtId="0" fontId="12" fillId="2" borderId="6" xfId="7" applyFont="1" applyFill="1" applyBorder="1" applyAlignment="1">
      <alignment horizontal="justify"/>
    </xf>
    <xf numFmtId="0" fontId="11" fillId="2" borderId="0" xfId="0" applyFont="1" applyFill="1" applyBorder="1" applyAlignment="1">
      <alignment horizontal="left" vertical="center"/>
    </xf>
    <xf numFmtId="14" fontId="12" fillId="2" borderId="0" xfId="0" applyNumberFormat="1" applyFont="1" applyFill="1" applyBorder="1" applyAlignment="1">
      <alignment horizontal="right" vertical="top"/>
    </xf>
    <xf numFmtId="0" fontId="11" fillId="3" borderId="0" xfId="11" applyNumberFormat="1" applyFont="1" applyFill="1" applyBorder="1" applyAlignment="1">
      <alignment horizontal="right" wrapText="1"/>
    </xf>
    <xf numFmtId="3" fontId="11" fillId="3" borderId="0" xfId="11" applyNumberFormat="1" applyFont="1" applyFill="1" applyBorder="1" applyAlignment="1">
      <alignment horizontal="right" wrapText="1"/>
    </xf>
    <xf numFmtId="0" fontId="12" fillId="3" borderId="5" xfId="0" applyFont="1" applyFill="1" applyBorder="1" applyAlignment="1">
      <alignment horizontal="right" wrapText="1"/>
    </xf>
    <xf numFmtId="3" fontId="11" fillId="3" borderId="6" xfId="0" applyNumberFormat="1" applyFont="1" applyFill="1" applyBorder="1"/>
    <xf numFmtId="3" fontId="12" fillId="2" borderId="5" xfId="0" applyNumberFormat="1" applyFont="1" applyFill="1" applyBorder="1" applyAlignment="1">
      <alignment horizontal="right" wrapText="1"/>
    </xf>
    <xf numFmtId="3" fontId="11" fillId="2" borderId="5" xfId="0" applyNumberFormat="1" applyFont="1" applyFill="1" applyBorder="1" applyAlignment="1">
      <alignment horizontal="right" wrapText="1"/>
    </xf>
    <xf numFmtId="171" fontId="11" fillId="2" borderId="0" xfId="11" applyNumberFormat="1" applyFont="1" applyFill="1"/>
    <xf numFmtId="171" fontId="12" fillId="2" borderId="6" xfId="11" applyNumberFormat="1" applyFont="1" applyFill="1" applyBorder="1" applyAlignment="1">
      <alignment horizontal="right" vertical="top" wrapText="1"/>
    </xf>
    <xf numFmtId="171" fontId="11" fillId="2" borderId="6" xfId="11" applyNumberFormat="1" applyFont="1" applyFill="1" applyBorder="1" applyAlignment="1">
      <alignment horizontal="right" vertical="top" wrapText="1"/>
    </xf>
    <xf numFmtId="14" fontId="12" fillId="0" borderId="5" xfId="0" applyNumberFormat="1" applyFont="1" applyBorder="1" applyAlignment="1">
      <alignment horizontal="right"/>
    </xf>
    <xf numFmtId="14" fontId="11" fillId="0" borderId="5" xfId="0" applyNumberFormat="1" applyFont="1" applyBorder="1" applyAlignment="1">
      <alignment horizontal="right"/>
    </xf>
    <xf numFmtId="0" fontId="11" fillId="0" borderId="0" xfId="0" applyFont="1" applyBorder="1"/>
    <xf numFmtId="0" fontId="11" fillId="0" borderId="1" xfId="0" applyFont="1" applyBorder="1"/>
    <xf numFmtId="0" fontId="11" fillId="2" borderId="0" xfId="0" applyFont="1" applyFill="1"/>
    <xf numFmtId="0" fontId="18" fillId="4" borderId="8" xfId="0" applyFont="1" applyFill="1" applyBorder="1" applyAlignment="1">
      <alignment horizontal="left"/>
    </xf>
    <xf numFmtId="0" fontId="19" fillId="4" borderId="8" xfId="0" applyFont="1" applyFill="1" applyBorder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/>
    <xf numFmtId="0" fontId="19" fillId="4" borderId="0" xfId="0" applyFont="1" applyFill="1" applyAlignment="1">
      <alignment horizontal="right"/>
    </xf>
    <xf numFmtId="0" fontId="11" fillId="2" borderId="0" xfId="0" applyFont="1" applyFill="1"/>
    <xf numFmtId="0" fontId="11" fillId="2" borderId="5" xfId="0" applyFont="1" applyFill="1" applyBorder="1" applyAlignment="1">
      <alignment horizontal="left"/>
    </xf>
    <xf numFmtId="0" fontId="22" fillId="3" borderId="0" xfId="0" applyFont="1" applyFill="1"/>
    <xf numFmtId="0" fontId="20" fillId="3" borderId="0" xfId="0" applyFont="1" applyFill="1" applyAlignment="1">
      <alignment horizontal="right"/>
    </xf>
    <xf numFmtId="0" fontId="20" fillId="3" borderId="0" xfId="0" applyFont="1" applyFill="1"/>
    <xf numFmtId="0" fontId="21" fillId="3" borderId="0" xfId="0" applyFont="1" applyFill="1" applyAlignment="1">
      <alignment horizontal="center"/>
    </xf>
    <xf numFmtId="0" fontId="22" fillId="3" borderId="0" xfId="0" applyFont="1" applyFill="1" applyAlignment="1">
      <alignment horizontal="right"/>
    </xf>
    <xf numFmtId="0" fontId="20" fillId="5" borderId="0" xfId="0" applyFont="1" applyFill="1" applyAlignment="1">
      <alignment horizontal="right"/>
    </xf>
    <xf numFmtId="0" fontId="22" fillId="5" borderId="0" xfId="0" applyFont="1" applyFill="1"/>
    <xf numFmtId="0" fontId="22" fillId="3" borderId="0" xfId="0" applyNumberFormat="1" applyFont="1" applyFill="1"/>
    <xf numFmtId="0" fontId="22" fillId="5" borderId="0" xfId="0" applyFont="1" applyFill="1" applyAlignment="1">
      <alignment horizontal="right"/>
    </xf>
    <xf numFmtId="0" fontId="20" fillId="2" borderId="0" xfId="0" applyFont="1" applyFill="1"/>
    <xf numFmtId="0" fontId="11" fillId="2" borderId="0" xfId="0" applyFont="1" applyFill="1"/>
    <xf numFmtId="3" fontId="11" fillId="3" borderId="4" xfId="0" applyNumberFormat="1" applyFont="1" applyFill="1" applyBorder="1"/>
    <xf numFmtId="3" fontId="11" fillId="3" borderId="0" xfId="0" applyNumberFormat="1" applyFont="1" applyFill="1" applyAlignment="1">
      <alignment horizontal="right"/>
    </xf>
    <xf numFmtId="0" fontId="11" fillId="3" borderId="0" xfId="0" applyFont="1" applyFill="1" applyBorder="1" applyAlignment="1">
      <alignment wrapText="1"/>
    </xf>
    <xf numFmtId="0" fontId="11" fillId="2" borderId="0" xfId="0" applyFont="1" applyFill="1"/>
    <xf numFmtId="0" fontId="14" fillId="3" borderId="0" xfId="0" applyFont="1" applyFill="1" applyBorder="1" applyAlignment="1">
      <alignment vertical="top" wrapText="1"/>
    </xf>
    <xf numFmtId="0" fontId="12" fillId="3" borderId="0" xfId="0" applyFont="1" applyFill="1" applyBorder="1" applyAlignment="1">
      <alignment horizontal="right" vertical="top" wrapText="1"/>
    </xf>
    <xf numFmtId="0" fontId="12" fillId="3" borderId="0" xfId="0" applyFont="1" applyFill="1" applyBorder="1" applyAlignment="1">
      <alignment horizontal="left" wrapText="1"/>
    </xf>
    <xf numFmtId="0" fontId="12" fillId="3" borderId="0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right" wrapText="1"/>
    </xf>
    <xf numFmtId="0" fontId="11" fillId="3" borderId="5" xfId="0" applyFont="1" applyFill="1" applyBorder="1" applyAlignment="1">
      <alignment horizontal="left" wrapText="1"/>
    </xf>
    <xf numFmtId="0" fontId="12" fillId="3" borderId="5" xfId="0" applyFont="1" applyFill="1" applyBorder="1" applyAlignment="1">
      <alignment horizontal="left" wrapText="1"/>
    </xf>
    <xf numFmtId="14" fontId="11" fillId="3" borderId="5" xfId="0" applyNumberFormat="1" applyFont="1" applyFill="1" applyBorder="1" applyAlignment="1">
      <alignment horizontal="right"/>
    </xf>
    <xf numFmtId="3" fontId="11" fillId="3" borderId="0" xfId="0" applyNumberFormat="1" applyFont="1" applyFill="1" applyBorder="1" applyAlignment="1">
      <alignment wrapText="1"/>
    </xf>
    <xf numFmtId="0" fontId="11" fillId="3" borderId="4" xfId="0" applyFont="1" applyFill="1" applyBorder="1" applyAlignment="1">
      <alignment horizontal="left"/>
    </xf>
    <xf numFmtId="0" fontId="11" fillId="3" borderId="4" xfId="0" applyFont="1" applyFill="1" applyBorder="1" applyAlignment="1">
      <alignment horizontal="left" wrapText="1"/>
    </xf>
    <xf numFmtId="0" fontId="11" fillId="3" borderId="4" xfId="0" applyFont="1" applyFill="1" applyBorder="1" applyAlignment="1">
      <alignment wrapText="1"/>
    </xf>
    <xf numFmtId="3" fontId="11" fillId="3" borderId="0" xfId="0" applyNumberFormat="1" applyFont="1" applyFill="1" applyBorder="1" applyAlignment="1"/>
    <xf numFmtId="0" fontId="12" fillId="3" borderId="6" xfId="0" applyFont="1" applyFill="1" applyBorder="1" applyAlignment="1"/>
    <xf numFmtId="0" fontId="11" fillId="3" borderId="6" xfId="0" applyFont="1" applyFill="1" applyBorder="1" applyAlignment="1"/>
    <xf numFmtId="0" fontId="11" fillId="2" borderId="0" xfId="0" applyFont="1" applyFill="1"/>
    <xf numFmtId="0" fontId="11" fillId="2" borderId="0" xfId="0" applyFont="1" applyFill="1"/>
    <xf numFmtId="0" fontId="14" fillId="2" borderId="0" xfId="0" applyFont="1" applyFill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/>
    </xf>
    <xf numFmtId="170" fontId="11" fillId="2" borderId="0" xfId="11" applyNumberFormat="1" applyFont="1" applyFill="1" applyBorder="1" applyAlignment="1"/>
    <xf numFmtId="3" fontId="11" fillId="2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/>
    <xf numFmtId="167" fontId="11" fillId="0" borderId="0" xfId="8" applyNumberFormat="1" applyFont="1" applyFill="1" applyBorder="1" applyAlignment="1">
      <alignment horizontal="left" vertical="top"/>
    </xf>
    <xf numFmtId="0" fontId="12" fillId="2" borderId="9" xfId="0" applyFont="1" applyFill="1" applyBorder="1" applyAlignment="1">
      <alignment horizontal="left"/>
    </xf>
    <xf numFmtId="171" fontId="12" fillId="2" borderId="0" xfId="11" applyNumberFormat="1" applyFont="1" applyFill="1" applyBorder="1"/>
    <xf numFmtId="0" fontId="5" fillId="0" borderId="0" xfId="0" applyFont="1" applyFill="1"/>
    <xf numFmtId="167" fontId="5" fillId="0" borderId="0" xfId="8" applyNumberFormat="1" applyFont="1" applyFill="1" applyAlignment="1">
      <alignment vertical="top"/>
    </xf>
    <xf numFmtId="0" fontId="5" fillId="0" borderId="0" xfId="5" applyFont="1" applyFill="1">
      <alignment horizontal="left" vertical="top"/>
    </xf>
    <xf numFmtId="0" fontId="5" fillId="0" borderId="0" xfId="5" applyFont="1" applyFill="1" applyAlignment="1">
      <alignment horizontal="left" vertical="top" wrapText="1"/>
    </xf>
    <xf numFmtId="169" fontId="5" fillId="0" borderId="0" xfId="1" applyFont="1" applyFill="1">
      <alignment horizontal="right" vertical="top"/>
    </xf>
    <xf numFmtId="0" fontId="12" fillId="0" borderId="10" xfId="0" applyFont="1" applyBorder="1"/>
    <xf numFmtId="0" fontId="12" fillId="2" borderId="5" xfId="0" applyFont="1" applyFill="1" applyBorder="1" applyAlignment="1">
      <alignment horizontal="right" wrapText="1"/>
    </xf>
    <xf numFmtId="0" fontId="14" fillId="3" borderId="0" xfId="0" applyFont="1" applyFill="1" applyBorder="1"/>
    <xf numFmtId="3" fontId="12" fillId="3" borderId="6" xfId="0" applyNumberFormat="1" applyFont="1" applyFill="1" applyBorder="1" applyAlignment="1">
      <alignment horizontal="right"/>
    </xf>
    <xf numFmtId="0" fontId="11" fillId="2" borderId="0" xfId="0" applyFont="1" applyFill="1"/>
    <xf numFmtId="0" fontId="11" fillId="2" borderId="0" xfId="0" applyFont="1" applyFill="1"/>
    <xf numFmtId="0" fontId="12" fillId="3" borderId="5" xfId="0" applyFont="1" applyFill="1" applyBorder="1" applyAlignment="1">
      <alignment horizontal="left"/>
    </xf>
    <xf numFmtId="0" fontId="11" fillId="3" borderId="5" xfId="0" applyFont="1" applyFill="1" applyBorder="1" applyAlignment="1"/>
    <xf numFmtId="3" fontId="12" fillId="3" borderId="6" xfId="11" applyNumberFormat="1" applyFont="1" applyFill="1" applyBorder="1" applyAlignment="1">
      <alignment horizontal="right" wrapText="1"/>
    </xf>
    <xf numFmtId="0" fontId="11" fillId="3" borderId="0" xfId="0" applyFont="1" applyFill="1" applyBorder="1" applyAlignment="1">
      <alignment horizontal="right"/>
    </xf>
    <xf numFmtId="14" fontId="12" fillId="0" borderId="0" xfId="0" applyNumberFormat="1" applyFont="1" applyFill="1" applyAlignment="1">
      <alignment horizontal="left"/>
    </xf>
    <xf numFmtId="3" fontId="11" fillId="2" borderId="6" xfId="0" applyNumberFormat="1" applyFont="1" applyFill="1" applyBorder="1" applyAlignment="1"/>
    <xf numFmtId="0" fontId="13" fillId="3" borderId="0" xfId="0" applyFont="1" applyFill="1" applyBorder="1" applyAlignment="1">
      <alignment horizontal="left"/>
    </xf>
    <xf numFmtId="172" fontId="11" fillId="3" borderId="0" xfId="0" applyNumberFormat="1" applyFont="1" applyFill="1"/>
    <xf numFmtId="172" fontId="11" fillId="3" borderId="4" xfId="0" applyNumberFormat="1" applyFont="1" applyFill="1" applyBorder="1"/>
    <xf numFmtId="0" fontId="11" fillId="3" borderId="4" xfId="0" applyFont="1" applyFill="1" applyBorder="1"/>
    <xf numFmtId="3" fontId="11" fillId="3" borderId="0" xfId="0" applyNumberFormat="1" applyFont="1" applyFill="1" applyBorder="1"/>
    <xf numFmtId="3" fontId="11" fillId="3" borderId="0" xfId="7" applyNumberFormat="1" applyFont="1" applyFill="1"/>
    <xf numFmtId="0" fontId="11" fillId="2" borderId="0" xfId="0" applyFont="1" applyFill="1" applyBorder="1" applyAlignment="1">
      <alignment horizontal="left" vertical="top"/>
    </xf>
    <xf numFmtId="0" fontId="11" fillId="3" borderId="0" xfId="0" applyFont="1" applyFill="1"/>
    <xf numFmtId="3" fontId="12" fillId="3" borderId="0" xfId="0" applyNumberFormat="1" applyFont="1" applyFill="1" applyBorder="1" applyAlignment="1">
      <alignment horizontal="right" wrapText="1"/>
    </xf>
    <xf numFmtId="3" fontId="11" fillId="3" borderId="0" xfId="0" applyNumberFormat="1" applyFont="1" applyFill="1" applyBorder="1" applyAlignment="1">
      <alignment horizontal="right" wrapText="1"/>
    </xf>
    <xf numFmtId="0" fontId="12" fillId="2" borderId="5" xfId="0" applyFont="1" applyFill="1" applyBorder="1" applyAlignment="1">
      <alignment horizontal="left" wrapText="1"/>
    </xf>
    <xf numFmtId="170" fontId="11" fillId="3" borderId="0" xfId="10" applyNumberFormat="1" applyFont="1" applyFill="1" applyBorder="1" applyAlignment="1"/>
    <xf numFmtId="170" fontId="11" fillId="2" borderId="0" xfId="10" applyNumberFormat="1" applyFont="1" applyFill="1" applyBorder="1" applyAlignment="1"/>
    <xf numFmtId="1" fontId="11" fillId="2" borderId="0" xfId="5" applyNumberFormat="1" applyFont="1" applyFill="1" applyBorder="1" applyAlignment="1"/>
    <xf numFmtId="0" fontId="13" fillId="3" borderId="0" xfId="0" applyFont="1" applyFill="1"/>
    <xf numFmtId="0" fontId="11" fillId="2" borderId="0" xfId="0" applyFont="1" applyFill="1" applyBorder="1" applyAlignment="1">
      <alignment horizontal="left" vertical="top" wrapText="1"/>
    </xf>
    <xf numFmtId="3" fontId="12" fillId="0" borderId="6" xfId="11" applyNumberFormat="1" applyFont="1" applyFill="1" applyBorder="1" applyAlignment="1">
      <alignment horizontal="right"/>
    </xf>
    <xf numFmtId="0" fontId="11" fillId="3" borderId="0" xfId="0" applyFont="1" applyFill="1"/>
    <xf numFmtId="0" fontId="0" fillId="3" borderId="0" xfId="0" applyFill="1"/>
    <xf numFmtId="0" fontId="0" fillId="3" borderId="0" xfId="0" applyFont="1" applyFill="1"/>
    <xf numFmtId="0" fontId="0" fillId="3" borderId="0" xfId="0" applyFont="1" applyFill="1" applyBorder="1"/>
    <xf numFmtId="0" fontId="0" fillId="3" borderId="0" xfId="0" applyFont="1" applyFill="1" applyBorder="1" applyAlignment="1"/>
    <xf numFmtId="0" fontId="5" fillId="0" borderId="13" xfId="5" applyFont="1" applyFill="1" applyBorder="1">
      <alignment horizontal="left" vertical="top"/>
    </xf>
    <xf numFmtId="0" fontId="29" fillId="3" borderId="0" xfId="0" applyFont="1" applyFill="1" applyBorder="1" applyAlignment="1">
      <alignment vertical="center"/>
    </xf>
    <xf numFmtId="0" fontId="11" fillId="3" borderId="0" xfId="0" quotePrefix="1" applyFont="1" applyFill="1" applyBorder="1" applyAlignment="1">
      <alignment horizontal="right" wrapText="1"/>
    </xf>
    <xf numFmtId="0" fontId="14" fillId="3" borderId="13" xfId="0" applyFont="1" applyFill="1" applyBorder="1" applyAlignment="1">
      <alignment horizontal="right"/>
    </xf>
    <xf numFmtId="0" fontId="30" fillId="3" borderId="13" xfId="0" applyFont="1" applyFill="1" applyBorder="1" applyAlignment="1">
      <alignment vertical="center"/>
    </xf>
    <xf numFmtId="0" fontId="12" fillId="3" borderId="13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left" vertical="top"/>
    </xf>
    <xf numFmtId="0" fontId="11" fillId="3" borderId="0" xfId="0" applyFont="1" applyFill="1" applyBorder="1" applyAlignment="1">
      <alignment vertical="top"/>
    </xf>
    <xf numFmtId="0" fontId="11" fillId="3" borderId="0" xfId="0" applyFont="1" applyFill="1" applyBorder="1" applyAlignment="1">
      <alignment vertical="top" wrapText="1"/>
    </xf>
    <xf numFmtId="0" fontId="31" fillId="3" borderId="0" xfId="0" applyFont="1" applyFill="1" applyBorder="1" applyAlignment="1">
      <alignment vertical="top" wrapText="1"/>
    </xf>
    <xf numFmtId="0" fontId="31" fillId="3" borderId="0" xfId="0" applyFont="1" applyFill="1" applyBorder="1" applyAlignment="1">
      <alignment vertical="top"/>
    </xf>
    <xf numFmtId="0" fontId="31" fillId="3" borderId="0" xfId="0" applyFont="1" applyFill="1" applyBorder="1" applyAlignment="1">
      <alignment wrapText="1"/>
    </xf>
    <xf numFmtId="10" fontId="11" fillId="3" borderId="0" xfId="0" applyNumberFormat="1" applyFont="1" applyFill="1" applyBorder="1"/>
    <xf numFmtId="0" fontId="30" fillId="3" borderId="13" xfId="0" applyFont="1" applyFill="1" applyBorder="1" applyAlignment="1">
      <alignment horizontal="right" vertical="center"/>
    </xf>
    <xf numFmtId="0" fontId="31" fillId="3" borderId="13" xfId="0" applyFont="1" applyFill="1" applyBorder="1"/>
    <xf numFmtId="0" fontId="11" fillId="3" borderId="0" xfId="0" applyFont="1" applyFill="1" applyBorder="1" applyAlignment="1">
      <alignment horizontal="right" vertical="top" wrapText="1"/>
    </xf>
    <xf numFmtId="0" fontId="11" fillId="3" borderId="0" xfId="0" applyFont="1" applyFill="1" applyBorder="1" applyAlignment="1">
      <alignment horizontal="right" vertical="top"/>
    </xf>
    <xf numFmtId="0" fontId="31" fillId="3" borderId="0" xfId="0" applyFont="1" applyFill="1" applyBorder="1" applyAlignment="1">
      <alignment horizontal="right" wrapText="1"/>
    </xf>
    <xf numFmtId="0" fontId="12" fillId="3" borderId="13" xfId="0" applyFont="1" applyFill="1" applyBorder="1" applyAlignment="1">
      <alignment horizontal="left"/>
    </xf>
    <xf numFmtId="0" fontId="31" fillId="3" borderId="0" xfId="0" applyFont="1" applyFill="1" applyBorder="1" applyAlignment="1"/>
    <xf numFmtId="0" fontId="31" fillId="3" borderId="0" xfId="0" applyFont="1" applyFill="1" applyBorder="1" applyAlignment="1">
      <alignment horizontal="right"/>
    </xf>
    <xf numFmtId="0" fontId="32" fillId="3" borderId="0" xfId="0" applyFont="1" applyFill="1" applyBorder="1" applyAlignment="1">
      <alignment horizontal="right" vertical="top" wrapText="1"/>
    </xf>
    <xf numFmtId="0" fontId="32" fillId="3" borderId="0" xfId="0" applyFont="1" applyFill="1" applyBorder="1" applyAlignment="1">
      <alignment horizontal="right" wrapText="1"/>
    </xf>
    <xf numFmtId="0" fontId="32" fillId="3" borderId="0" xfId="0" applyFont="1" applyFill="1" applyBorder="1" applyAlignment="1">
      <alignment horizontal="right"/>
    </xf>
    <xf numFmtId="0" fontId="28" fillId="3" borderId="0" xfId="0" applyFont="1" applyFill="1"/>
    <xf numFmtId="3" fontId="11" fillId="3" borderId="0" xfId="5" applyNumberFormat="1" applyFont="1" applyFill="1" applyBorder="1">
      <alignment horizontal="left" vertical="top"/>
    </xf>
    <xf numFmtId="3" fontId="11" fillId="3" borderId="0" xfId="1" applyNumberFormat="1" applyFont="1" applyFill="1" applyBorder="1">
      <alignment horizontal="right" vertical="top"/>
    </xf>
    <xf numFmtId="3" fontId="14" fillId="3" borderId="0" xfId="5" applyNumberFormat="1" applyFont="1" applyFill="1" applyBorder="1">
      <alignment horizontal="left" vertical="top"/>
    </xf>
    <xf numFmtId="0" fontId="33" fillId="3" borderId="0" xfId="0" applyFont="1" applyFill="1" applyBorder="1"/>
    <xf numFmtId="3" fontId="12" fillId="3" borderId="0" xfId="5" applyNumberFormat="1" applyFont="1" applyFill="1" applyBorder="1" applyAlignment="1">
      <alignment horizontal="left" vertical="top"/>
    </xf>
    <xf numFmtId="3" fontId="12" fillId="3" borderId="0" xfId="1" applyNumberFormat="1" applyFont="1" applyFill="1" applyBorder="1" applyAlignment="1">
      <alignment horizontal="right" vertical="top"/>
    </xf>
    <xf numFmtId="0" fontId="31" fillId="3" borderId="13" xfId="0" applyFont="1" applyFill="1" applyBorder="1" applyAlignment="1">
      <alignment wrapText="1"/>
    </xf>
    <xf numFmtId="3" fontId="11" fillId="3" borderId="0" xfId="1" applyNumberFormat="1" applyFont="1" applyFill="1" applyBorder="1" applyAlignment="1">
      <alignment vertical="top"/>
    </xf>
    <xf numFmtId="3" fontId="12" fillId="3" borderId="0" xfId="1" applyNumberFormat="1" applyFont="1" applyFill="1" applyBorder="1" applyAlignment="1">
      <alignment vertical="top"/>
    </xf>
    <xf numFmtId="0" fontId="33" fillId="3" borderId="0" xfId="0" applyFont="1" applyFill="1" applyBorder="1" applyAlignment="1"/>
    <xf numFmtId="0" fontId="31" fillId="3" borderId="13" xfId="0" applyFont="1" applyFill="1" applyBorder="1" applyAlignment="1">
      <alignment horizontal="right" wrapText="1"/>
    </xf>
    <xf numFmtId="3" fontId="11" fillId="3" borderId="0" xfId="1" applyNumberFormat="1" applyFont="1" applyFill="1" applyBorder="1" applyAlignment="1">
      <alignment horizontal="right" vertical="top"/>
    </xf>
    <xf numFmtId="171" fontId="12" fillId="2" borderId="6" xfId="11" applyNumberFormat="1" applyFont="1" applyFill="1" applyBorder="1"/>
    <xf numFmtId="171" fontId="31" fillId="3" borderId="13" xfId="11" applyNumberFormat="1" applyFont="1" applyFill="1" applyBorder="1" applyAlignment="1">
      <alignment wrapText="1"/>
    </xf>
    <xf numFmtId="0" fontId="32" fillId="3" borderId="0" xfId="0" applyFont="1" applyFill="1"/>
    <xf numFmtId="3" fontId="11" fillId="3" borderId="0" xfId="0" applyNumberFormat="1" applyFont="1" applyFill="1" applyBorder="1" applyAlignment="1">
      <alignment vertical="top"/>
    </xf>
    <xf numFmtId="0" fontId="11" fillId="3" borderId="0" xfId="0" applyFont="1" applyFill="1" applyAlignment="1">
      <alignment horizontal="right"/>
    </xf>
    <xf numFmtId="0" fontId="11" fillId="3" borderId="0" xfId="0" applyFont="1" applyFill="1" applyAlignment="1">
      <alignment horizontal="left" vertical="top"/>
    </xf>
    <xf numFmtId="0" fontId="11" fillId="3" borderId="13" xfId="0" applyFont="1" applyFill="1" applyBorder="1" applyAlignment="1">
      <alignment horizontal="left" vertical="top"/>
    </xf>
    <xf numFmtId="3" fontId="11" fillId="3" borderId="0" xfId="1" applyNumberFormat="1" applyFont="1" applyFill="1" applyBorder="1" applyAlignment="1">
      <alignment horizontal="right"/>
    </xf>
    <xf numFmtId="3" fontId="11" fillId="3" borderId="0" xfId="1" applyNumberFormat="1" applyFont="1" applyFill="1" applyBorder="1" applyAlignment="1"/>
    <xf numFmtId="3" fontId="12" fillId="3" borderId="14" xfId="1" applyNumberFormat="1" applyFont="1" applyFill="1" applyBorder="1">
      <alignment horizontal="right" vertical="top"/>
    </xf>
    <xf numFmtId="3" fontId="12" fillId="3" borderId="13" xfId="1" applyNumberFormat="1" applyFont="1" applyFill="1" applyBorder="1">
      <alignment horizontal="right" vertical="top"/>
    </xf>
    <xf numFmtId="3" fontId="12" fillId="3" borderId="13" xfId="1" applyNumberFormat="1" applyFont="1" applyFill="1" applyBorder="1" applyAlignment="1">
      <alignment horizontal="right"/>
    </xf>
    <xf numFmtId="0" fontId="11" fillId="3" borderId="0" xfId="0" applyFont="1" applyFill="1" applyAlignment="1">
      <alignment horizontal="left"/>
    </xf>
    <xf numFmtId="14" fontId="11" fillId="3" borderId="0" xfId="0" applyNumberFormat="1" applyFont="1" applyFill="1" applyAlignment="1">
      <alignment horizontal="right"/>
    </xf>
    <xf numFmtId="0" fontId="11" fillId="3" borderId="0" xfId="0" applyFont="1" applyFill="1" applyAlignment="1">
      <alignment wrapText="1"/>
    </xf>
    <xf numFmtId="0" fontId="11" fillId="3" borderId="0" xfId="0" applyFont="1" applyFill="1" applyAlignment="1">
      <alignment horizontal="left" wrapText="1"/>
    </xf>
    <xf numFmtId="0" fontId="11" fillId="3" borderId="0" xfId="0" applyFont="1" applyFill="1" applyAlignment="1">
      <alignment horizontal="left" vertical="top" wrapText="1"/>
    </xf>
    <xf numFmtId="0" fontId="11" fillId="3" borderId="0" xfId="0" applyFont="1" applyFill="1" applyAlignment="1">
      <alignment horizontal="right" vertical="top" wrapText="1"/>
    </xf>
    <xf numFmtId="0" fontId="11" fillId="3" borderId="0" xfId="0" applyFont="1" applyFill="1" applyAlignment="1">
      <alignment vertical="top" wrapText="1"/>
    </xf>
    <xf numFmtId="0" fontId="11" fillId="3" borderId="13" xfId="0" applyFont="1" applyFill="1" applyBorder="1"/>
    <xf numFmtId="0" fontId="11" fillId="3" borderId="13" xfId="0" applyFont="1" applyFill="1" applyBorder="1" applyAlignment="1">
      <alignment horizontal="right"/>
    </xf>
    <xf numFmtId="0" fontId="11" fillId="3" borderId="13" xfId="0" applyFont="1" applyFill="1" applyBorder="1" applyAlignment="1">
      <alignment horizontal="left" wrapText="1"/>
    </xf>
    <xf numFmtId="0" fontId="30" fillId="3" borderId="13" xfId="0" applyFont="1" applyFill="1" applyBorder="1" applyAlignment="1"/>
    <xf numFmtId="14" fontId="11" fillId="3" borderId="0" xfId="0" applyNumberFormat="1" applyFont="1" applyFill="1" applyBorder="1" applyAlignment="1">
      <alignment horizontal="right"/>
    </xf>
    <xf numFmtId="0" fontId="11" fillId="3" borderId="0" xfId="0" applyFont="1" applyFill="1" applyAlignment="1">
      <alignment horizontal="right" wrapText="1"/>
    </xf>
    <xf numFmtId="0" fontId="11" fillId="0" borderId="0" xfId="5" applyNumberFormat="1" applyFont="1" applyFill="1" applyBorder="1" applyAlignment="1">
      <alignment horizontal="right" vertical="top"/>
    </xf>
    <xf numFmtId="0" fontId="34" fillId="0" borderId="0" xfId="0" applyFont="1" applyAlignment="1">
      <alignment horizontal="justify"/>
    </xf>
    <xf numFmtId="0" fontId="35" fillId="0" borderId="15" xfId="0" applyFont="1" applyBorder="1" applyAlignment="1">
      <alignment horizontal="right" vertical="top"/>
    </xf>
    <xf numFmtId="0" fontId="35" fillId="0" borderId="15" xfId="0" applyFont="1" applyBorder="1" applyAlignment="1">
      <alignment vertical="top"/>
    </xf>
    <xf numFmtId="0" fontId="35" fillId="0" borderId="0" xfId="0" applyFont="1" applyBorder="1" applyAlignment="1">
      <alignment horizontal="right" vertical="top" wrapText="1"/>
    </xf>
    <xf numFmtId="0" fontId="36" fillId="0" borderId="0" xfId="0" applyFont="1" applyBorder="1" applyAlignment="1">
      <alignment vertical="center" wrapText="1"/>
    </xf>
    <xf numFmtId="170" fontId="36" fillId="0" borderId="0" xfId="0" applyNumberFormat="1" applyFont="1" applyBorder="1" applyAlignment="1">
      <alignment vertical="center" wrapText="1"/>
    </xf>
    <xf numFmtId="170" fontId="36" fillId="0" borderId="0" xfId="0" applyNumberFormat="1" applyFont="1" applyAlignment="1">
      <alignment horizontal="right" vertical="center" wrapText="1"/>
    </xf>
    <xf numFmtId="0" fontId="36" fillId="0" borderId="0" xfId="0" applyFont="1" applyAlignment="1">
      <alignment vertical="center" wrapText="1"/>
    </xf>
    <xf numFmtId="170" fontId="36" fillId="0" borderId="0" xfId="0" applyNumberFormat="1" applyFont="1" applyAlignment="1">
      <alignment vertical="center" wrapText="1"/>
    </xf>
    <xf numFmtId="170" fontId="11" fillId="2" borderId="0" xfId="10" applyNumberFormat="1" applyFont="1" applyFill="1" applyAlignment="1">
      <alignment vertical="center"/>
    </xf>
    <xf numFmtId="9" fontId="12" fillId="2" borderId="0" xfId="15" applyFont="1" applyFill="1" applyBorder="1" applyAlignment="1">
      <alignment horizontal="right" vertical="top" wrapText="1"/>
    </xf>
    <xf numFmtId="0" fontId="12" fillId="2" borderId="0" xfId="12" applyFont="1" applyFill="1"/>
    <xf numFmtId="0" fontId="35" fillId="0" borderId="0" xfId="12" applyFont="1" applyBorder="1" applyAlignment="1">
      <alignment horizontal="right" vertical="top" wrapText="1"/>
    </xf>
    <xf numFmtId="0" fontId="35" fillId="0" borderId="15" xfId="12" applyFont="1" applyBorder="1" applyAlignment="1">
      <alignment vertical="top"/>
    </xf>
    <xf numFmtId="0" fontId="35" fillId="0" borderId="15" xfId="12" applyFont="1" applyBorder="1" applyAlignment="1">
      <alignment horizontal="right" vertical="top"/>
    </xf>
    <xf numFmtId="0" fontId="36" fillId="0" borderId="0" xfId="12" applyFont="1" applyBorder="1" applyAlignment="1">
      <alignment vertical="center" wrapText="1"/>
    </xf>
    <xf numFmtId="0" fontId="36" fillId="0" borderId="0" xfId="12" applyFont="1" applyAlignment="1">
      <alignment vertical="center" wrapText="1"/>
    </xf>
    <xf numFmtId="0" fontId="20" fillId="0" borderId="0" xfId="0" applyFont="1" applyFill="1" applyAlignment="1">
      <alignment horizontal="right"/>
    </xf>
    <xf numFmtId="0" fontId="22" fillId="0" borderId="0" xfId="0" applyFont="1" applyFill="1"/>
    <xf numFmtId="0" fontId="22" fillId="0" borderId="0" xfId="0" applyFont="1" applyFill="1" applyAlignment="1">
      <alignment horizontal="right"/>
    </xf>
    <xf numFmtId="2" fontId="11" fillId="3" borderId="4" xfId="0" applyNumberFormat="1" applyFont="1" applyFill="1" applyBorder="1"/>
    <xf numFmtId="14" fontId="11" fillId="2" borderId="5" xfId="0" applyNumberFormat="1" applyFont="1" applyFill="1" applyBorder="1" applyAlignment="1">
      <alignment horizontal="right"/>
    </xf>
    <xf numFmtId="171" fontId="11" fillId="3" borderId="0" xfId="11" applyNumberFormat="1" applyFont="1" applyFill="1" applyBorder="1" applyAlignment="1">
      <alignment horizontal="right"/>
    </xf>
    <xf numFmtId="0" fontId="37" fillId="0" borderId="0" xfId="0" applyFont="1" applyAlignment="1">
      <alignment horizontal="left" vertical="center" indent="3"/>
    </xf>
    <xf numFmtId="0" fontId="37" fillId="3" borderId="0" xfId="0" applyFont="1" applyFill="1" applyAlignment="1">
      <alignment vertical="center"/>
    </xf>
    <xf numFmtId="0" fontId="37" fillId="3" borderId="0" xfId="0" applyFont="1" applyFill="1" applyAlignment="1">
      <alignment horizontal="left" vertical="center" indent="3"/>
    </xf>
    <xf numFmtId="0" fontId="11" fillId="0" borderId="1" xfId="5" applyNumberFormat="1" applyFont="1" applyFill="1" applyBorder="1" applyAlignment="1">
      <alignment horizontal="right" vertical="top"/>
    </xf>
    <xf numFmtId="0" fontId="12" fillId="2" borderId="0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0" fontId="11" fillId="2" borderId="11" xfId="0" applyFont="1" applyFill="1" applyBorder="1"/>
    <xf numFmtId="0" fontId="11" fillId="3" borderId="5" xfId="0" applyFont="1" applyFill="1" applyBorder="1" applyAlignment="1">
      <alignment horizontal="right" wrapText="1"/>
    </xf>
    <xf numFmtId="0" fontId="11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left"/>
    </xf>
    <xf numFmtId="9" fontId="11" fillId="2" borderId="4" xfId="0" applyNumberFormat="1" applyFont="1" applyFill="1" applyBorder="1" applyAlignment="1">
      <alignment horizontal="right" wrapText="1"/>
    </xf>
    <xf numFmtId="3" fontId="11" fillId="2" borderId="4" xfId="0" applyNumberFormat="1" applyFont="1" applyFill="1" applyBorder="1" applyAlignment="1">
      <alignment horizontal="right" wrapText="1"/>
    </xf>
    <xf numFmtId="10" fontId="36" fillId="0" borderId="0" xfId="16" applyNumberFormat="1" applyFont="1" applyBorder="1" applyAlignment="1">
      <alignment vertical="center" wrapText="1"/>
    </xf>
    <xf numFmtId="10" fontId="36" fillId="0" borderId="0" xfId="16" applyNumberFormat="1" applyFont="1" applyAlignment="1">
      <alignment horizontal="right" vertical="center" wrapText="1"/>
    </xf>
    <xf numFmtId="10" fontId="36" fillId="0" borderId="0" xfId="16" applyNumberFormat="1" applyFont="1" applyAlignment="1">
      <alignment vertical="center" wrapText="1"/>
    </xf>
    <xf numFmtId="10" fontId="11" fillId="2" borderId="0" xfId="16" applyNumberFormat="1" applyFont="1" applyFill="1" applyAlignment="1">
      <alignment vertical="center"/>
    </xf>
    <xf numFmtId="0" fontId="12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center" vertical="top" wrapText="1"/>
    </xf>
    <xf numFmtId="0" fontId="11" fillId="3" borderId="0" xfId="0" applyFont="1" applyFill="1"/>
    <xf numFmtId="0" fontId="11" fillId="2" borderId="0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164" fontId="25" fillId="0" borderId="0" xfId="1" applyNumberFormat="1" applyFont="1" applyFill="1" applyBorder="1" applyAlignment="1">
      <alignment vertical="top"/>
    </xf>
    <xf numFmtId="3" fontId="11" fillId="3" borderId="14" xfId="1" applyNumberFormat="1" applyFont="1" applyFill="1" applyBorder="1">
      <alignment horizontal="right" vertical="top"/>
    </xf>
    <xf numFmtId="0" fontId="11" fillId="3" borderId="0" xfId="0" applyFont="1" applyFill="1"/>
    <xf numFmtId="1" fontId="39" fillId="2" borderId="0" xfId="5" applyNumberFormat="1" applyFont="1" applyFill="1" applyAlignment="1"/>
    <xf numFmtId="0" fontId="40" fillId="2" borderId="0" xfId="0" applyFont="1" applyFill="1" applyAlignment="1"/>
    <xf numFmtId="0" fontId="12" fillId="2" borderId="5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/>
    </xf>
    <xf numFmtId="0" fontId="35" fillId="0" borderId="15" xfId="0" applyFont="1" applyBorder="1" applyAlignment="1">
      <alignment wrapText="1"/>
    </xf>
    <xf numFmtId="171" fontId="11" fillId="2" borderId="0" xfId="11" applyNumberFormat="1" applyFont="1" applyFill="1" applyAlignment="1">
      <alignment vertical="top"/>
    </xf>
    <xf numFmtId="171" fontId="11" fillId="2" borderId="7" xfId="11" applyNumberFormat="1" applyFont="1" applyFill="1" applyBorder="1" applyAlignment="1">
      <alignment vertical="top"/>
    </xf>
    <xf numFmtId="0" fontId="41" fillId="0" borderId="0" xfId="0" applyFont="1" applyBorder="1" applyAlignment="1"/>
    <xf numFmtId="0" fontId="35" fillId="0" borderId="15" xfId="0" applyFont="1" applyBorder="1" applyAlignment="1">
      <alignment horizontal="right" wrapText="1"/>
    </xf>
    <xf numFmtId="0" fontId="11" fillId="0" borderId="0" xfId="0" applyFont="1" applyAlignment="1">
      <alignment horizontal="left"/>
    </xf>
    <xf numFmtId="10" fontId="20" fillId="0" borderId="0" xfId="0" applyNumberFormat="1" applyFont="1"/>
    <xf numFmtId="0" fontId="20" fillId="0" borderId="0" xfId="0" applyFont="1"/>
    <xf numFmtId="0" fontId="14" fillId="0" borderId="0" xfId="0" applyFont="1" applyAlignment="1">
      <alignment horizontal="justify"/>
    </xf>
    <xf numFmtId="10" fontId="24" fillId="0" borderId="0" xfId="0" applyNumberFormat="1" applyFont="1"/>
    <xf numFmtId="0" fontId="24" fillId="0" borderId="0" xfId="0" applyFont="1"/>
    <xf numFmtId="10" fontId="32" fillId="0" borderId="0" xfId="10" applyNumberFormat="1" applyFont="1" applyAlignment="1">
      <alignment vertical="center"/>
    </xf>
    <xf numFmtId="0" fontId="42" fillId="5" borderId="0" xfId="17" applyFill="1" applyAlignment="1">
      <alignment horizontal="right"/>
    </xf>
    <xf numFmtId="0" fontId="42" fillId="3" borderId="0" xfId="17" applyFill="1" applyAlignment="1">
      <alignment horizontal="right"/>
    </xf>
    <xf numFmtId="0" fontId="42" fillId="0" borderId="0" xfId="17" applyFill="1" applyAlignment="1">
      <alignment horizontal="right"/>
    </xf>
    <xf numFmtId="0" fontId="43" fillId="0" borderId="0" xfId="0" applyFont="1" applyBorder="1" applyAlignment="1"/>
    <xf numFmtId="0" fontId="12" fillId="0" borderId="15" xfId="0" applyFont="1" applyBorder="1" applyAlignment="1">
      <alignment wrapText="1"/>
    </xf>
    <xf numFmtId="10" fontId="11" fillId="0" borderId="0" xfId="0" applyNumberFormat="1" applyFont="1"/>
    <xf numFmtId="0" fontId="12" fillId="0" borderId="15" xfId="0" applyFont="1" applyBorder="1" applyAlignment="1">
      <alignment horizontal="right" wrapText="1"/>
    </xf>
    <xf numFmtId="0" fontId="20" fillId="0" borderId="0" xfId="0" applyFont="1" applyFill="1"/>
    <xf numFmtId="10" fontId="36" fillId="3" borderId="0" xfId="10" applyNumberFormat="1" applyFont="1" applyFill="1"/>
    <xf numFmtId="174" fontId="36" fillId="3" borderId="0" xfId="11" applyNumberFormat="1" applyFont="1" applyFill="1"/>
    <xf numFmtId="0" fontId="0" fillId="0" borderId="0" xfId="0" applyFill="1"/>
    <xf numFmtId="0" fontId="3" fillId="0" borderId="0" xfId="12"/>
    <xf numFmtId="0" fontId="36" fillId="3" borderId="0" xfId="12" applyFont="1" applyFill="1" applyAlignment="1">
      <alignment horizontal="left"/>
    </xf>
    <xf numFmtId="14" fontId="44" fillId="3" borderId="0" xfId="12" quotePrefix="1" applyNumberFormat="1" applyFont="1" applyFill="1" applyAlignment="1">
      <alignment horizontal="left" vertical="center"/>
    </xf>
    <xf numFmtId="0" fontId="44" fillId="3" borderId="0" xfId="12" applyFont="1" applyFill="1" applyAlignment="1"/>
    <xf numFmtId="0" fontId="36" fillId="3" borderId="0" xfId="12" applyFont="1" applyFill="1" applyAlignment="1"/>
    <xf numFmtId="0" fontId="36" fillId="3" borderId="0" xfId="12" applyFont="1" applyFill="1"/>
    <xf numFmtId="0" fontId="44" fillId="3" borderId="0" xfId="12" applyFont="1" applyFill="1" applyBorder="1" applyAlignment="1"/>
    <xf numFmtId="0" fontId="44" fillId="3" borderId="0" xfId="12" applyFont="1" applyFill="1" applyBorder="1" applyAlignment="1">
      <alignment wrapText="1"/>
    </xf>
    <xf numFmtId="0" fontId="31" fillId="3" borderId="13" xfId="12" applyFont="1" applyFill="1" applyBorder="1" applyAlignment="1">
      <alignment wrapText="1"/>
    </xf>
    <xf numFmtId="0" fontId="32" fillId="3" borderId="17" xfId="12" applyFont="1" applyFill="1" applyBorder="1" applyAlignment="1">
      <alignment wrapText="1"/>
    </xf>
    <xf numFmtId="0" fontId="32" fillId="3" borderId="19" xfId="12" applyFont="1" applyFill="1" applyBorder="1" applyAlignment="1">
      <alignment wrapText="1"/>
    </xf>
    <xf numFmtId="0" fontId="32" fillId="3" borderId="13" xfId="12" applyFont="1" applyFill="1" applyBorder="1" applyAlignment="1">
      <alignment wrapText="1"/>
    </xf>
    <xf numFmtId="0" fontId="31" fillId="3" borderId="17" xfId="12" applyFont="1" applyFill="1" applyBorder="1" applyAlignment="1">
      <alignment wrapText="1"/>
    </xf>
    <xf numFmtId="0" fontId="31" fillId="3" borderId="19" xfId="12" applyFont="1" applyFill="1" applyBorder="1" applyAlignment="1">
      <alignment wrapText="1"/>
    </xf>
    <xf numFmtId="0" fontId="36" fillId="3" borderId="0" xfId="12" applyFont="1" applyFill="1" applyBorder="1" applyAlignment="1">
      <alignment horizontal="left" vertical="center"/>
    </xf>
    <xf numFmtId="0" fontId="3" fillId="0" borderId="18" xfId="12" applyBorder="1"/>
    <xf numFmtId="0" fontId="3" fillId="0" borderId="0" xfId="12" applyBorder="1"/>
    <xf numFmtId="0" fontId="44" fillId="3" borderId="0" xfId="12" applyFont="1" applyFill="1" applyAlignment="1">
      <alignment horizontal="left" vertical="center"/>
    </xf>
    <xf numFmtId="0" fontId="26" fillId="0" borderId="18" xfId="12" applyFont="1" applyBorder="1"/>
    <xf numFmtId="0" fontId="26" fillId="0" borderId="0" xfId="12" applyFont="1"/>
    <xf numFmtId="0" fontId="36" fillId="3" borderId="0" xfId="12" applyFont="1" applyFill="1" applyAlignment="1">
      <alignment horizontal="left" vertical="center"/>
    </xf>
    <xf numFmtId="0" fontId="36" fillId="3" borderId="0" xfId="12" applyFont="1" applyFill="1" applyAlignment="1">
      <alignment horizontal="right"/>
    </xf>
    <xf numFmtId="0" fontId="31" fillId="3" borderId="13" xfId="12" applyFont="1" applyFill="1" applyBorder="1" applyAlignment="1"/>
    <xf numFmtId="3" fontId="36" fillId="3" borderId="0" xfId="12" applyNumberFormat="1" applyFont="1" applyFill="1"/>
    <xf numFmtId="0" fontId="31" fillId="3" borderId="0" xfId="12" applyFont="1" applyFill="1" applyBorder="1" applyAlignment="1"/>
    <xf numFmtId="0" fontId="20" fillId="2" borderId="0" xfId="12" applyFont="1" applyFill="1"/>
    <xf numFmtId="0" fontId="20" fillId="5" borderId="0" xfId="12" applyFont="1" applyFill="1"/>
    <xf numFmtId="0" fontId="20" fillId="0" borderId="0" xfId="12" applyFont="1" applyFill="1"/>
    <xf numFmtId="0" fontId="11" fillId="3" borderId="0" xfId="0" applyFont="1" applyFill="1"/>
    <xf numFmtId="0" fontId="11" fillId="2" borderId="0" xfId="0" applyFont="1" applyFill="1" applyBorder="1" applyAlignment="1">
      <alignment horizontal="left"/>
    </xf>
    <xf numFmtId="10" fontId="11" fillId="3" borderId="0" xfId="0" applyNumberFormat="1" applyFont="1" applyFill="1"/>
    <xf numFmtId="10" fontId="11" fillId="3" borderId="0" xfId="1" applyNumberFormat="1" applyFont="1" applyFill="1" applyAlignment="1">
      <alignment vertical="top"/>
    </xf>
    <xf numFmtId="0" fontId="11" fillId="3" borderId="0" xfId="0" applyFont="1" applyFill="1"/>
    <xf numFmtId="3" fontId="14" fillId="3" borderId="0" xfId="1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/>
    <xf numFmtId="0" fontId="11" fillId="3" borderId="0" xfId="0" applyFont="1" applyFill="1"/>
    <xf numFmtId="0" fontId="11" fillId="2" borderId="0" xfId="0" applyFont="1" applyFill="1" applyBorder="1" applyAlignment="1">
      <alignment horizontal="left"/>
    </xf>
    <xf numFmtId="0" fontId="12" fillId="3" borderId="0" xfId="0" applyFont="1" applyFill="1" applyBorder="1" applyAlignment="1">
      <alignment horizontal="right" wrapText="1"/>
    </xf>
    <xf numFmtId="171" fontId="12" fillId="3" borderId="0" xfId="11" applyNumberFormat="1" applyFont="1" applyFill="1" applyBorder="1"/>
    <xf numFmtId="3" fontId="11" fillId="0" borderId="0" xfId="1" applyNumberFormat="1" applyFont="1" applyFill="1" applyBorder="1" applyAlignment="1">
      <alignment horizontal="right" vertical="top"/>
    </xf>
    <xf numFmtId="169" fontId="5" fillId="0" borderId="0" xfId="3" applyNumberFormat="1" applyFont="1" applyFill="1">
      <alignment horizontal="right" vertical="top"/>
    </xf>
    <xf numFmtId="3" fontId="11" fillId="0" borderId="0" xfId="0" applyNumberFormat="1" applyFont="1" applyFill="1" applyBorder="1" applyAlignment="1">
      <alignment horizontal="right"/>
    </xf>
    <xf numFmtId="0" fontId="12" fillId="3" borderId="5" xfId="0" applyFont="1" applyFill="1" applyBorder="1" applyAlignment="1">
      <alignment horizontal="right" wrapText="1"/>
    </xf>
    <xf numFmtId="3" fontId="28" fillId="3" borderId="0" xfId="0" applyNumberFormat="1" applyFont="1" applyFill="1" applyBorder="1" applyAlignment="1">
      <alignment wrapText="1"/>
    </xf>
    <xf numFmtId="3" fontId="28" fillId="3" borderId="4" xfId="0" applyNumberFormat="1" applyFont="1" applyFill="1" applyBorder="1" applyAlignment="1">
      <alignment wrapText="1"/>
    </xf>
    <xf numFmtId="3" fontId="45" fillId="3" borderId="0" xfId="0" applyNumberFormat="1" applyFont="1" applyFill="1" applyBorder="1" applyAlignment="1">
      <alignment wrapText="1"/>
    </xf>
    <xf numFmtId="3" fontId="28" fillId="3" borderId="0" xfId="0" applyNumberFormat="1" applyFont="1" applyFill="1" applyAlignment="1"/>
    <xf numFmtId="3" fontId="45" fillId="3" borderId="6" xfId="0" applyNumberFormat="1" applyFont="1" applyFill="1" applyBorder="1" applyAlignment="1"/>
    <xf numFmtId="3" fontId="28" fillId="3" borderId="6" xfId="0" applyNumberFormat="1" applyFont="1" applyFill="1" applyBorder="1" applyAlignment="1"/>
    <xf numFmtId="0" fontId="12" fillId="3" borderId="0" xfId="0" applyFont="1" applyFill="1" applyBorder="1" applyAlignment="1">
      <alignment wrapText="1"/>
    </xf>
    <xf numFmtId="3" fontId="28" fillId="3" borderId="0" xfId="11" applyNumberFormat="1" applyFont="1" applyFill="1" applyBorder="1" applyAlignment="1">
      <alignment horizontal="right" wrapText="1"/>
    </xf>
    <xf numFmtId="3" fontId="28" fillId="3" borderId="0" xfId="0" applyNumberFormat="1" applyFont="1" applyFill="1" applyBorder="1" applyAlignment="1">
      <alignment horizontal="right"/>
    </xf>
    <xf numFmtId="0" fontId="45" fillId="0" borderId="0" xfId="5" applyFont="1" applyFill="1">
      <alignment horizontal="left" vertical="top"/>
    </xf>
    <xf numFmtId="9" fontId="11" fillId="0" borderId="0" xfId="0" applyNumberFormat="1" applyFont="1" applyFill="1" applyBorder="1" applyAlignment="1">
      <alignment horizontal="right"/>
    </xf>
    <xf numFmtId="164" fontId="12" fillId="0" borderId="0" xfId="1" applyNumberFormat="1" applyFont="1" applyFill="1" applyAlignment="1">
      <alignment vertical="top"/>
    </xf>
    <xf numFmtId="164" fontId="12" fillId="0" borderId="0" xfId="1" applyNumberFormat="1" applyFont="1" applyFill="1" applyBorder="1" applyAlignment="1">
      <alignment vertical="top"/>
    </xf>
    <xf numFmtId="14" fontId="12" fillId="3" borderId="5" xfId="0" applyNumberFormat="1" applyFont="1" applyFill="1" applyBorder="1"/>
    <xf numFmtId="3" fontId="12" fillId="3" borderId="0" xfId="0" applyNumberFormat="1" applyFont="1" applyFill="1"/>
    <xf numFmtId="3" fontId="12" fillId="3" borderId="4" xfId="0" applyNumberFormat="1" applyFont="1" applyFill="1" applyBorder="1"/>
    <xf numFmtId="3" fontId="12" fillId="3" borderId="0" xfId="0" applyNumberFormat="1" applyFont="1" applyFill="1" applyAlignment="1">
      <alignment horizontal="right"/>
    </xf>
    <xf numFmtId="169" fontId="12" fillId="0" borderId="0" xfId="1" applyFont="1" applyFill="1" applyAlignment="1">
      <alignment vertical="top"/>
    </xf>
    <xf numFmtId="10" fontId="12" fillId="0" borderId="0" xfId="1" applyNumberFormat="1" applyFont="1" applyFill="1" applyAlignment="1">
      <alignment vertical="top"/>
    </xf>
    <xf numFmtId="0" fontId="12" fillId="0" borderId="1" xfId="2" applyFont="1" applyFill="1" applyBorder="1" applyAlignment="1">
      <alignment horizontal="right"/>
    </xf>
    <xf numFmtId="169" fontId="12" fillId="0" borderId="0" xfId="1" applyFont="1" applyFill="1">
      <alignment horizontal="right" vertical="top"/>
    </xf>
    <xf numFmtId="3" fontId="31" fillId="0" borderId="0" xfId="0" applyNumberFormat="1" applyFont="1" applyBorder="1"/>
    <xf numFmtId="3" fontId="31" fillId="0" borderId="1" xfId="0" applyNumberFormat="1" applyFont="1" applyBorder="1"/>
    <xf numFmtId="3" fontId="31" fillId="0" borderId="10" xfId="0" applyNumberFormat="1" applyFont="1" applyBorder="1"/>
    <xf numFmtId="3" fontId="32" fillId="3" borderId="0" xfId="0" applyNumberFormat="1" applyFont="1" applyFill="1"/>
    <xf numFmtId="3" fontId="32" fillId="3" borderId="0" xfId="0" applyNumberFormat="1" applyFont="1" applyFill="1" applyBorder="1"/>
    <xf numFmtId="3" fontId="32" fillId="3" borderId="0" xfId="7" applyNumberFormat="1" applyFont="1" applyFill="1"/>
    <xf numFmtId="3" fontId="31" fillId="2" borderId="6" xfId="7" applyNumberFormat="1" applyFont="1" applyFill="1" applyBorder="1"/>
    <xf numFmtId="3" fontId="31" fillId="2" borderId="6" xfId="0" applyNumberFormat="1" applyFont="1" applyFill="1" applyBorder="1"/>
    <xf numFmtId="3" fontId="31" fillId="2" borderId="11" xfId="0" applyNumberFormat="1" applyFont="1" applyFill="1" applyBorder="1"/>
    <xf numFmtId="2" fontId="32" fillId="3" borderId="4" xfId="0" applyNumberFormat="1" applyFont="1" applyFill="1" applyBorder="1"/>
    <xf numFmtId="2" fontId="32" fillId="3" borderId="0" xfId="0" applyNumberFormat="1" applyFont="1" applyFill="1"/>
    <xf numFmtId="3" fontId="32" fillId="3" borderId="0" xfId="0" applyNumberFormat="1" applyFont="1" applyFill="1" applyBorder="1" applyAlignment="1">
      <alignment wrapText="1"/>
    </xf>
    <xf numFmtId="3" fontId="32" fillId="3" borderId="4" xfId="0" applyNumberFormat="1" applyFont="1" applyFill="1" applyBorder="1" applyAlignment="1">
      <alignment wrapText="1"/>
    </xf>
    <xf numFmtId="3" fontId="31" fillId="3" borderId="0" xfId="0" applyNumberFormat="1" applyFont="1" applyFill="1" applyBorder="1" applyAlignment="1">
      <alignment wrapText="1"/>
    </xf>
    <xf numFmtId="3" fontId="32" fillId="3" borderId="0" xfId="0" applyNumberFormat="1" applyFont="1" applyFill="1" applyAlignment="1"/>
    <xf numFmtId="3" fontId="31" fillId="3" borderId="6" xfId="0" applyNumberFormat="1" applyFont="1" applyFill="1" applyBorder="1" applyAlignment="1"/>
    <xf numFmtId="3" fontId="32" fillId="0" borderId="0" xfId="0" applyNumberFormat="1" applyFont="1" applyFill="1" applyAlignment="1">
      <alignment horizontal="right"/>
    </xf>
    <xf numFmtId="3" fontId="32" fillId="0" borderId="3" xfId="0" applyNumberFormat="1" applyFont="1" applyFill="1" applyBorder="1" applyAlignment="1">
      <alignment horizontal="right"/>
    </xf>
    <xf numFmtId="169" fontId="32" fillId="0" borderId="0" xfId="1" applyFont="1" applyFill="1">
      <alignment horizontal="right" vertical="top"/>
    </xf>
    <xf numFmtId="169" fontId="48" fillId="0" borderId="0" xfId="1" applyFont="1" applyFill="1" applyAlignment="1">
      <alignment horizontal="right" vertical="top"/>
    </xf>
    <xf numFmtId="169" fontId="49" fillId="0" borderId="0" xfId="1" applyFont="1" applyFill="1" applyAlignment="1">
      <alignment horizontal="right" vertical="top"/>
    </xf>
    <xf numFmtId="3" fontId="32" fillId="0" borderId="1" xfId="0" applyNumberFormat="1" applyFont="1" applyFill="1" applyBorder="1" applyAlignment="1">
      <alignment horizontal="right"/>
    </xf>
    <xf numFmtId="0" fontId="32" fillId="0" borderId="0" xfId="5" applyFont="1" applyFill="1">
      <alignment horizontal="left" vertical="top"/>
    </xf>
    <xf numFmtId="0" fontId="11" fillId="0" borderId="0" xfId="0" applyFont="1" applyFill="1"/>
    <xf numFmtId="3" fontId="11" fillId="3" borderId="1" xfId="0" applyNumberFormat="1" applyFont="1" applyFill="1" applyBorder="1" applyAlignment="1">
      <alignment horizontal="right"/>
    </xf>
    <xf numFmtId="0" fontId="11" fillId="0" borderId="0" xfId="0" applyFont="1" applyFill="1"/>
    <xf numFmtId="3" fontId="12" fillId="3" borderId="0" xfId="0" applyNumberFormat="1" applyFont="1" applyFill="1" applyBorder="1" applyAlignment="1">
      <alignment wrapText="1"/>
    </xf>
    <xf numFmtId="3" fontId="12" fillId="0" borderId="3" xfId="0" applyNumberFormat="1" applyFont="1" applyFill="1" applyBorder="1" applyAlignment="1">
      <alignment horizontal="right"/>
    </xf>
    <xf numFmtId="3" fontId="12" fillId="0" borderId="0" xfId="0" applyNumberFormat="1" applyFont="1" applyFill="1" applyAlignment="1">
      <alignment horizontal="right"/>
    </xf>
    <xf numFmtId="169" fontId="45" fillId="0" borderId="0" xfId="1" applyFont="1" applyFill="1">
      <alignment horizontal="right" vertical="top"/>
    </xf>
    <xf numFmtId="169" fontId="46" fillId="0" borderId="0" xfId="1" applyFont="1" applyFill="1" applyAlignment="1">
      <alignment horizontal="right" vertical="top"/>
    </xf>
    <xf numFmtId="169" fontId="47" fillId="0" borderId="0" xfId="1" applyFont="1" applyFill="1" applyAlignment="1">
      <alignment horizontal="right" vertical="top"/>
    </xf>
    <xf numFmtId="3" fontId="12" fillId="2" borderId="6" xfId="0" applyNumberFormat="1" applyFont="1" applyFill="1" applyBorder="1" applyAlignment="1">
      <alignment horizontal="right" wrapText="1"/>
    </xf>
    <xf numFmtId="170" fontId="12" fillId="2" borderId="0" xfId="11" applyNumberFormat="1" applyFont="1" applyFill="1" applyBorder="1" applyAlignment="1"/>
    <xf numFmtId="3" fontId="12" fillId="3" borderId="13" xfId="0" applyNumberFormat="1" applyFont="1" applyFill="1" applyBorder="1" applyAlignment="1">
      <alignment horizontal="right" wrapText="1"/>
    </xf>
    <xf numFmtId="10" fontId="12" fillId="3" borderId="0" xfId="0" applyNumberFormat="1" applyFont="1" applyFill="1"/>
    <xf numFmtId="3" fontId="36" fillId="3" borderId="0" xfId="12" applyNumberFormat="1" applyFont="1" applyFill="1" applyAlignment="1">
      <alignment horizontal="right"/>
    </xf>
    <xf numFmtId="3" fontId="36" fillId="3" borderId="18" xfId="12" applyNumberFormat="1" applyFont="1" applyFill="1" applyBorder="1"/>
    <xf numFmtId="10" fontId="36" fillId="3" borderId="20" xfId="10" applyNumberFormat="1" applyFont="1" applyFill="1" applyBorder="1"/>
    <xf numFmtId="10" fontId="36" fillId="3" borderId="0" xfId="12" applyNumberFormat="1" applyFont="1" applyFill="1" applyBorder="1"/>
    <xf numFmtId="3" fontId="35" fillId="3" borderId="18" xfId="12" applyNumberFormat="1" applyFont="1" applyFill="1" applyBorder="1" applyAlignment="1">
      <alignment horizontal="right"/>
    </xf>
    <xf numFmtId="174" fontId="35" fillId="3" borderId="20" xfId="12" applyNumberFormat="1" applyFont="1" applyFill="1" applyBorder="1" applyAlignment="1">
      <alignment horizontal="right"/>
    </xf>
    <xf numFmtId="3" fontId="12" fillId="3" borderId="6" xfId="0" applyNumberFormat="1" applyFont="1" applyFill="1" applyBorder="1"/>
    <xf numFmtId="0" fontId="11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/>
    </xf>
    <xf numFmtId="0" fontId="26" fillId="7" borderId="0" xfId="0" applyFont="1" applyFill="1" applyAlignment="1">
      <alignment horizontal="center" vertical="center"/>
    </xf>
    <xf numFmtId="0" fontId="11" fillId="0" borderId="0" xfId="0" applyFont="1" applyFill="1"/>
    <xf numFmtId="3" fontId="32" fillId="0" borderId="0" xfId="0" applyNumberFormat="1" applyFont="1" applyFill="1" applyBorder="1"/>
    <xf numFmtId="0" fontId="11" fillId="3" borderId="0" xfId="0" applyFont="1" applyFill="1" applyBorder="1" applyAlignment="1">
      <alignment horizontal="left" wrapText="1"/>
    </xf>
    <xf numFmtId="0" fontId="12" fillId="2" borderId="5" xfId="0" applyFont="1" applyFill="1" applyBorder="1" applyAlignment="1">
      <alignment horizontal="left" wrapText="1"/>
    </xf>
    <xf numFmtId="177" fontId="31" fillId="3" borderId="0" xfId="0" applyNumberFormat="1" applyFont="1" applyFill="1" applyBorder="1" applyAlignment="1">
      <alignment wrapText="1"/>
    </xf>
    <xf numFmtId="0" fontId="11" fillId="3" borderId="1" xfId="0" applyFont="1" applyFill="1" applyBorder="1"/>
    <xf numFmtId="171" fontId="12" fillId="3" borderId="0" xfId="11" applyNumberFormat="1" applyFont="1" applyFill="1"/>
    <xf numFmtId="0" fontId="12" fillId="3" borderId="5" xfId="0" applyFont="1" applyFill="1" applyBorder="1" applyAlignment="1">
      <alignment horizontal="right"/>
    </xf>
    <xf numFmtId="0" fontId="12" fillId="3" borderId="1" xfId="0" applyFont="1" applyFill="1" applyBorder="1"/>
    <xf numFmtId="3" fontId="12" fillId="3" borderId="11" xfId="0" applyNumberFormat="1" applyFont="1" applyFill="1" applyBorder="1" applyAlignment="1">
      <alignment horizontal="right"/>
    </xf>
    <xf numFmtId="0" fontId="14" fillId="3" borderId="0" xfId="0" applyFont="1" applyFill="1" applyBorder="1" applyAlignment="1">
      <alignment horizontal="left"/>
    </xf>
    <xf numFmtId="3" fontId="11" fillId="3" borderId="0" xfId="1" applyNumberFormat="1" applyFont="1" applyFill="1">
      <alignment horizontal="right" vertical="top"/>
    </xf>
    <xf numFmtId="3" fontId="11" fillId="3" borderId="1" xfId="1" applyNumberFormat="1" applyFont="1" applyFill="1" applyBorder="1">
      <alignment horizontal="right" vertical="top"/>
    </xf>
    <xf numFmtId="3" fontId="45" fillId="3" borderId="0" xfId="0" applyNumberFormat="1" applyFont="1" applyFill="1" applyBorder="1" applyAlignment="1">
      <alignment horizontal="right"/>
    </xf>
    <xf numFmtId="0" fontId="12" fillId="3" borderId="5" xfId="0" applyFont="1" applyFill="1" applyBorder="1" applyAlignment="1"/>
    <xf numFmtId="3" fontId="11" fillId="0" borderId="3" xfId="0" applyNumberFormat="1" applyFont="1" applyFill="1" applyBorder="1" applyAlignment="1">
      <alignment horizontal="right"/>
    </xf>
    <xf numFmtId="3" fontId="11" fillId="2" borderId="6" xfId="0" applyNumberFormat="1" applyFont="1" applyFill="1" applyBorder="1" applyAlignment="1">
      <alignment horizontal="right"/>
    </xf>
    <xf numFmtId="171" fontId="11" fillId="2" borderId="1" xfId="11" applyNumberFormat="1" applyFont="1" applyFill="1" applyBorder="1"/>
    <xf numFmtId="171" fontId="11" fillId="2" borderId="6" xfId="11" applyNumberFormat="1" applyFont="1" applyFill="1" applyBorder="1" applyAlignment="1">
      <alignment horizontal="right"/>
    </xf>
    <xf numFmtId="3" fontId="11" fillId="2" borderId="14" xfId="0" applyNumberFormat="1" applyFont="1" applyFill="1" applyBorder="1" applyAlignment="1">
      <alignment horizontal="right"/>
    </xf>
    <xf numFmtId="3" fontId="11" fillId="2" borderId="5" xfId="0" applyNumberFormat="1" applyFont="1" applyFill="1" applyBorder="1" applyAlignment="1">
      <alignment horizontal="right" vertical="top" wrapText="1"/>
    </xf>
    <xf numFmtId="0" fontId="11" fillId="2" borderId="5" xfId="0" applyFont="1" applyFill="1" applyBorder="1" applyAlignment="1">
      <alignment horizontal="right" vertical="top" wrapText="1"/>
    </xf>
    <xf numFmtId="3" fontId="11" fillId="2" borderId="6" xfId="0" applyNumberFormat="1" applyFont="1" applyFill="1" applyBorder="1"/>
    <xf numFmtId="170" fontId="11" fillId="2" borderId="6" xfId="10" applyNumberFormat="1" applyFont="1" applyFill="1" applyBorder="1"/>
    <xf numFmtId="3" fontId="11" fillId="2" borderId="11" xfId="0" applyNumberFormat="1" applyFont="1" applyFill="1" applyBorder="1"/>
    <xf numFmtId="0" fontId="11" fillId="2" borderId="6" xfId="0" applyFont="1" applyFill="1" applyBorder="1" applyAlignment="1"/>
    <xf numFmtId="3" fontId="11" fillId="3" borderId="6" xfId="0" applyNumberFormat="1" applyFont="1" applyFill="1" applyBorder="1" applyAlignment="1">
      <alignment horizontal="right"/>
    </xf>
    <xf numFmtId="0" fontId="11" fillId="0" borderId="0" xfId="0" applyFont="1" applyFill="1"/>
    <xf numFmtId="3" fontId="15" fillId="0" borderId="4" xfId="18" applyNumberFormat="1" applyFont="1" applyFill="1" applyBorder="1" applyAlignment="1">
      <alignment horizontal="right"/>
    </xf>
    <xf numFmtId="3" fontId="54" fillId="0" borderId="0" xfId="18" applyNumberFormat="1" applyFont="1" applyFill="1" applyBorder="1" applyAlignment="1"/>
    <xf numFmtId="164" fontId="11" fillId="0" borderId="0" xfId="1" applyNumberFormat="1" applyFont="1" applyFill="1" applyBorder="1" applyAlignment="1">
      <alignment horizontal="right" vertical="center"/>
    </xf>
    <xf numFmtId="3" fontId="54" fillId="0" borderId="4" xfId="18" applyNumberFormat="1" applyFont="1" applyFill="1" applyBorder="1" applyAlignment="1"/>
    <xf numFmtId="164" fontId="11" fillId="0" borderId="4" xfId="1" applyNumberFormat="1" applyFont="1" applyFill="1" applyBorder="1" applyAlignment="1">
      <alignment horizontal="right" vertical="center"/>
    </xf>
    <xf numFmtId="3" fontId="15" fillId="0" borderId="6" xfId="18" applyNumberFormat="1" applyFont="1" applyFill="1" applyBorder="1" applyAlignment="1"/>
    <xf numFmtId="164" fontId="11" fillId="0" borderId="6" xfId="1" applyNumberFormat="1" applyFont="1" applyFill="1" applyBorder="1" applyAlignment="1">
      <alignment horizontal="right" vertical="center"/>
    </xf>
    <xf numFmtId="164" fontId="12" fillId="0" borderId="6" xfId="1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left"/>
    </xf>
    <xf numFmtId="0" fontId="12" fillId="0" borderId="0" xfId="20" applyFont="1" applyFill="1" applyBorder="1" applyAlignment="1">
      <alignment horizontal="right" wrapText="1"/>
    </xf>
    <xf numFmtId="3" fontId="15" fillId="0" borderId="0" xfId="0" applyNumberFormat="1" applyFont="1" applyFill="1" applyAlignment="1">
      <alignment horizontal="right"/>
    </xf>
    <xf numFmtId="0" fontId="12" fillId="0" borderId="0" xfId="0" applyFont="1" applyFill="1" applyBorder="1" applyAlignment="1">
      <alignment vertical="top" wrapText="1"/>
    </xf>
    <xf numFmtId="0" fontId="12" fillId="0" borderId="5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right"/>
    </xf>
    <xf numFmtId="3" fontId="11" fillId="0" borderId="0" xfId="11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vertical="top" wrapText="1"/>
    </xf>
    <xf numFmtId="0" fontId="12" fillId="0" borderId="6" xfId="0" applyFont="1" applyFill="1" applyBorder="1"/>
    <xf numFmtId="0" fontId="28" fillId="0" borderId="0" xfId="0" applyFont="1" applyFill="1"/>
    <xf numFmtId="0" fontId="12" fillId="0" borderId="0" xfId="21" applyFont="1" applyFill="1" applyAlignment="1">
      <alignment horizontal="left"/>
    </xf>
    <xf numFmtId="0" fontId="12" fillId="0" borderId="0" xfId="20" applyFont="1" applyFill="1" applyBorder="1" applyAlignment="1">
      <alignment vertical="top"/>
    </xf>
    <xf numFmtId="15" fontId="12" fillId="0" borderId="0" xfId="20" quotePrefix="1" applyNumberFormat="1" applyFont="1" applyFill="1" applyBorder="1" applyAlignment="1">
      <alignment horizontal="right"/>
    </xf>
    <xf numFmtId="167" fontId="11" fillId="0" borderId="0" xfId="5" applyNumberFormat="1" applyFont="1" applyFill="1" applyAlignment="1">
      <alignment horizontal="left"/>
    </xf>
    <xf numFmtId="167" fontId="11" fillId="0" borderId="0" xfId="5" quotePrefix="1" applyNumberFormat="1" applyFont="1" applyFill="1" applyAlignment="1">
      <alignment horizontal="left"/>
    </xf>
    <xf numFmtId="0" fontId="11" fillId="0" borderId="4" xfId="5" quotePrefix="1" applyFont="1" applyFill="1" applyBorder="1" applyAlignment="1">
      <alignment horizontal="left"/>
    </xf>
    <xf numFmtId="0" fontId="12" fillId="0" borderId="6" xfId="5" applyFont="1" applyFill="1" applyBorder="1" applyAlignment="1">
      <alignment horizontal="left"/>
    </xf>
    <xf numFmtId="3" fontId="54" fillId="0" borderId="0" xfId="0" applyNumberFormat="1" applyFont="1" applyFill="1" applyAlignment="1">
      <alignment horizontal="right"/>
    </xf>
    <xf numFmtId="0" fontId="11" fillId="0" borderId="0" xfId="5" applyFont="1" applyFill="1" applyBorder="1" applyAlignment="1">
      <alignment horizontal="left" vertical="center" indent="1"/>
    </xf>
    <xf numFmtId="0" fontId="11" fillId="0" borderId="4" xfId="5" applyFont="1" applyFill="1" applyBorder="1" applyAlignment="1">
      <alignment horizontal="left" vertical="center" indent="1"/>
    </xf>
    <xf numFmtId="0" fontId="12" fillId="0" borderId="6" xfId="5" applyFont="1" applyFill="1" applyBorder="1" applyAlignment="1">
      <alignment horizontal="left" vertical="center"/>
    </xf>
    <xf numFmtId="176" fontId="12" fillId="0" borderId="0" xfId="22" applyNumberFormat="1" applyFont="1" applyFill="1" applyBorder="1" applyAlignment="1">
      <alignment horizontal="right" wrapText="1"/>
    </xf>
    <xf numFmtId="0" fontId="15" fillId="0" borderId="4" xfId="0" applyFont="1" applyFill="1" applyBorder="1" applyAlignment="1">
      <alignment wrapText="1"/>
    </xf>
    <xf numFmtId="0" fontId="12" fillId="0" borderId="0" xfId="0" applyFont="1" applyFill="1" applyBorder="1"/>
    <xf numFmtId="3" fontId="12" fillId="0" borderId="0" xfId="11" applyNumberFormat="1" applyFont="1" applyFill="1" applyBorder="1" applyAlignment="1">
      <alignment horizontal="right"/>
    </xf>
    <xf numFmtId="0" fontId="14" fillId="0" borderId="0" xfId="0" applyFont="1" applyFill="1" applyAlignment="1">
      <alignment vertical="top"/>
    </xf>
    <xf numFmtId="0" fontId="11" fillId="0" borderId="0" xfId="0" applyFont="1" applyFill="1"/>
    <xf numFmtId="3" fontId="14" fillId="3" borderId="0" xfId="1" applyNumberFormat="1" applyFont="1" applyFill="1" applyBorder="1" applyAlignment="1">
      <alignment horizontal="right" vertical="top"/>
    </xf>
    <xf numFmtId="14" fontId="12" fillId="2" borderId="5" xfId="0" applyNumberFormat="1" applyFont="1" applyFill="1" applyBorder="1" applyAlignment="1">
      <alignment horizontal="right"/>
    </xf>
    <xf numFmtId="14" fontId="12" fillId="3" borderId="5" xfId="0" applyNumberFormat="1" applyFont="1" applyFill="1" applyBorder="1" applyAlignment="1">
      <alignment horizontal="right"/>
    </xf>
    <xf numFmtId="0" fontId="11" fillId="0" borderId="0" xfId="0" applyFont="1" applyFill="1"/>
    <xf numFmtId="3" fontId="15" fillId="0" borderId="0" xfId="18" applyNumberFormat="1" applyFont="1" applyFill="1" applyBorder="1" applyAlignment="1"/>
    <xf numFmtId="0" fontId="12" fillId="2" borderId="11" xfId="0" applyFont="1" applyFill="1" applyBorder="1"/>
    <xf numFmtId="0" fontId="55" fillId="2" borderId="0" xfId="12" applyFont="1" applyFill="1"/>
    <xf numFmtId="0" fontId="22" fillId="3" borderId="0" xfId="12" applyFont="1" applyFill="1"/>
    <xf numFmtId="0" fontId="56" fillId="3" borderId="0" xfId="12" applyFont="1" applyFill="1" applyBorder="1" applyAlignment="1">
      <alignment horizontal="left"/>
    </xf>
    <xf numFmtId="0" fontId="22" fillId="3" borderId="0" xfId="12" applyFont="1" applyFill="1" applyBorder="1"/>
    <xf numFmtId="0" fontId="22" fillId="3" borderId="21" xfId="12" applyFont="1" applyFill="1" applyBorder="1" applyAlignment="1">
      <alignment wrapText="1"/>
    </xf>
    <xf numFmtId="0" fontId="22" fillId="3" borderId="22" xfId="12" applyFont="1" applyFill="1" applyBorder="1" applyAlignment="1">
      <alignment vertical="center" wrapText="1"/>
    </xf>
    <xf numFmtId="0" fontId="22" fillId="3" borderId="21" xfId="12" applyFont="1" applyFill="1" applyBorder="1" applyAlignment="1">
      <alignment vertical="center" wrapText="1"/>
    </xf>
    <xf numFmtId="0" fontId="22" fillId="3" borderId="21" xfId="12" applyFont="1" applyFill="1" applyBorder="1"/>
    <xf numFmtId="0" fontId="22" fillId="3" borderId="21" xfId="12" quotePrefix="1" applyFont="1" applyFill="1" applyBorder="1"/>
    <xf numFmtId="176" fontId="22" fillId="3" borderId="23" xfId="11" applyNumberFormat="1" applyFont="1" applyFill="1" applyBorder="1"/>
    <xf numFmtId="176" fontId="22" fillId="3" borderId="24" xfId="11" applyNumberFormat="1" applyFont="1" applyFill="1" applyBorder="1"/>
    <xf numFmtId="166" fontId="22" fillId="3" borderId="24" xfId="11" applyFont="1" applyFill="1" applyBorder="1"/>
    <xf numFmtId="0" fontId="22" fillId="3" borderId="24" xfId="12" applyFont="1" applyFill="1" applyBorder="1"/>
    <xf numFmtId="0" fontId="22" fillId="3" borderId="24" xfId="12" applyNumberFormat="1" applyFont="1" applyFill="1" applyBorder="1"/>
    <xf numFmtId="43" fontId="22" fillId="3" borderId="24" xfId="12" applyNumberFormat="1" applyFont="1" applyFill="1" applyBorder="1"/>
    <xf numFmtId="170" fontId="22" fillId="3" borderId="24" xfId="10" applyNumberFormat="1" applyFont="1" applyFill="1" applyBorder="1"/>
    <xf numFmtId="176" fontId="22" fillId="3" borderId="25" xfId="11" applyNumberFormat="1" applyFont="1" applyFill="1" applyBorder="1"/>
    <xf numFmtId="176" fontId="22" fillId="3" borderId="26" xfId="11" applyNumberFormat="1" applyFont="1" applyFill="1" applyBorder="1"/>
    <xf numFmtId="166" fontId="22" fillId="3" borderId="26" xfId="11" applyFont="1" applyFill="1" applyBorder="1"/>
    <xf numFmtId="43" fontId="22" fillId="0" borderId="26" xfId="12" applyNumberFormat="1" applyFont="1" applyFill="1" applyBorder="1"/>
    <xf numFmtId="170" fontId="22" fillId="3" borderId="26" xfId="10" applyNumberFormat="1" applyFont="1" applyFill="1" applyBorder="1"/>
    <xf numFmtId="0" fontId="56" fillId="3" borderId="27" xfId="12" applyFont="1" applyFill="1" applyBorder="1"/>
    <xf numFmtId="176" fontId="56" fillId="3" borderId="28" xfId="12" applyNumberFormat="1" applyFont="1" applyFill="1" applyBorder="1"/>
    <xf numFmtId="176" fontId="56" fillId="3" borderId="29" xfId="11" applyNumberFormat="1" applyFont="1" applyFill="1" applyBorder="1"/>
    <xf numFmtId="176" fontId="56" fillId="3" borderId="29" xfId="12" applyNumberFormat="1" applyFont="1" applyFill="1" applyBorder="1"/>
    <xf numFmtId="0" fontId="56" fillId="3" borderId="29" xfId="12" applyFont="1" applyFill="1" applyBorder="1"/>
    <xf numFmtId="170" fontId="56" fillId="3" borderId="29" xfId="10" applyNumberFormat="1" applyFont="1" applyFill="1" applyBorder="1"/>
    <xf numFmtId="0" fontId="56" fillId="3" borderId="0" xfId="12" applyFont="1" applyFill="1"/>
    <xf numFmtId="0" fontId="22" fillId="3" borderId="27" xfId="12" applyFont="1" applyFill="1" applyBorder="1" applyAlignment="1"/>
    <xf numFmtId="0" fontId="22" fillId="3" borderId="27" xfId="12" quotePrefix="1" applyFont="1" applyFill="1" applyBorder="1"/>
    <xf numFmtId="176" fontId="22" fillId="3" borderId="30" xfId="11" applyNumberFormat="1" applyFont="1" applyFill="1" applyBorder="1"/>
    <xf numFmtId="176" fontId="22" fillId="3" borderId="31" xfId="11" applyNumberFormat="1" applyFont="1" applyFill="1" applyBorder="1"/>
    <xf numFmtId="176" fontId="22" fillId="3" borderId="32" xfId="11" applyNumberFormat="1" applyFont="1" applyFill="1" applyBorder="1"/>
    <xf numFmtId="43" fontId="22" fillId="3" borderId="32" xfId="11" applyNumberFormat="1" applyFont="1" applyFill="1" applyBorder="1"/>
    <xf numFmtId="0" fontId="22" fillId="3" borderId="32" xfId="12" applyFont="1" applyFill="1" applyBorder="1"/>
    <xf numFmtId="0" fontId="22" fillId="3" borderId="21" xfId="12" applyFont="1" applyFill="1" applyBorder="1" applyAlignment="1"/>
    <xf numFmtId="176" fontId="22" fillId="3" borderId="33" xfId="11" applyNumberFormat="1" applyFont="1" applyFill="1" applyBorder="1"/>
    <xf numFmtId="43" fontId="22" fillId="3" borderId="24" xfId="11" applyNumberFormat="1" applyFont="1" applyFill="1" applyBorder="1"/>
    <xf numFmtId="176" fontId="22" fillId="3" borderId="34" xfId="11" applyNumberFormat="1" applyFont="1" applyFill="1" applyBorder="1"/>
    <xf numFmtId="43" fontId="22" fillId="3" borderId="26" xfId="11" applyNumberFormat="1" applyFont="1" applyFill="1" applyBorder="1"/>
    <xf numFmtId="0" fontId="56" fillId="3" borderId="27" xfId="12" applyFont="1" applyFill="1" applyBorder="1" applyAlignment="1"/>
    <xf numFmtId="176" fontId="56" fillId="3" borderId="28" xfId="11" applyNumberFormat="1" applyFont="1" applyFill="1" applyBorder="1"/>
    <xf numFmtId="176" fontId="56" fillId="3" borderId="35" xfId="11" applyNumberFormat="1" applyFont="1" applyFill="1" applyBorder="1"/>
    <xf numFmtId="0" fontId="56" fillId="3" borderId="36" xfId="12" applyFont="1" applyFill="1" applyBorder="1"/>
    <xf numFmtId="170" fontId="22" fillId="3" borderId="29" xfId="10" applyNumberFormat="1" applyFont="1" applyFill="1" applyBorder="1"/>
    <xf numFmtId="176" fontId="20" fillId="3" borderId="32" xfId="11" applyNumberFormat="1" applyFont="1" applyFill="1" applyBorder="1"/>
    <xf numFmtId="2" fontId="22" fillId="3" borderId="24" xfId="12" applyNumberFormat="1" applyFont="1" applyFill="1" applyBorder="1"/>
    <xf numFmtId="176" fontId="20" fillId="3" borderId="24" xfId="11" applyNumberFormat="1" applyFont="1" applyFill="1" applyBorder="1"/>
    <xf numFmtId="0" fontId="22" fillId="3" borderId="37" xfId="12" applyFont="1" applyFill="1" applyBorder="1" applyAlignment="1"/>
    <xf numFmtId="0" fontId="22" fillId="3" borderId="37" xfId="12" applyFont="1" applyFill="1" applyBorder="1"/>
    <xf numFmtId="176" fontId="22" fillId="3" borderId="38" xfId="11" applyNumberFormat="1" applyFont="1" applyFill="1" applyBorder="1"/>
    <xf numFmtId="176" fontId="22" fillId="3" borderId="39" xfId="11" applyNumberFormat="1" applyFont="1" applyFill="1" applyBorder="1"/>
    <xf numFmtId="176" fontId="22" fillId="3" borderId="40" xfId="11" applyNumberFormat="1" applyFont="1" applyFill="1" applyBorder="1"/>
    <xf numFmtId="2" fontId="22" fillId="3" borderId="40" xfId="12" applyNumberFormat="1" applyFont="1" applyFill="1" applyBorder="1"/>
    <xf numFmtId="176" fontId="20" fillId="3" borderId="40" xfId="11" applyNumberFormat="1" applyFont="1" applyFill="1" applyBorder="1"/>
    <xf numFmtId="170" fontId="22" fillId="3" borderId="40" xfId="10" applyNumberFormat="1" applyFont="1" applyFill="1" applyBorder="1"/>
    <xf numFmtId="0" fontId="56" fillId="3" borderId="21" xfId="12" applyFont="1" applyFill="1" applyBorder="1" applyAlignment="1"/>
    <xf numFmtId="0" fontId="56" fillId="3" borderId="21" xfId="12" applyFont="1" applyFill="1" applyBorder="1"/>
    <xf numFmtId="176" fontId="56" fillId="3" borderId="41" xfId="11" applyNumberFormat="1" applyFont="1" applyFill="1" applyBorder="1"/>
    <xf numFmtId="176" fontId="56" fillId="3" borderId="42" xfId="11" applyNumberFormat="1" applyFont="1" applyFill="1" applyBorder="1"/>
    <xf numFmtId="176" fontId="56" fillId="3" borderId="36" xfId="12" applyNumberFormat="1" applyFont="1" applyFill="1" applyBorder="1"/>
    <xf numFmtId="170" fontId="56" fillId="3" borderId="36" xfId="10" applyNumberFormat="1" applyFont="1" applyFill="1" applyBorder="1"/>
    <xf numFmtId="176" fontId="56" fillId="3" borderId="36" xfId="11" applyNumberFormat="1" applyFont="1" applyFill="1" applyBorder="1"/>
    <xf numFmtId="166" fontId="22" fillId="3" borderId="40" xfId="11" applyFont="1" applyFill="1" applyBorder="1"/>
    <xf numFmtId="170" fontId="22" fillId="3" borderId="36" xfId="10" applyNumberFormat="1" applyFont="1" applyFill="1" applyBorder="1"/>
    <xf numFmtId="43" fontId="22" fillId="3" borderId="40" xfId="11" applyNumberFormat="1" applyFont="1" applyFill="1" applyBorder="1"/>
    <xf numFmtId="176" fontId="56" fillId="3" borderId="23" xfId="12" applyNumberFormat="1" applyFont="1" applyFill="1" applyBorder="1"/>
    <xf numFmtId="176" fontId="56" fillId="3" borderId="33" xfId="12" applyNumberFormat="1" applyFont="1" applyFill="1" applyBorder="1"/>
    <xf numFmtId="176" fontId="56" fillId="3" borderId="24" xfId="12" applyNumberFormat="1" applyFont="1" applyFill="1" applyBorder="1"/>
    <xf numFmtId="43" fontId="56" fillId="3" borderId="24" xfId="12" applyNumberFormat="1" applyFont="1" applyFill="1" applyBorder="1"/>
    <xf numFmtId="0" fontId="55" fillId="2" borderId="0" xfId="0" applyFont="1" applyFill="1"/>
    <xf numFmtId="0" fontId="35" fillId="0" borderId="43" xfId="12" applyFont="1" applyBorder="1" applyAlignment="1">
      <alignment vertical="center"/>
    </xf>
    <xf numFmtId="10" fontId="35" fillId="0" borderId="43" xfId="16" applyNumberFormat="1" applyFont="1" applyBorder="1" applyAlignment="1">
      <alignment vertical="center" wrapText="1"/>
    </xf>
    <xf numFmtId="10" fontId="35" fillId="0" borderId="43" xfId="16" applyNumberFormat="1" applyFont="1" applyBorder="1" applyAlignment="1">
      <alignment horizontal="right" vertical="center" wrapText="1"/>
    </xf>
    <xf numFmtId="10" fontId="12" fillId="2" borderId="43" xfId="16" applyNumberFormat="1" applyFont="1" applyFill="1" applyBorder="1" applyAlignment="1">
      <alignment vertical="center"/>
    </xf>
    <xf numFmtId="0" fontId="35" fillId="0" borderId="43" xfId="12" applyFont="1" applyBorder="1" applyAlignment="1">
      <alignment vertical="center" wrapText="1"/>
    </xf>
    <xf numFmtId="0" fontId="51" fillId="0" borderId="0" xfId="19"/>
    <xf numFmtId="14" fontId="12" fillId="3" borderId="5" xfId="0" applyNumberFormat="1" applyFont="1" applyFill="1" applyBorder="1" applyAlignment="1">
      <alignment horizontal="left"/>
    </xf>
    <xf numFmtId="0" fontId="57" fillId="4" borderId="8" xfId="0" applyFont="1" applyFill="1" applyBorder="1" applyAlignment="1">
      <alignment horizontal="right"/>
    </xf>
    <xf numFmtId="3" fontId="31" fillId="2" borderId="0" xfId="0" applyNumberFormat="1" applyFont="1" applyFill="1"/>
    <xf numFmtId="0" fontId="12" fillId="3" borderId="5" xfId="12" applyFont="1" applyFill="1" applyBorder="1" applyAlignment="1">
      <alignment horizontal="left" wrapText="1"/>
    </xf>
    <xf numFmtId="178" fontId="12" fillId="2" borderId="5" xfId="12" applyNumberFormat="1" applyFont="1" applyFill="1" applyBorder="1" applyAlignment="1">
      <alignment horizontal="right"/>
    </xf>
    <xf numFmtId="178" fontId="12" fillId="2" borderId="5" xfId="12" applyNumberFormat="1" applyFont="1" applyFill="1" applyBorder="1" applyAlignment="1">
      <alignment horizontal="right" vertical="top" wrapText="1"/>
    </xf>
    <xf numFmtId="0" fontId="11" fillId="3" borderId="0" xfId="12" applyFont="1" applyFill="1" applyBorder="1" applyAlignment="1">
      <alignment horizontal="left"/>
    </xf>
    <xf numFmtId="3" fontId="11" fillId="3" borderId="0" xfId="12" applyNumberFormat="1" applyFont="1" applyFill="1" applyBorder="1" applyAlignment="1">
      <alignment vertical="top" wrapText="1"/>
    </xf>
    <xf numFmtId="0" fontId="11" fillId="3" borderId="0" xfId="12" applyFont="1" applyFill="1" applyBorder="1" applyAlignment="1">
      <alignment horizontal="left" wrapText="1"/>
    </xf>
    <xf numFmtId="3" fontId="11" fillId="0" borderId="0" xfId="12" applyNumberFormat="1" applyFont="1" applyFill="1" applyBorder="1" applyAlignment="1">
      <alignment vertical="top" wrapText="1"/>
    </xf>
    <xf numFmtId="0" fontId="11" fillId="3" borderId="4" xfId="12" applyFont="1" applyFill="1" applyBorder="1" applyAlignment="1">
      <alignment horizontal="left"/>
    </xf>
    <xf numFmtId="3" fontId="11" fillId="3" borderId="4" xfId="12" applyNumberFormat="1" applyFont="1" applyFill="1" applyBorder="1" applyAlignment="1">
      <alignment vertical="top" wrapText="1"/>
    </xf>
    <xf numFmtId="0" fontId="12" fillId="3" borderId="4" xfId="12" applyFont="1" applyFill="1" applyBorder="1" applyAlignment="1">
      <alignment horizontal="left"/>
    </xf>
    <xf numFmtId="3" fontId="12" fillId="3" borderId="4" xfId="12" applyNumberFormat="1" applyFont="1" applyFill="1" applyBorder="1" applyAlignment="1">
      <alignment vertical="top" wrapText="1"/>
    </xf>
    <xf numFmtId="0" fontId="11" fillId="3" borderId="0" xfId="0" applyFont="1" applyFill="1" applyBorder="1" applyAlignment="1">
      <alignment horizontal="left" wrapText="1"/>
    </xf>
    <xf numFmtId="0" fontId="11" fillId="3" borderId="0" xfId="0" applyFont="1" applyFill="1"/>
    <xf numFmtId="0" fontId="11" fillId="3" borderId="0" xfId="0" applyFont="1" applyFill="1" applyBorder="1" applyAlignment="1">
      <alignment horizontal="left" vertical="top" wrapText="1"/>
    </xf>
    <xf numFmtId="0" fontId="11" fillId="3" borderId="0" xfId="0" applyFont="1" applyFill="1" applyAlignment="1"/>
    <xf numFmtId="0" fontId="11" fillId="2" borderId="0" xfId="0" applyFont="1" applyFill="1" applyBorder="1" applyAlignment="1">
      <alignment horizontal="left" vertical="top" wrapText="1"/>
    </xf>
    <xf numFmtId="0" fontId="12" fillId="7" borderId="0" xfId="0" applyFont="1" applyFill="1" applyAlignment="1">
      <alignment horizontal="center" vertical="center"/>
    </xf>
    <xf numFmtId="0" fontId="31" fillId="3" borderId="0" xfId="0" applyFont="1" applyFill="1" applyBorder="1"/>
    <xf numFmtId="14" fontId="3" fillId="0" borderId="0" xfId="12" applyNumberFormat="1"/>
    <xf numFmtId="14" fontId="11" fillId="3" borderId="0" xfId="0" applyNumberFormat="1" applyFont="1" applyFill="1"/>
    <xf numFmtId="14" fontId="11" fillId="2" borderId="0" xfId="0" applyNumberFormat="1" applyFont="1" applyFill="1"/>
    <xf numFmtId="0" fontId="12" fillId="0" borderId="43" xfId="5" applyFont="1" applyFill="1" applyBorder="1">
      <alignment horizontal="left" vertical="top"/>
    </xf>
    <xf numFmtId="164" fontId="12" fillId="0" borderId="43" xfId="1" applyNumberFormat="1" applyFont="1" applyFill="1" applyBorder="1" applyAlignment="1">
      <alignment vertical="top"/>
    </xf>
    <xf numFmtId="164" fontId="11" fillId="0" borderId="43" xfId="1" applyNumberFormat="1" applyFont="1" applyFill="1" applyBorder="1" applyAlignment="1">
      <alignment vertical="top"/>
    </xf>
    <xf numFmtId="0" fontId="12" fillId="7" borderId="0" xfId="0" applyFont="1" applyFill="1" applyAlignment="1">
      <alignment horizontal="right" vertical="center"/>
    </xf>
    <xf numFmtId="2" fontId="31" fillId="3" borderId="4" xfId="0" applyNumberFormat="1" applyFont="1" applyFill="1" applyBorder="1"/>
    <xf numFmtId="0" fontId="12" fillId="3" borderId="0" xfId="0" applyFont="1" applyFill="1"/>
    <xf numFmtId="2" fontId="12" fillId="3" borderId="4" xfId="0" applyNumberFormat="1" applyFont="1" applyFill="1" applyBorder="1"/>
    <xf numFmtId="10" fontId="12" fillId="3" borderId="0" xfId="1" applyNumberFormat="1" applyFont="1" applyFill="1" applyAlignment="1">
      <alignment vertical="top"/>
    </xf>
    <xf numFmtId="0" fontId="22" fillId="3" borderId="44" xfId="0" applyFont="1" applyFill="1" applyBorder="1" applyAlignment="1">
      <alignment wrapText="1"/>
    </xf>
    <xf numFmtId="0" fontId="22" fillId="3" borderId="45" xfId="0" applyFont="1" applyFill="1" applyBorder="1" applyAlignment="1">
      <alignment vertical="center" wrapText="1"/>
    </xf>
    <xf numFmtId="0" fontId="22" fillId="3" borderId="44" xfId="0" applyFont="1" applyFill="1" applyBorder="1" applyAlignment="1">
      <alignment vertical="center" wrapText="1"/>
    </xf>
    <xf numFmtId="0" fontId="22" fillId="3" borderId="44" xfId="0" applyFont="1" applyFill="1" applyBorder="1"/>
    <xf numFmtId="0" fontId="22" fillId="3" borderId="44" xfId="0" quotePrefix="1" applyFont="1" applyFill="1" applyBorder="1"/>
    <xf numFmtId="0" fontId="22" fillId="3" borderId="24" xfId="0" applyFont="1" applyFill="1" applyBorder="1"/>
    <xf numFmtId="43" fontId="22" fillId="3" borderId="24" xfId="0" applyNumberFormat="1" applyFont="1" applyFill="1" applyBorder="1"/>
    <xf numFmtId="43" fontId="22" fillId="0" borderId="26" xfId="0" applyNumberFormat="1" applyFont="1" applyBorder="1"/>
    <xf numFmtId="0" fontId="56" fillId="3" borderId="27" xfId="0" applyFont="1" applyFill="1" applyBorder="1"/>
    <xf numFmtId="176" fontId="56" fillId="3" borderId="28" xfId="0" applyNumberFormat="1" applyFont="1" applyFill="1" applyBorder="1"/>
    <xf numFmtId="176" fontId="56" fillId="3" borderId="29" xfId="0" applyNumberFormat="1" applyFont="1" applyFill="1" applyBorder="1"/>
    <xf numFmtId="0" fontId="56" fillId="3" borderId="29" xfId="0" applyFont="1" applyFill="1" applyBorder="1"/>
    <xf numFmtId="0" fontId="22" fillId="3" borderId="27" xfId="0" applyFont="1" applyFill="1" applyBorder="1"/>
    <xf numFmtId="0" fontId="22" fillId="3" borderId="27" xfId="0" quotePrefix="1" applyFont="1" applyFill="1" applyBorder="1"/>
    <xf numFmtId="0" fontId="22" fillId="3" borderId="32" xfId="0" applyFont="1" applyFill="1" applyBorder="1"/>
    <xf numFmtId="2" fontId="22" fillId="3" borderId="24" xfId="0" applyNumberFormat="1" applyFont="1" applyFill="1" applyBorder="1"/>
    <xf numFmtId="0" fontId="22" fillId="3" borderId="37" xfId="0" applyFont="1" applyFill="1" applyBorder="1"/>
    <xf numFmtId="2" fontId="22" fillId="3" borderId="40" xfId="0" applyNumberFormat="1" applyFont="1" applyFill="1" applyBorder="1"/>
    <xf numFmtId="0" fontId="56" fillId="3" borderId="44" xfId="0" applyFont="1" applyFill="1" applyBorder="1"/>
    <xf numFmtId="0" fontId="56" fillId="3" borderId="36" xfId="0" applyFont="1" applyFill="1" applyBorder="1"/>
    <xf numFmtId="176" fontId="56" fillId="3" borderId="36" xfId="0" applyNumberFormat="1" applyFont="1" applyFill="1" applyBorder="1"/>
    <xf numFmtId="0" fontId="56" fillId="3" borderId="36" xfId="0" applyFont="1" applyFill="1" applyBorder="1" applyAlignment="1">
      <alignment horizontal="right" vertical="center"/>
    </xf>
    <xf numFmtId="176" fontId="56" fillId="3" borderId="23" xfId="0" applyNumberFormat="1" applyFont="1" applyFill="1" applyBorder="1"/>
    <xf numFmtId="176" fontId="56" fillId="3" borderId="33" xfId="0" applyNumberFormat="1" applyFont="1" applyFill="1" applyBorder="1"/>
    <xf numFmtId="176" fontId="56" fillId="3" borderId="24" xfId="0" applyNumberFormat="1" applyFont="1" applyFill="1" applyBorder="1"/>
    <xf numFmtId="43" fontId="56" fillId="3" borderId="24" xfId="0" applyNumberFormat="1" applyFont="1" applyFill="1" applyBorder="1"/>
    <xf numFmtId="0" fontId="12" fillId="2" borderId="5" xfId="0" applyFont="1" applyFill="1" applyBorder="1" applyAlignment="1">
      <alignment horizontal="left" wrapText="1"/>
    </xf>
    <xf numFmtId="0" fontId="11" fillId="3" borderId="0" xfId="0" applyFont="1" applyFill="1"/>
    <xf numFmtId="169" fontId="5" fillId="0" borderId="1" xfId="3" applyNumberFormat="1" applyFont="1" applyFill="1" applyBorder="1">
      <alignment horizontal="right" vertical="top"/>
    </xf>
    <xf numFmtId="3" fontId="28" fillId="3" borderId="0" xfId="11" applyNumberFormat="1" applyFont="1" applyFill="1" applyBorder="1" applyAlignment="1">
      <alignment horizontal="right"/>
    </xf>
    <xf numFmtId="3" fontId="11" fillId="3" borderId="0" xfId="11" applyNumberFormat="1" applyFont="1" applyFill="1" applyBorder="1" applyAlignment="1"/>
    <xf numFmtId="3" fontId="32" fillId="0" borderId="0" xfId="0" applyNumberFormat="1" applyFont="1" applyBorder="1"/>
    <xf numFmtId="3" fontId="32" fillId="0" borderId="10" xfId="0" applyNumberFormat="1" applyFont="1" applyBorder="1"/>
    <xf numFmtId="3" fontId="32" fillId="0" borderId="1" xfId="0" applyNumberFormat="1" applyFont="1" applyBorder="1"/>
    <xf numFmtId="0" fontId="11" fillId="3" borderId="0" xfId="0" applyFont="1" applyFill="1"/>
    <xf numFmtId="0" fontId="11" fillId="0" borderId="0" xfId="0" applyFont="1" applyFill="1"/>
    <xf numFmtId="0" fontId="11" fillId="3" borderId="0" xfId="0" quotePrefix="1" applyFont="1" applyFill="1" applyAlignment="1">
      <alignment horizontal="right" wrapText="1"/>
    </xf>
    <xf numFmtId="0" fontId="11" fillId="0" borderId="0" xfId="0" applyFont="1" applyFill="1"/>
    <xf numFmtId="0" fontId="12" fillId="2" borderId="5" xfId="0" applyFont="1" applyFill="1" applyBorder="1" applyAlignment="1">
      <alignment horizontal="left" wrapText="1"/>
    </xf>
    <xf numFmtId="3" fontId="11" fillId="3" borderId="0" xfId="23" applyNumberFormat="1" applyFont="1" applyFill="1"/>
    <xf numFmtId="3" fontId="11" fillId="3" borderId="0" xfId="5" applyNumberFormat="1" applyFont="1" applyFill="1">
      <alignment horizontal="left" vertical="top"/>
    </xf>
    <xf numFmtId="3" fontId="11" fillId="0" borderId="0" xfId="5" applyNumberFormat="1" applyFont="1">
      <alignment horizontal="left" vertical="top"/>
    </xf>
    <xf numFmtId="3" fontId="36" fillId="3" borderId="0" xfId="23" applyNumberFormat="1" applyFont="1" applyFill="1"/>
    <xf numFmtId="3" fontId="14" fillId="3" borderId="0" xfId="5" applyNumberFormat="1" applyFont="1" applyFill="1">
      <alignment horizontal="left" vertical="top"/>
    </xf>
    <xf numFmtId="0" fontId="14" fillId="3" borderId="0" xfId="0" applyFont="1" applyFill="1"/>
    <xf numFmtId="3" fontId="14" fillId="3" borderId="0" xfId="0" applyNumberFormat="1" applyFont="1" applyFill="1"/>
    <xf numFmtId="3" fontId="14" fillId="3" borderId="0" xfId="1" applyNumberFormat="1" applyFont="1" applyFill="1">
      <alignment horizontal="right" vertical="top"/>
    </xf>
    <xf numFmtId="3" fontId="14" fillId="3" borderId="0" xfId="1" applyNumberFormat="1" applyFont="1" applyFill="1" applyAlignment="1">
      <alignment horizontal="right"/>
    </xf>
    <xf numFmtId="0" fontId="33" fillId="0" borderId="0" xfId="0" applyFont="1"/>
    <xf numFmtId="0" fontId="33" fillId="3" borderId="0" xfId="0" applyFont="1" applyFill="1"/>
    <xf numFmtId="3" fontId="33" fillId="3" borderId="0" xfId="0" applyNumberFormat="1" applyFont="1" applyFill="1"/>
    <xf numFmtId="3" fontId="11" fillId="3" borderId="0" xfId="1" applyNumberFormat="1" applyFont="1" applyFill="1" applyAlignment="1">
      <alignment horizontal="right"/>
    </xf>
    <xf numFmtId="3" fontId="11" fillId="0" borderId="0" xfId="1" applyNumberFormat="1" applyFont="1" applyFill="1">
      <alignment horizontal="right" vertical="top"/>
    </xf>
    <xf numFmtId="0" fontId="11" fillId="3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/>
    </xf>
    <xf numFmtId="0" fontId="12" fillId="0" borderId="5" xfId="0" applyFont="1" applyBorder="1" applyAlignment="1">
      <alignment horizontal="right" wrapText="1"/>
    </xf>
    <xf numFmtId="3" fontId="11" fillId="0" borderId="0" xfId="13" applyNumberFormat="1" applyFont="1"/>
    <xf numFmtId="3" fontId="12" fillId="0" borderId="6" xfId="13" applyNumberFormat="1" applyFont="1" applyBorder="1"/>
    <xf numFmtId="3" fontId="11" fillId="0" borderId="0" xfId="0" applyNumberFormat="1" applyFont="1"/>
    <xf numFmtId="3" fontId="11" fillId="2" borderId="0" xfId="13" applyNumberFormat="1" applyFont="1" applyFill="1"/>
    <xf numFmtId="3" fontId="12" fillId="2" borderId="6" xfId="13" applyNumberFormat="1" applyFont="1" applyFill="1" applyBorder="1"/>
    <xf numFmtId="3" fontId="12" fillId="0" borderId="0" xfId="13" applyNumberFormat="1" applyFont="1"/>
    <xf numFmtId="3" fontId="12" fillId="2" borderId="0" xfId="13" applyNumberFormat="1" applyFont="1" applyFill="1"/>
    <xf numFmtId="3" fontId="11" fillId="0" borderId="6" xfId="13" applyNumberFormat="1" applyFont="1" applyBorder="1"/>
    <xf numFmtId="3" fontId="11" fillId="2" borderId="6" xfId="13" applyNumberFormat="1" applyFont="1" applyFill="1" applyBorder="1"/>
    <xf numFmtId="0" fontId="11" fillId="2" borderId="0" xfId="5" applyFont="1" applyFill="1">
      <alignment horizontal="left" vertical="top"/>
    </xf>
    <xf numFmtId="171" fontId="11" fillId="2" borderId="0" xfId="11" applyNumberFormat="1" applyFont="1" applyFill="1" applyAlignment="1">
      <alignment horizontal="left" vertical="top"/>
    </xf>
    <xf numFmtId="0" fontId="11" fillId="2" borderId="7" xfId="5" applyFont="1" applyFill="1" applyBorder="1">
      <alignment horizontal="left" vertical="top"/>
    </xf>
    <xf numFmtId="3" fontId="11" fillId="0" borderId="16" xfId="11" applyNumberFormat="1" applyFont="1" applyBorder="1" applyAlignment="1">
      <alignment horizontal="right" vertical="top" wrapText="1"/>
    </xf>
    <xf numFmtId="171" fontId="11" fillId="2" borderId="6" xfId="11" applyNumberFormat="1" applyFont="1" applyFill="1" applyBorder="1"/>
    <xf numFmtId="3" fontId="3" fillId="0" borderId="0" xfId="12" applyNumberFormat="1"/>
    <xf numFmtId="0" fontId="11" fillId="3" borderId="0" xfId="0" applyFont="1" applyFill="1"/>
    <xf numFmtId="49" fontId="31" fillId="0" borderId="0" xfId="25" applyNumberFormat="1" applyFont="1" applyAlignment="1">
      <alignment wrapText="1"/>
    </xf>
    <xf numFmtId="0" fontId="12" fillId="0" borderId="6" xfId="20" applyFont="1" applyBorder="1" applyAlignment="1">
      <alignment horizontal="right" wrapText="1"/>
    </xf>
    <xf numFmtId="0" fontId="31" fillId="8" borderId="6" xfId="24" applyFont="1" applyFill="1" applyBorder="1" applyAlignment="1">
      <alignment horizontal="right" wrapText="1"/>
    </xf>
    <xf numFmtId="0" fontId="12" fillId="0" borderId="0" xfId="20" applyFont="1" applyAlignment="1">
      <alignment horizontal="right" wrapText="1"/>
    </xf>
    <xf numFmtId="0" fontId="31" fillId="0" borderId="6" xfId="24" applyFont="1" applyBorder="1" applyAlignment="1">
      <alignment horizontal="right" wrapText="1"/>
    </xf>
    <xf numFmtId="0" fontId="31" fillId="0" borderId="0" xfId="24" applyFont="1" applyAlignment="1">
      <alignment horizontal="left" wrapText="1"/>
    </xf>
    <xf numFmtId="0" fontId="31" fillId="8" borderId="0" xfId="24" applyFont="1" applyFill="1" applyAlignment="1">
      <alignment horizontal="right" wrapText="1"/>
    </xf>
    <xf numFmtId="0" fontId="31" fillId="0" borderId="0" xfId="24" applyFont="1" applyAlignment="1">
      <alignment horizontal="right" wrapText="1"/>
    </xf>
    <xf numFmtId="0" fontId="32" fillId="0" borderId="0" xfId="24" applyFont="1" applyAlignment="1">
      <alignment wrapText="1"/>
    </xf>
    <xf numFmtId="1" fontId="32" fillId="0" borderId="0" xfId="24" applyNumberFormat="1" applyFont="1"/>
    <xf numFmtId="3" fontId="54" fillId="8" borderId="0" xfId="25" applyFont="1" applyFill="1" applyAlignment="1">
      <alignment horizontal="right"/>
    </xf>
    <xf numFmtId="3" fontId="54" fillId="0" borderId="0" xfId="25" applyFont="1" applyAlignment="1">
      <alignment horizontal="right"/>
    </xf>
    <xf numFmtId="1" fontId="31" fillId="0" borderId="0" xfId="24" applyNumberFormat="1" applyFont="1"/>
    <xf numFmtId="0" fontId="32" fillId="0" borderId="0" xfId="24" applyFont="1" applyAlignment="1">
      <alignment horizontal="left" wrapText="1" indent="1"/>
    </xf>
    <xf numFmtId="1" fontId="54" fillId="0" borderId="0" xfId="26" applyNumberFormat="1" applyFont="1"/>
    <xf numFmtId="0" fontId="32" fillId="0" borderId="0" xfId="24" applyFont="1"/>
    <xf numFmtId="0" fontId="31" fillId="0" borderId="6" xfId="24" applyFont="1" applyBorder="1"/>
    <xf numFmtId="1" fontId="32" fillId="0" borderId="6" xfId="26" applyNumberFormat="1" applyFont="1" applyBorder="1"/>
    <xf numFmtId="3" fontId="15" fillId="8" borderId="6" xfId="25" applyFont="1" applyFill="1" applyBorder="1" applyAlignment="1">
      <alignment horizontal="right"/>
    </xf>
    <xf numFmtId="1" fontId="32" fillId="0" borderId="0" xfId="26" applyNumberFormat="1" applyFont="1"/>
    <xf numFmtId="3" fontId="54" fillId="0" borderId="6" xfId="25" applyFont="1" applyBorder="1" applyAlignment="1">
      <alignment horizontal="right"/>
    </xf>
    <xf numFmtId="0" fontId="31" fillId="0" borderId="0" xfId="24" applyFont="1"/>
    <xf numFmtId="0" fontId="11" fillId="0" borderId="0" xfId="27" applyFont="1"/>
    <xf numFmtId="0" fontId="32" fillId="0" borderId="0" xfId="27" applyFont="1"/>
    <xf numFmtId="0" fontId="12" fillId="0" borderId="4" xfId="20" applyFont="1" applyBorder="1" applyAlignment="1">
      <alignment horizontal="right" wrapText="1"/>
    </xf>
    <xf numFmtId="0" fontId="31" fillId="0" borderId="4" xfId="24" applyFont="1" applyBorder="1" applyAlignment="1">
      <alignment horizontal="right" wrapText="1"/>
    </xf>
    <xf numFmtId="3" fontId="32" fillId="2" borderId="0" xfId="0" applyNumberFormat="1" applyFont="1" applyFill="1"/>
    <xf numFmtId="3" fontId="11" fillId="3" borderId="13" xfId="0" applyNumberFormat="1" applyFont="1" applyFill="1" applyBorder="1" applyAlignment="1">
      <alignment horizontal="right" wrapText="1"/>
    </xf>
    <xf numFmtId="0" fontId="11" fillId="0" borderId="0" xfId="5" applyFont="1">
      <alignment horizontal="left" vertical="top"/>
    </xf>
    <xf numFmtId="3" fontId="32" fillId="3" borderId="6" xfId="0" applyNumberFormat="1" applyFont="1" applyFill="1" applyBorder="1" applyAlignment="1"/>
    <xf numFmtId="10" fontId="35" fillId="3" borderId="0" xfId="12" applyNumberFormat="1" applyFont="1" applyFill="1" applyBorder="1"/>
    <xf numFmtId="3" fontId="58" fillId="3" borderId="18" xfId="11" applyNumberFormat="1" applyFont="1" applyFill="1" applyBorder="1" applyAlignment="1">
      <alignment horizontal="right"/>
    </xf>
    <xf numFmtId="3" fontId="58" fillId="3" borderId="0" xfId="12" applyNumberFormat="1" applyFont="1" applyFill="1" applyAlignment="1">
      <alignment horizontal="right"/>
    </xf>
    <xf numFmtId="3" fontId="58" fillId="3" borderId="18" xfId="11" applyNumberFormat="1" applyFont="1" applyFill="1" applyBorder="1"/>
    <xf numFmtId="3" fontId="58" fillId="3" borderId="18" xfId="12" applyNumberFormat="1" applyFont="1" applyFill="1" applyBorder="1"/>
    <xf numFmtId="0" fontId="35" fillId="7" borderId="0" xfId="0" applyFont="1" applyFill="1" applyAlignment="1">
      <alignment horizontal="center" vertical="center"/>
    </xf>
    <xf numFmtId="0" fontId="59" fillId="0" borderId="0" xfId="0" applyFont="1"/>
    <xf numFmtId="0" fontId="59" fillId="0" borderId="0" xfId="0" applyFont="1" applyAlignment="1">
      <alignment horizontal="left" wrapText="1"/>
    </xf>
    <xf numFmtId="0" fontId="59" fillId="0" borderId="0" xfId="0" applyFont="1" applyAlignment="1">
      <alignment horizontal="left" wrapText="1" indent="1"/>
    </xf>
    <xf numFmtId="0" fontId="60" fillId="0" borderId="0" xfId="0" applyFont="1"/>
    <xf numFmtId="0" fontId="60" fillId="2" borderId="0" xfId="0" applyFont="1" applyFill="1"/>
    <xf numFmtId="0" fontId="60" fillId="0" borderId="0" xfId="0" applyFont="1" applyAlignment="1">
      <alignment horizontal="left" indent="1"/>
    </xf>
    <xf numFmtId="173" fontId="12" fillId="2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73" fontId="12" fillId="3" borderId="0" xfId="0" applyNumberFormat="1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wrapText="1"/>
    </xf>
    <xf numFmtId="0" fontId="11" fillId="3" borderId="0" xfId="0" applyFont="1" applyFill="1"/>
    <xf numFmtId="171" fontId="11" fillId="3" borderId="0" xfId="11" applyNumberFormat="1" applyFont="1" applyFill="1" applyBorder="1" applyAlignment="1">
      <alignment horizontal="left" wrapText="1"/>
    </xf>
    <xf numFmtId="167" fontId="12" fillId="0" borderId="1" xfId="4" applyFont="1" applyFill="1" applyBorder="1" applyAlignment="1">
      <alignment horizontal="left"/>
    </xf>
    <xf numFmtId="164" fontId="12" fillId="0" borderId="0" xfId="5" applyNumberFormat="1" applyFont="1" applyFill="1" applyAlignment="1">
      <alignment horizontal="left" vertical="top"/>
    </xf>
    <xf numFmtId="168" fontId="12" fillId="0" borderId="0" xfId="6" applyFont="1" applyFill="1" applyAlignment="1">
      <alignment horizontal="center"/>
    </xf>
    <xf numFmtId="0" fontId="11" fillId="0" borderId="0" xfId="0" applyFont="1" applyFill="1"/>
    <xf numFmtId="0" fontId="31" fillId="0" borderId="0" xfId="24" applyFont="1" applyAlignment="1">
      <alignment horizontal="left" wrapText="1"/>
    </xf>
    <xf numFmtId="0" fontId="31" fillId="0" borderId="4" xfId="24" applyFont="1" applyBorder="1" applyAlignment="1">
      <alignment horizontal="left" wrapText="1"/>
    </xf>
    <xf numFmtId="49" fontId="31" fillId="0" borderId="4" xfId="25" applyNumberFormat="1" applyFont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top" wrapText="1"/>
    </xf>
    <xf numFmtId="175" fontId="12" fillId="0" borderId="0" xfId="20" quotePrefix="1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horizontal="left" wrapText="1"/>
    </xf>
    <xf numFmtId="0" fontId="12" fillId="2" borderId="0" xfId="0" applyFont="1" applyFill="1" applyAlignment="1">
      <alignment horizontal="center" wrapText="1"/>
    </xf>
    <xf numFmtId="0" fontId="20" fillId="0" borderId="0" xfId="0" applyFont="1" applyAlignment="1">
      <alignment horizontal="center"/>
    </xf>
    <xf numFmtId="0" fontId="11" fillId="2" borderId="0" xfId="0" applyFont="1" applyFill="1" applyAlignment="1">
      <alignment horizontal="center" wrapText="1"/>
    </xf>
    <xf numFmtId="0" fontId="28" fillId="2" borderId="0" xfId="0" applyFont="1" applyFill="1" applyBorder="1" applyAlignment="1">
      <alignment horizontal="left" vertical="top" wrapText="1"/>
    </xf>
    <xf numFmtId="0" fontId="28" fillId="0" borderId="0" xfId="0" applyFont="1" applyAlignment="1"/>
    <xf numFmtId="0" fontId="11" fillId="3" borderId="0" xfId="0" applyFont="1" applyFill="1" applyBorder="1" applyAlignment="1">
      <alignment horizontal="left" vertical="top" wrapText="1"/>
    </xf>
    <xf numFmtId="0" fontId="11" fillId="3" borderId="0" xfId="0" applyFont="1" applyFill="1" applyAlignment="1"/>
    <xf numFmtId="0" fontId="11" fillId="2" borderId="5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vertical="center" wrapText="1"/>
    </xf>
    <xf numFmtId="49" fontId="11" fillId="2" borderId="0" xfId="0" quotePrefix="1" applyNumberFormat="1" applyFont="1" applyFill="1" applyBorder="1" applyAlignment="1">
      <alignment horizontal="left" vertical="top" wrapText="1"/>
    </xf>
    <xf numFmtId="49" fontId="11" fillId="2" borderId="0" xfId="0" applyNumberFormat="1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3" fontId="12" fillId="2" borderId="0" xfId="0" applyNumberFormat="1" applyFont="1" applyFill="1" applyBorder="1" applyAlignment="1">
      <alignment horizontal="right" wrapText="1"/>
    </xf>
    <xf numFmtId="3" fontId="12" fillId="2" borderId="5" xfId="0" applyNumberFormat="1" applyFont="1" applyFill="1" applyBorder="1" applyAlignment="1">
      <alignment horizontal="right" wrapText="1"/>
    </xf>
    <xf numFmtId="169" fontId="25" fillId="0" borderId="0" xfId="1" applyFont="1" applyFill="1" applyAlignment="1">
      <alignment horizontal="center" vertical="top"/>
    </xf>
    <xf numFmtId="0" fontId="31" fillId="3" borderId="0" xfId="0" applyFont="1" applyFill="1" applyBorder="1"/>
    <xf numFmtId="0" fontId="44" fillId="3" borderId="0" xfId="12" applyFont="1" applyFill="1" applyBorder="1" applyAlignment="1">
      <alignment horizontal="center" wrapText="1"/>
    </xf>
    <xf numFmtId="0" fontId="44" fillId="3" borderId="0" xfId="12" applyFont="1" applyFill="1" applyBorder="1" applyAlignment="1">
      <alignment horizontal="center"/>
    </xf>
  </cellXfs>
  <cellStyles count="28">
    <cellStyle name="EY0dp" xfId="1" xr:uid="{00000000-0005-0000-0000-000000000000}"/>
    <cellStyle name="EYColumnHeading" xfId="2" xr:uid="{00000000-0005-0000-0000-000001000000}"/>
    <cellStyle name="EYnumber" xfId="3" xr:uid="{00000000-0005-0000-0000-000002000000}"/>
    <cellStyle name="EYSheetHeader1" xfId="4" xr:uid="{00000000-0005-0000-0000-000003000000}"/>
    <cellStyle name="EYtext" xfId="5" xr:uid="{00000000-0005-0000-0000-000004000000}"/>
    <cellStyle name="greyed 2" xfId="14" xr:uid="{00000000-0005-0000-0000-000005000000}"/>
    <cellStyle name="Hyperkobling" xfId="17" builtinId="8"/>
    <cellStyle name="Komma" xfId="11" builtinId="3"/>
    <cellStyle name="Komma 2" xfId="13" xr:uid="{00000000-0005-0000-0000-000008000000}"/>
    <cellStyle name="Komma 2 2" xfId="22" xr:uid="{DD14034E-5729-447A-9B6B-3544BE262134}"/>
    <cellStyle name="Komma 3 9" xfId="26" xr:uid="{67080B29-4E49-4BEB-B933-29E92AA0EFCD}"/>
    <cellStyle name="Komma 4 10" xfId="23" xr:uid="{957B1D5C-A20A-4FA6-99B2-D259F076072A}"/>
    <cellStyle name="Normal" xfId="0" builtinId="0"/>
    <cellStyle name="Normal 2" xfId="12" xr:uid="{00000000-0005-0000-0000-00000A000000}"/>
    <cellStyle name="Normal 3 3" xfId="21" xr:uid="{2659E545-534F-4D48-8291-72CAF117C2C1}"/>
    <cellStyle name="Normal 31" xfId="25" xr:uid="{3725D79F-8E29-4BD0-B0CA-05CD6A9A4832}"/>
    <cellStyle name="Normal 4 2 2" xfId="19" xr:uid="{CA7DAD77-7041-42F1-BE0A-360DFC19A35B}"/>
    <cellStyle name="Normal 4 2 2 3" xfId="24" xr:uid="{DCC15930-8E9C-4299-AA94-9B5B12106BBA}"/>
    <cellStyle name="Normal 6 2 3" xfId="27" xr:uid="{80F4B0FB-F6AE-4EC6-9335-A391C9C5FF28}"/>
    <cellStyle name="Normal_Eksempelregnskap Sparebank 1 Gruppen 20051207" xfId="6" xr:uid="{00000000-0005-0000-0000-00000B000000}"/>
    <cellStyle name="Normal_Kopi av bearbeidet notemal pr 280907 begge grupper vs 4" xfId="20" xr:uid="{96BA124E-1451-4FA8-8EA2-8C2ADA8C113D}"/>
    <cellStyle name="Normal_Note 15" xfId="7" xr:uid="{00000000-0005-0000-0000-00000C000000}"/>
    <cellStyle name="Normal_Note 5 til 7" xfId="18" xr:uid="{01DD925E-ADC4-4C01-AE35-FEECC1274607}"/>
    <cellStyle name="Normal_Transaction Foundations Workbook" xfId="8" xr:uid="{00000000-0005-0000-0000-00000D000000}"/>
    <cellStyle name="Normal_Verdipapirnote og derivatnote" xfId="9" xr:uid="{00000000-0005-0000-0000-00000E000000}"/>
    <cellStyle name="Prosent" xfId="10" builtinId="5"/>
    <cellStyle name="Prosent 2" xfId="15" xr:uid="{00000000-0005-0000-0000-000010000000}"/>
    <cellStyle name="Prosent 3" xfId="16" xr:uid="{00000000-0005-0000-0000-000011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sjon/&#216;konomi%20og%20Finans/&#216;konomi/Offentlig%20Regnskap/2020/Pilar%20III/31.03%2020120%20Tabell%2030%20Konsolidering%20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 30"/>
      <sheetName val="BN Bank"/>
      <sheetName val="SB1 Kredittkort"/>
      <sheetName val="SB1 Næringskreditt"/>
      <sheetName val="SB1 Boligkreditt"/>
    </sheetNames>
    <sheetDataSet>
      <sheetData sheetId="0"/>
      <sheetData sheetId="1">
        <row r="6">
          <cell r="C6">
            <v>278812.41303708398</v>
          </cell>
        </row>
        <row r="7">
          <cell r="C7">
            <v>8969289.0826723985</v>
          </cell>
        </row>
        <row r="8">
          <cell r="C8">
            <v>1968702.1500267682</v>
          </cell>
        </row>
        <row r="9">
          <cell r="C9">
            <v>95472.617660592019</v>
          </cell>
        </row>
        <row r="10">
          <cell r="C10">
            <v>296059.04669598007</v>
          </cell>
        </row>
        <row r="11">
          <cell r="C11">
            <v>0</v>
          </cell>
        </row>
        <row r="12">
          <cell r="C12">
            <v>7235.706926842</v>
          </cell>
        </row>
        <row r="13">
          <cell r="C13">
            <v>22333.026744315997</v>
          </cell>
        </row>
        <row r="14">
          <cell r="C14">
            <v>11289.467096803997</v>
          </cell>
        </row>
        <row r="15">
          <cell r="C15">
            <v>13547.23180926</v>
          </cell>
        </row>
        <row r="18">
          <cell r="C18">
            <v>185440.51383748284</v>
          </cell>
        </row>
        <row r="19">
          <cell r="C19">
            <v>5586782.390945402</v>
          </cell>
        </row>
        <row r="20">
          <cell r="C20">
            <v>4105722.3593205782</v>
          </cell>
        </row>
        <row r="21">
          <cell r="C21">
            <v>42310.020719569999</v>
          </cell>
        </row>
        <row r="22">
          <cell r="C22">
            <v>73232.854436280002</v>
          </cell>
        </row>
        <row r="23">
          <cell r="C23">
            <v>36367.859478049992</v>
          </cell>
        </row>
        <row r="24">
          <cell r="C24">
            <v>104965.147661118</v>
          </cell>
        </row>
        <row r="27">
          <cell r="C27">
            <v>247176.95581000001</v>
          </cell>
        </row>
        <row r="28">
          <cell r="C28">
            <v>145193.62950519999</v>
          </cell>
        </row>
        <row r="29">
          <cell r="C29">
            <v>79362.994818606006</v>
          </cell>
        </row>
        <row r="30">
          <cell r="C30">
            <v>1033212.5385835582</v>
          </cell>
        </row>
        <row r="31">
          <cell r="C31">
            <v>22973.477554200002</v>
          </cell>
        </row>
      </sheetData>
      <sheetData sheetId="2">
        <row r="6">
          <cell r="C6">
            <v>130961.29796137016</v>
          </cell>
        </row>
        <row r="7">
          <cell r="C7">
            <v>894897.85204540147</v>
          </cell>
        </row>
        <row r="8">
          <cell r="C8">
            <v>-39011.439531958</v>
          </cell>
        </row>
        <row r="9">
          <cell r="C9">
            <v>24660.83157823695</v>
          </cell>
        </row>
        <row r="10">
          <cell r="C10">
            <v>4006.5801487079993</v>
          </cell>
        </row>
        <row r="11">
          <cell r="C11">
            <v>2647.791831431</v>
          </cell>
        </row>
        <row r="12">
          <cell r="C12">
            <v>2649.2340020659976</v>
          </cell>
        </row>
        <row r="13">
          <cell r="C13">
            <v>14743.21394665399</v>
          </cell>
        </row>
        <row r="16">
          <cell r="C16">
            <v>802349.99999999988</v>
          </cell>
        </row>
        <row r="17">
          <cell r="C17">
            <v>0</v>
          </cell>
        </row>
        <row r="18">
          <cell r="C18">
            <v>33673.59525836895</v>
          </cell>
        </row>
        <row r="19">
          <cell r="C19">
            <v>1010.3623916269997</v>
          </cell>
        </row>
        <row r="20">
          <cell r="C20">
            <v>8010.9081508899972</v>
          </cell>
        </row>
        <row r="21">
          <cell r="C21">
            <v>17830</v>
          </cell>
        </row>
        <row r="24">
          <cell r="C24">
            <v>51494.698189999996</v>
          </cell>
        </row>
        <row r="25">
          <cell r="C25">
            <v>108101.53374499999</v>
          </cell>
        </row>
        <row r="26">
          <cell r="C26">
            <v>12649.173387312007</v>
          </cell>
        </row>
        <row r="27">
          <cell r="C27">
            <v>435.09083908899783</v>
          </cell>
        </row>
      </sheetData>
      <sheetData sheetId="3">
        <row r="6">
          <cell r="C6">
            <v>73471.162011740831</v>
          </cell>
        </row>
        <row r="7">
          <cell r="C7">
            <v>92508.675550068016</v>
          </cell>
        </row>
        <row r="8">
          <cell r="C8">
            <v>1576198.533259233</v>
          </cell>
        </row>
        <row r="9">
          <cell r="C9">
            <v>129385.99603947002</v>
          </cell>
        </row>
        <row r="10">
          <cell r="C10">
            <v>0</v>
          </cell>
        </row>
        <row r="11">
          <cell r="C11">
            <v>169.35605472599997</v>
          </cell>
        </row>
        <row r="14">
          <cell r="C14">
            <v>1501966.246224774</v>
          </cell>
        </row>
        <row r="15">
          <cell r="C15">
            <v>33982.667849999998</v>
          </cell>
        </row>
        <row r="17">
          <cell r="C17">
            <v>0</v>
          </cell>
        </row>
        <row r="18">
          <cell r="C18">
            <v>2428.5862661849997</v>
          </cell>
        </row>
        <row r="19">
          <cell r="C19">
            <v>1980.3206842739999</v>
          </cell>
        </row>
        <row r="20">
          <cell r="C20">
            <v>12965.858262989999</v>
          </cell>
        </row>
        <row r="23">
          <cell r="C23">
            <v>317202.25349999999</v>
          </cell>
        </row>
        <row r="25">
          <cell r="C25">
            <v>13.193698757999998</v>
          </cell>
        </row>
        <row r="26">
          <cell r="C26">
            <v>-7.0334999999999997E-5</v>
          </cell>
        </row>
        <row r="27">
          <cell r="C27">
            <v>1194.5965689269999</v>
          </cell>
        </row>
      </sheetData>
      <sheetData sheetId="4">
        <row r="6">
          <cell r="C6">
            <v>98830.352929100016</v>
          </cell>
        </row>
        <row r="7">
          <cell r="C7">
            <v>857335.10565950011</v>
          </cell>
        </row>
        <row r="8">
          <cell r="C8">
            <v>4413092.7416654006</v>
          </cell>
        </row>
        <row r="9">
          <cell r="C9">
            <v>859702.01954910008</v>
          </cell>
        </row>
        <row r="10">
          <cell r="C10">
            <v>5163.5284662000004</v>
          </cell>
        </row>
        <row r="11">
          <cell r="C11">
            <v>40.456481000000004</v>
          </cell>
        </row>
        <row r="14">
          <cell r="C14">
            <v>5299845.8408337003</v>
          </cell>
        </row>
        <row r="15">
          <cell r="C15">
            <v>607416.29377910006</v>
          </cell>
        </row>
        <row r="17">
          <cell r="C17">
            <v>15995.043578800001</v>
          </cell>
        </row>
        <row r="18">
          <cell r="C18">
            <v>0</v>
          </cell>
        </row>
        <row r="19">
          <cell r="C19">
            <v>5094.7854217000004</v>
          </cell>
        </row>
        <row r="20">
          <cell r="C20">
            <v>31677.120328100002</v>
          </cell>
        </row>
        <row r="21">
          <cell r="C21">
            <v>6290.4408592999998</v>
          </cell>
        </row>
        <row r="24">
          <cell r="C24">
            <v>252348.1899614</v>
          </cell>
        </row>
        <row r="26">
          <cell r="C26">
            <v>26078.000000000004</v>
          </cell>
        </row>
        <row r="27">
          <cell r="C27">
            <v>-7667.4750191000003</v>
          </cell>
        </row>
        <row r="28">
          <cell r="C28">
            <v>-2914.0349485000029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41"/>
  <sheetViews>
    <sheetView showGridLines="0" tabSelected="1" zoomScale="90" zoomScaleNormal="90" workbookViewId="0">
      <selection activeCell="B45" sqref="B45"/>
    </sheetView>
  </sheetViews>
  <sheetFormatPr baseColWidth="10" defaultColWidth="11" defaultRowHeight="12.75"/>
  <cols>
    <col min="1" max="1" width="9.625" style="218" customWidth="1"/>
    <col min="2" max="2" width="137" style="218" customWidth="1"/>
    <col min="3" max="3" width="17.25" style="218" customWidth="1"/>
    <col min="4" max="4" width="18.875" style="218" customWidth="1"/>
    <col min="5" max="8" width="11" style="434"/>
    <col min="65" max="16384" width="11" style="218"/>
  </cols>
  <sheetData>
    <row r="1" spans="1:4" ht="23.25">
      <c r="A1" s="209" t="s">
        <v>132</v>
      </c>
      <c r="B1" s="210"/>
      <c r="C1" s="210"/>
      <c r="D1" s="693" t="s">
        <v>927</v>
      </c>
    </row>
    <row r="2" spans="1:4">
      <c r="A2" s="211" t="s">
        <v>133</v>
      </c>
      <c r="B2" s="212" t="s">
        <v>134</v>
      </c>
      <c r="C2" s="213" t="s">
        <v>135</v>
      </c>
      <c r="D2" s="213" t="s">
        <v>136</v>
      </c>
    </row>
    <row r="3" spans="1:4" ht="15">
      <c r="A3" s="219"/>
      <c r="B3" s="216"/>
      <c r="C3" s="220"/>
      <c r="D3" s="220"/>
    </row>
    <row r="4" spans="1:4">
      <c r="A4" s="424">
        <v>1</v>
      </c>
      <c r="B4" s="222" t="s">
        <v>152</v>
      </c>
      <c r="C4" s="221">
        <v>47</v>
      </c>
      <c r="D4" s="221" t="s">
        <v>138</v>
      </c>
    </row>
    <row r="5" spans="1:4">
      <c r="A5" s="425">
        <v>2</v>
      </c>
      <c r="B5" s="216" t="s">
        <v>155</v>
      </c>
      <c r="C5" s="217">
        <v>48</v>
      </c>
      <c r="D5" s="217" t="s">
        <v>138</v>
      </c>
    </row>
    <row r="6" spans="1:4">
      <c r="A6" s="424">
        <v>3</v>
      </c>
      <c r="B6" s="222" t="s">
        <v>153</v>
      </c>
      <c r="C6" s="221">
        <v>48</v>
      </c>
      <c r="D6" s="221" t="s">
        <v>138</v>
      </c>
    </row>
    <row r="7" spans="1:4">
      <c r="A7" s="425">
        <v>4</v>
      </c>
      <c r="B7" s="216" t="s">
        <v>154</v>
      </c>
      <c r="C7" s="217">
        <v>49</v>
      </c>
      <c r="D7" s="217" t="s">
        <v>138</v>
      </c>
    </row>
    <row r="8" spans="1:4">
      <c r="A8" s="424">
        <v>5</v>
      </c>
      <c r="B8" s="222" t="s">
        <v>200</v>
      </c>
      <c r="C8" s="221">
        <v>50</v>
      </c>
      <c r="D8" s="221" t="s">
        <v>138</v>
      </c>
    </row>
    <row r="9" spans="1:4">
      <c r="A9" s="425">
        <v>6</v>
      </c>
      <c r="B9" s="218" t="s">
        <v>201</v>
      </c>
      <c r="C9" s="217">
        <v>51</v>
      </c>
      <c r="D9" s="217" t="s">
        <v>138</v>
      </c>
    </row>
    <row r="10" spans="1:4">
      <c r="A10" s="424">
        <v>7</v>
      </c>
      <c r="B10" s="222" t="s">
        <v>593</v>
      </c>
      <c r="C10" s="221">
        <v>51</v>
      </c>
      <c r="D10" s="221" t="s">
        <v>137</v>
      </c>
    </row>
    <row r="11" spans="1:4">
      <c r="A11" s="425">
        <v>8</v>
      </c>
      <c r="B11" s="216" t="s">
        <v>156</v>
      </c>
      <c r="C11" s="217">
        <v>52</v>
      </c>
      <c r="D11" s="217" t="s">
        <v>137</v>
      </c>
    </row>
    <row r="12" spans="1:4">
      <c r="A12" s="424">
        <v>9</v>
      </c>
      <c r="B12" s="222" t="s">
        <v>814</v>
      </c>
      <c r="C12" s="221">
        <v>52</v>
      </c>
      <c r="D12" s="221" t="s">
        <v>137</v>
      </c>
    </row>
    <row r="13" spans="1:4">
      <c r="A13" s="425">
        <v>10</v>
      </c>
      <c r="B13" s="223" t="s">
        <v>157</v>
      </c>
      <c r="C13" s="217">
        <v>53</v>
      </c>
      <c r="D13" s="217" t="s">
        <v>137</v>
      </c>
    </row>
    <row r="14" spans="1:4">
      <c r="A14" s="424">
        <v>11</v>
      </c>
      <c r="B14" s="222" t="s">
        <v>158</v>
      </c>
      <c r="C14" s="221">
        <v>54</v>
      </c>
      <c r="D14" s="221" t="s">
        <v>137</v>
      </c>
    </row>
    <row r="15" spans="1:4">
      <c r="A15" s="425">
        <v>12</v>
      </c>
      <c r="B15" s="216" t="s">
        <v>809</v>
      </c>
      <c r="C15" s="217">
        <v>54</v>
      </c>
      <c r="D15" s="217" t="s">
        <v>138</v>
      </c>
    </row>
    <row r="16" spans="1:4">
      <c r="A16" s="424">
        <v>13</v>
      </c>
      <c r="B16" s="222" t="s">
        <v>808</v>
      </c>
      <c r="C16" s="221">
        <v>55</v>
      </c>
      <c r="D16" s="221" t="s">
        <v>137</v>
      </c>
    </row>
    <row r="17" spans="1:64">
      <c r="A17" s="425">
        <v>14</v>
      </c>
      <c r="B17" s="216" t="s">
        <v>807</v>
      </c>
      <c r="C17" s="217">
        <v>55</v>
      </c>
      <c r="D17" s="220" t="s">
        <v>137</v>
      </c>
    </row>
    <row r="18" spans="1:64">
      <c r="A18" s="424">
        <v>15</v>
      </c>
      <c r="B18" s="222" t="s">
        <v>159</v>
      </c>
      <c r="C18" s="221">
        <v>56</v>
      </c>
      <c r="D18" s="224" t="s">
        <v>137</v>
      </c>
    </row>
    <row r="19" spans="1:64">
      <c r="A19" s="425">
        <v>16</v>
      </c>
      <c r="B19" s="216" t="s">
        <v>815</v>
      </c>
      <c r="C19" s="217">
        <v>57</v>
      </c>
      <c r="D19" s="220" t="s">
        <v>137</v>
      </c>
    </row>
    <row r="20" spans="1:64">
      <c r="A20" s="424">
        <v>17</v>
      </c>
      <c r="B20" s="222" t="s">
        <v>570</v>
      </c>
      <c r="C20" s="221">
        <v>60</v>
      </c>
      <c r="D20" s="224" t="s">
        <v>137</v>
      </c>
    </row>
    <row r="21" spans="1:64">
      <c r="A21" s="425">
        <v>18</v>
      </c>
      <c r="B21" s="460" t="s">
        <v>568</v>
      </c>
      <c r="C21" s="217">
        <v>61</v>
      </c>
      <c r="D21" s="220" t="s">
        <v>137</v>
      </c>
    </row>
    <row r="22" spans="1:64">
      <c r="A22" s="424">
        <v>19</v>
      </c>
      <c r="B22" s="461" t="s">
        <v>571</v>
      </c>
      <c r="C22" s="221">
        <v>63</v>
      </c>
      <c r="D22" s="224" t="s">
        <v>137</v>
      </c>
    </row>
    <row r="23" spans="1:64" s="431" customFormat="1">
      <c r="A23" s="426">
        <v>20</v>
      </c>
      <c r="B23" s="462" t="s">
        <v>650</v>
      </c>
      <c r="C23" s="376">
        <v>63</v>
      </c>
      <c r="D23" s="378" t="s">
        <v>137</v>
      </c>
      <c r="E23" s="434"/>
      <c r="F23" s="434"/>
      <c r="G23" s="434"/>
      <c r="H23" s="434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</row>
    <row r="24" spans="1:64">
      <c r="A24" s="424">
        <v>21</v>
      </c>
      <c r="B24" s="222" t="s">
        <v>160</v>
      </c>
      <c r="C24" s="221">
        <v>64</v>
      </c>
      <c r="D24" s="224" t="s">
        <v>137</v>
      </c>
    </row>
    <row r="25" spans="1:64" s="431" customFormat="1">
      <c r="A25" s="426">
        <v>22</v>
      </c>
      <c r="B25" s="377" t="s">
        <v>161</v>
      </c>
      <c r="C25" s="376">
        <v>64</v>
      </c>
      <c r="D25" s="378" t="s">
        <v>137</v>
      </c>
      <c r="E25" s="434"/>
      <c r="F25" s="434"/>
      <c r="G25" s="434"/>
      <c r="H25" s="434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</row>
    <row r="26" spans="1:64">
      <c r="A26" s="424">
        <v>23</v>
      </c>
      <c r="B26" s="222" t="s">
        <v>162</v>
      </c>
      <c r="C26" s="221">
        <v>65</v>
      </c>
      <c r="D26" s="224" t="s">
        <v>137</v>
      </c>
    </row>
    <row r="27" spans="1:64" s="431" customFormat="1">
      <c r="A27" s="426">
        <v>24</v>
      </c>
      <c r="B27" s="377" t="s">
        <v>147</v>
      </c>
      <c r="C27" s="376">
        <v>65</v>
      </c>
      <c r="D27" s="378" t="s">
        <v>137</v>
      </c>
      <c r="E27" s="434"/>
      <c r="F27" s="434"/>
      <c r="G27" s="434"/>
      <c r="H27" s="434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</row>
    <row r="28" spans="1:64">
      <c r="A28" s="424">
        <v>25</v>
      </c>
      <c r="B28" s="222" t="s">
        <v>148</v>
      </c>
      <c r="C28" s="221">
        <v>66</v>
      </c>
      <c r="D28" s="224" t="s">
        <v>137</v>
      </c>
    </row>
    <row r="29" spans="1:64" s="431" customFormat="1">
      <c r="A29" s="426">
        <v>26</v>
      </c>
      <c r="B29" s="377" t="s">
        <v>163</v>
      </c>
      <c r="C29" s="376">
        <v>66</v>
      </c>
      <c r="D29" s="378" t="s">
        <v>137</v>
      </c>
      <c r="E29" s="434"/>
      <c r="F29" s="434"/>
      <c r="G29" s="434"/>
      <c r="H29" s="434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spans="1:64">
      <c r="A30" s="424">
        <v>27</v>
      </c>
      <c r="B30" s="222" t="s">
        <v>164</v>
      </c>
      <c r="C30" s="221">
        <v>66</v>
      </c>
      <c r="D30" s="224" t="s">
        <v>137</v>
      </c>
    </row>
    <row r="31" spans="1:64">
      <c r="A31" s="426">
        <v>28</v>
      </c>
      <c r="B31" s="377" t="s">
        <v>536</v>
      </c>
      <c r="C31" s="378"/>
      <c r="D31" s="378" t="s">
        <v>138</v>
      </c>
    </row>
    <row r="32" spans="1:64" s="431" customFormat="1" ht="12.75" customHeight="1">
      <c r="A32" s="424">
        <v>29</v>
      </c>
      <c r="B32" s="222" t="s">
        <v>597</v>
      </c>
      <c r="C32" s="224"/>
      <c r="D32" s="224" t="s">
        <v>138</v>
      </c>
      <c r="E32" s="434"/>
      <c r="F32" s="434"/>
      <c r="G32" s="434"/>
      <c r="H32" s="434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</row>
    <row r="33" spans="1:64">
      <c r="A33" s="426">
        <v>30</v>
      </c>
      <c r="B33" s="377" t="s">
        <v>548</v>
      </c>
      <c r="C33" s="378"/>
      <c r="D33" s="378" t="s">
        <v>138</v>
      </c>
    </row>
    <row r="34" spans="1:64" s="431" customFormat="1">
      <c r="A34" s="424">
        <v>31</v>
      </c>
      <c r="B34" s="222" t="s">
        <v>530</v>
      </c>
      <c r="C34" s="224"/>
      <c r="D34" s="224" t="s">
        <v>138</v>
      </c>
      <c r="E34" s="377"/>
      <c r="F34" s="378"/>
      <c r="G34" s="378"/>
      <c r="H34" s="378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</row>
    <row r="35" spans="1:64" s="431" customFormat="1" ht="12.75" customHeight="1">
      <c r="A35" s="426">
        <v>32</v>
      </c>
      <c r="B35" s="377" t="s">
        <v>678</v>
      </c>
      <c r="C35" s="378"/>
      <c r="D35" s="378" t="s">
        <v>138</v>
      </c>
      <c r="E35" s="434"/>
      <c r="F35" s="434"/>
      <c r="G35" s="434"/>
      <c r="H35" s="434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</row>
    <row r="36" spans="1:64" s="431" customFormat="1">
      <c r="A36" s="424">
        <v>33</v>
      </c>
      <c r="B36" s="222" t="s">
        <v>847</v>
      </c>
      <c r="C36" s="224"/>
      <c r="D36" s="224" t="s">
        <v>137</v>
      </c>
      <c r="E36" s="377"/>
      <c r="F36" s="378"/>
      <c r="G36" s="378"/>
      <c r="H36" s="378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</row>
    <row r="41" spans="1:64">
      <c r="B41" s="216"/>
    </row>
  </sheetData>
  <phoneticPr fontId="10" type="noConversion"/>
  <hyperlinks>
    <hyperlink ref="A4" location="'1'!A1" display="'1'!A1" xr:uid="{00000000-0004-0000-0000-000000000000}"/>
    <hyperlink ref="A5" location="'2'!A1" display="'2'!A1" xr:uid="{00000000-0004-0000-0000-000001000000}"/>
    <hyperlink ref="A6" location="'3'!A1" display="'3'!A1" xr:uid="{00000000-0004-0000-0000-000002000000}"/>
    <hyperlink ref="A7" location="'4'!A1" display="'4'!A1" xr:uid="{00000000-0004-0000-0000-000003000000}"/>
    <hyperlink ref="A8" location="'5'!A1" display="'5'!A1" xr:uid="{00000000-0004-0000-0000-000004000000}"/>
    <hyperlink ref="A9" location="'6'!A1" display="'6'!A1" xr:uid="{00000000-0004-0000-0000-000005000000}"/>
    <hyperlink ref="A10" location="'7'!A1" display="'7'!A1" xr:uid="{00000000-0004-0000-0000-000006000000}"/>
    <hyperlink ref="A11" location="'8'!A1" display="'8'!A1" xr:uid="{00000000-0004-0000-0000-000007000000}"/>
    <hyperlink ref="A12" location="'9'!A1" display="'9'!A1" xr:uid="{00000000-0004-0000-0000-000008000000}"/>
    <hyperlink ref="A13" location="'10'!A1" display="'10'!A1" xr:uid="{00000000-0004-0000-0000-000009000000}"/>
    <hyperlink ref="A14" location="'11'!A1" display="'11'!A1" xr:uid="{00000000-0004-0000-0000-00000A000000}"/>
    <hyperlink ref="A15" location="'12'!A1" display="'12'!A1" xr:uid="{00000000-0004-0000-0000-00000B000000}"/>
    <hyperlink ref="A16" location="'13'!A1" display="'13'!A1" xr:uid="{00000000-0004-0000-0000-00000C000000}"/>
    <hyperlink ref="A17" location="'14'!A1" display="'14'!A1" xr:uid="{00000000-0004-0000-0000-00000D000000}"/>
    <hyperlink ref="A18" location="'15'!A1" display="'15'!A1" xr:uid="{00000000-0004-0000-0000-00000E000000}"/>
    <hyperlink ref="A19" location="'16'!A1" display="'16'!A1" xr:uid="{00000000-0004-0000-0000-00000F000000}"/>
    <hyperlink ref="A20" location="'17'!A1" display="'17'!A1" xr:uid="{00000000-0004-0000-0000-000010000000}"/>
    <hyperlink ref="A21" location="'18'!A1" display="'18'!A1" xr:uid="{00000000-0004-0000-0000-000011000000}"/>
    <hyperlink ref="A22" location="'19'!A1" display="'19'!A1" xr:uid="{00000000-0004-0000-0000-000012000000}"/>
    <hyperlink ref="A24" location="'21'!A1" display="'21'!A1" xr:uid="{00000000-0004-0000-0000-000013000000}"/>
    <hyperlink ref="A25" location="'22'!A1" display="'22'!A1" xr:uid="{00000000-0004-0000-0000-000014000000}"/>
    <hyperlink ref="A26" location="'23'!A1" display="'23'!A1" xr:uid="{00000000-0004-0000-0000-000015000000}"/>
    <hyperlink ref="A27" location="'24'!A1" display="'24'!A1" xr:uid="{00000000-0004-0000-0000-000016000000}"/>
    <hyperlink ref="A28" location="'25'!A1" display="'25'!A1" xr:uid="{00000000-0004-0000-0000-000017000000}"/>
    <hyperlink ref="A29" location="'26'!A1" display="'26'!A1" xr:uid="{00000000-0004-0000-0000-000018000000}"/>
    <hyperlink ref="A30" location="'27'!A1" display="'27'!A1" xr:uid="{00000000-0004-0000-0000-000019000000}"/>
    <hyperlink ref="A31" location="'28'!A1" display="'28'!A1" xr:uid="{00000000-0004-0000-0000-00001A000000}"/>
    <hyperlink ref="A32" location="'29'!A1" display="'29'!A1" xr:uid="{00000000-0004-0000-0000-00001B000000}"/>
    <hyperlink ref="A33" location="'30'!A1" display="'30'!A1" xr:uid="{00000000-0004-0000-0000-00001C000000}"/>
    <hyperlink ref="A34" location="'31'!A1" display="'31'!A1" xr:uid="{00000000-0004-0000-0000-00001D000000}"/>
    <hyperlink ref="A23" location="'20'!A1" display="'20'!A1" xr:uid="{00000000-0004-0000-0000-00001E000000}"/>
    <hyperlink ref="A35" location="'32'!A1" display="'32'!A1" xr:uid="{00000000-0004-0000-0000-00001F000000}"/>
    <hyperlink ref="A36" location="'33'!A1" display="'33'!A1" xr:uid="{4A1B653F-5BFF-4762-86B0-6893FA6F67D2}"/>
  </hyperlinks>
  <pageMargins left="0.70866141732283472" right="0.70866141732283472" top="0.78740157480314965" bottom="0.78740157480314965" header="0.31496062992125984" footer="0.31496062992125984"/>
  <pageSetup paperSize="9" scale="63" orientation="landscape" r:id="rId1"/>
  <headerFooter>
    <oddHeader>&amp;R&amp;"Calibri"&amp;12&amp;KFF9100F O R T R O L I G&amp;1#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4">
    <pageSetUpPr fitToPage="1"/>
  </sheetPr>
  <dimension ref="A1:F39"/>
  <sheetViews>
    <sheetView showGridLines="0" workbookViewId="0">
      <selection activeCell="F45" sqref="F45"/>
    </sheetView>
  </sheetViews>
  <sheetFormatPr baseColWidth="10" defaultColWidth="11" defaultRowHeight="12"/>
  <cols>
    <col min="1" max="1" width="30.5" style="247" bestFit="1" customWidth="1"/>
    <col min="2" max="2" width="13" style="247" bestFit="1" customWidth="1"/>
    <col min="3" max="3" width="27.875" style="247" customWidth="1"/>
    <col min="4" max="4" width="11" style="18"/>
    <col min="5" max="5" width="15.625" style="18" customWidth="1"/>
    <col min="6" max="16384" width="11" style="18"/>
  </cols>
  <sheetData>
    <row r="1" spans="1:3" ht="21">
      <c r="A1" s="685" t="s">
        <v>841</v>
      </c>
      <c r="B1" s="685"/>
      <c r="C1" s="685"/>
    </row>
    <row r="2" spans="1:3">
      <c r="A2" s="143" t="s">
        <v>117</v>
      </c>
      <c r="B2" s="248"/>
      <c r="C2" s="248"/>
    </row>
    <row r="3" spans="1:3" s="267" customFormat="1">
      <c r="A3" s="143"/>
      <c r="B3" s="248"/>
      <c r="C3" s="248"/>
    </row>
    <row r="4" spans="1:3" s="267" customFormat="1" ht="24.75" thickBot="1">
      <c r="A4" s="779">
        <v>2019</v>
      </c>
      <c r="B4" s="263" t="s">
        <v>130</v>
      </c>
      <c r="C4" s="781" t="s">
        <v>131</v>
      </c>
    </row>
    <row r="5" spans="1:3" s="267" customFormat="1">
      <c r="A5" s="267" t="s">
        <v>19</v>
      </c>
      <c r="B5" s="782">
        <v>100659</v>
      </c>
      <c r="C5" s="782">
        <f>+(B5+B18)/2</f>
        <v>99239.5</v>
      </c>
    </row>
    <row r="6" spans="1:3" s="267" customFormat="1">
      <c r="A6" s="267" t="s">
        <v>20</v>
      </c>
      <c r="B6" s="782">
        <v>138577</v>
      </c>
      <c r="C6" s="782">
        <f>+(B6+B19)/2</f>
        <v>132820.5</v>
      </c>
    </row>
    <row r="7" spans="1:3" s="267" customFormat="1">
      <c r="A7" s="84" t="s">
        <v>21</v>
      </c>
      <c r="B7" s="783">
        <f>SUM(B5:B6)</f>
        <v>239236</v>
      </c>
      <c r="C7" s="783">
        <f>SUM(C5:C6)</f>
        <v>232060</v>
      </c>
    </row>
    <row r="8" spans="1:3" s="267" customFormat="1">
      <c r="A8" s="267" t="s">
        <v>740</v>
      </c>
      <c r="B8" s="784">
        <v>-1426</v>
      </c>
      <c r="C8" s="785">
        <f>+(B8+B21)/2</f>
        <v>-1326.5</v>
      </c>
    </row>
    <row r="9" spans="1:3" s="267" customFormat="1">
      <c r="A9" s="267" t="s">
        <v>741</v>
      </c>
      <c r="B9" s="782">
        <v>-130</v>
      </c>
      <c r="C9" s="785">
        <f>+(B9+B22)/2</f>
        <v>-118.5</v>
      </c>
    </row>
    <row r="10" spans="1:3" s="267" customFormat="1">
      <c r="A10" s="84" t="s">
        <v>22</v>
      </c>
      <c r="B10" s="783">
        <f>+B7+B8+B9</f>
        <v>237680</v>
      </c>
      <c r="C10" s="786">
        <f>SUM(C7:C9)</f>
        <v>230615</v>
      </c>
    </row>
    <row r="11" spans="1:3" s="267" customFormat="1">
      <c r="B11" s="787"/>
      <c r="C11" s="788"/>
    </row>
    <row r="12" spans="1:3" s="267" customFormat="1">
      <c r="A12" s="267" t="s">
        <v>23</v>
      </c>
      <c r="B12" s="782">
        <v>11</v>
      </c>
      <c r="C12" s="785">
        <f>+(B12+B25)/2</f>
        <v>364</v>
      </c>
    </row>
    <row r="13" spans="1:3" s="267" customFormat="1">
      <c r="A13" s="267" t="s">
        <v>24</v>
      </c>
      <c r="B13" s="782">
        <v>3142</v>
      </c>
      <c r="C13" s="785">
        <f>+(B13+B26)/2</f>
        <v>2419</v>
      </c>
    </row>
    <row r="14" spans="1:3" s="267" customFormat="1">
      <c r="A14" s="84" t="s">
        <v>25</v>
      </c>
      <c r="B14" s="786">
        <f>SUM(B10:B13)</f>
        <v>240833</v>
      </c>
      <c r="C14" s="786">
        <f>SUM(C10:C13)</f>
        <v>233398</v>
      </c>
    </row>
    <row r="15" spans="1:3" s="267" customFormat="1">
      <c r="A15" s="22"/>
      <c r="B15" s="788"/>
      <c r="C15" s="788"/>
    </row>
    <row r="16" spans="1:3" s="267" customFormat="1">
      <c r="A16" s="22"/>
      <c r="B16" s="788"/>
      <c r="C16" s="788"/>
    </row>
    <row r="17" spans="1:6" ht="24.75" thickBot="1">
      <c r="A17" s="779">
        <v>2018</v>
      </c>
      <c r="B17" s="263" t="s">
        <v>130</v>
      </c>
      <c r="C17" s="781" t="s">
        <v>131</v>
      </c>
    </row>
    <row r="18" spans="1:6" ht="13.5" customHeight="1">
      <c r="A18" s="267" t="s">
        <v>19</v>
      </c>
      <c r="B18" s="782">
        <v>97820</v>
      </c>
      <c r="C18" s="782">
        <v>92436</v>
      </c>
    </row>
    <row r="19" spans="1:6">
      <c r="A19" s="267" t="s">
        <v>20</v>
      </c>
      <c r="B19" s="782">
        <v>127064</v>
      </c>
      <c r="C19" s="782">
        <v>122199</v>
      </c>
    </row>
    <row r="20" spans="1:6">
      <c r="A20" s="178" t="s">
        <v>21</v>
      </c>
      <c r="B20" s="789">
        <f>SUM(B18:B19)</f>
        <v>224884</v>
      </c>
      <c r="C20" s="789">
        <f>C18+C19</f>
        <v>214635</v>
      </c>
    </row>
    <row r="21" spans="1:6">
      <c r="A21" s="267" t="s">
        <v>740</v>
      </c>
      <c r="B21" s="70">
        <v>-1227</v>
      </c>
      <c r="C21" s="785">
        <v>-933</v>
      </c>
    </row>
    <row r="22" spans="1:6">
      <c r="A22" s="267" t="s">
        <v>741</v>
      </c>
      <c r="B22" s="785">
        <v>-107</v>
      </c>
      <c r="C22" s="785">
        <v>-393</v>
      </c>
    </row>
    <row r="23" spans="1:6">
      <c r="A23" s="178" t="s">
        <v>22</v>
      </c>
      <c r="B23" s="790">
        <f>+B20+B21+B22</f>
        <v>223550</v>
      </c>
      <c r="C23" s="790">
        <f>+C20+C21+C22</f>
        <v>213309</v>
      </c>
    </row>
    <row r="24" spans="1:6">
      <c r="A24" s="267"/>
      <c r="B24" s="788"/>
      <c r="C24" s="788"/>
    </row>
    <row r="25" spans="1:6">
      <c r="A25" s="267" t="s">
        <v>23</v>
      </c>
      <c r="B25" s="785">
        <v>717</v>
      </c>
      <c r="C25" s="785">
        <v>462</v>
      </c>
      <c r="F25" s="22"/>
    </row>
    <row r="26" spans="1:6">
      <c r="A26" s="267" t="s">
        <v>24</v>
      </c>
      <c r="B26" s="785">
        <v>1696</v>
      </c>
      <c r="C26" s="785">
        <v>1652</v>
      </c>
    </row>
    <row r="27" spans="1:6">
      <c r="A27" s="178" t="s">
        <v>25</v>
      </c>
      <c r="B27" s="790">
        <f>SUM(B23:B26)</f>
        <v>225963</v>
      </c>
      <c r="C27" s="790">
        <f>SUM(C23:C26)</f>
        <v>215423</v>
      </c>
    </row>
    <row r="28" spans="1:6">
      <c r="A28" s="267"/>
      <c r="B28" s="267"/>
      <c r="C28" s="267"/>
    </row>
    <row r="29" spans="1:6">
      <c r="A29" s="267"/>
      <c r="B29" s="267"/>
      <c r="C29" s="267"/>
    </row>
    <row r="32" spans="1:6">
      <c r="A32" s="267" t="s">
        <v>842</v>
      </c>
    </row>
    <row r="33" spans="1:1">
      <c r="A33" s="267" t="s">
        <v>843</v>
      </c>
    </row>
    <row r="39" spans="1:1">
      <c r="A39" s="147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1" max="1048575" man="1"/>
  </colBreaks>
  <ignoredErrors>
    <ignoredError sqref="C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6">
    <pageSetUpPr fitToPage="1"/>
  </sheetPr>
  <dimension ref="A1:H36"/>
  <sheetViews>
    <sheetView zoomScaleNormal="100" workbookViewId="0">
      <selection activeCell="F45" sqref="F45"/>
    </sheetView>
  </sheetViews>
  <sheetFormatPr baseColWidth="10" defaultColWidth="11" defaultRowHeight="12"/>
  <cols>
    <col min="1" max="1" width="29.875" style="18" customWidth="1"/>
    <col min="2" max="2" width="2.75" style="18" customWidth="1"/>
    <col min="3" max="3" width="7.625" style="18" customWidth="1"/>
    <col min="4" max="4" width="9.5" style="18" customWidth="1"/>
    <col min="5" max="5" width="7.625" style="18" customWidth="1"/>
    <col min="6" max="6" width="7.625" style="15" customWidth="1"/>
    <col min="7" max="7" width="11" style="18"/>
    <col min="8" max="8" width="21.25" style="18" customWidth="1"/>
    <col min="9" max="16384" width="11" style="18"/>
  </cols>
  <sheetData>
    <row r="1" spans="1:6" ht="21">
      <c r="A1" s="685" t="s">
        <v>144</v>
      </c>
      <c r="B1" s="250"/>
      <c r="C1" s="255"/>
      <c r="D1" s="250"/>
      <c r="E1" s="250"/>
    </row>
    <row r="2" spans="1:6" s="267" customFormat="1">
      <c r="A2" s="250" t="s">
        <v>117</v>
      </c>
      <c r="B2" s="390"/>
      <c r="C2" s="100"/>
      <c r="D2" s="390"/>
      <c r="E2" s="390"/>
      <c r="F2" s="15"/>
    </row>
    <row r="3" spans="1:6">
      <c r="B3" s="250"/>
      <c r="C3" s="60"/>
      <c r="D3" s="80"/>
      <c r="E3" s="80"/>
    </row>
    <row r="4" spans="1:6" s="267" customFormat="1" ht="36.75" thickBot="1">
      <c r="A4" s="779">
        <v>2019</v>
      </c>
      <c r="B4" s="138"/>
      <c r="C4" s="138" t="s">
        <v>129</v>
      </c>
      <c r="D4" s="263" t="s">
        <v>116</v>
      </c>
      <c r="E4" s="138" t="s">
        <v>5</v>
      </c>
      <c r="F4" s="15"/>
    </row>
    <row r="5" spans="1:6" s="267" customFormat="1">
      <c r="A5" s="267" t="s">
        <v>742</v>
      </c>
      <c r="B5" s="791"/>
      <c r="C5" s="792">
        <v>2508</v>
      </c>
      <c r="D5" s="413">
        <v>905</v>
      </c>
      <c r="E5" s="413">
        <f>+C5+D5</f>
        <v>3413</v>
      </c>
      <c r="F5" s="15"/>
    </row>
    <row r="6" spans="1:6" s="267" customFormat="1">
      <c r="A6" s="267" t="s">
        <v>33</v>
      </c>
      <c r="B6" s="791"/>
      <c r="C6" s="792">
        <v>3043</v>
      </c>
      <c r="D6" s="413">
        <v>1107</v>
      </c>
      <c r="E6" s="413">
        <f t="shared" ref="E6:E15" si="0">+C6+D6</f>
        <v>4150</v>
      </c>
      <c r="F6" s="15"/>
    </row>
    <row r="7" spans="1:6" s="267" customFormat="1">
      <c r="A7" s="267" t="s">
        <v>743</v>
      </c>
      <c r="B7" s="791"/>
      <c r="C7" s="792">
        <v>5324</v>
      </c>
      <c r="D7" s="413">
        <v>951</v>
      </c>
      <c r="E7" s="413">
        <f t="shared" si="0"/>
        <v>6275</v>
      </c>
      <c r="F7" s="15"/>
    </row>
    <row r="8" spans="1:6" s="267" customFormat="1">
      <c r="A8" s="267" t="s">
        <v>35</v>
      </c>
      <c r="B8" s="791"/>
      <c r="C8" s="792">
        <v>11326</v>
      </c>
      <c r="D8" s="413">
        <v>3379</v>
      </c>
      <c r="E8" s="413">
        <f t="shared" si="0"/>
        <v>14705</v>
      </c>
      <c r="F8" s="15"/>
    </row>
    <row r="9" spans="1:6" s="267" customFormat="1">
      <c r="A9" s="267" t="s">
        <v>34</v>
      </c>
      <c r="B9" s="791"/>
      <c r="C9" s="792">
        <v>3460</v>
      </c>
      <c r="D9" s="413">
        <v>1433</v>
      </c>
      <c r="E9" s="413">
        <f t="shared" si="0"/>
        <v>4893</v>
      </c>
      <c r="F9" s="15"/>
    </row>
    <row r="10" spans="1:6" s="267" customFormat="1">
      <c r="A10" s="267" t="s">
        <v>744</v>
      </c>
      <c r="B10" s="791"/>
      <c r="C10" s="792">
        <v>3921</v>
      </c>
      <c r="D10" s="413">
        <v>1564</v>
      </c>
      <c r="E10" s="413">
        <f t="shared" si="0"/>
        <v>5485</v>
      </c>
      <c r="F10" s="15"/>
    </row>
    <row r="11" spans="1:6" s="267" customFormat="1">
      <c r="A11" s="267" t="s">
        <v>745</v>
      </c>
      <c r="B11" s="791"/>
      <c r="C11" s="792">
        <v>4116</v>
      </c>
      <c r="D11" s="413">
        <v>1385</v>
      </c>
      <c r="E11" s="413">
        <f t="shared" si="0"/>
        <v>5501</v>
      </c>
      <c r="F11" s="15"/>
    </row>
    <row r="12" spans="1:6" s="267" customFormat="1">
      <c r="A12" s="267" t="s">
        <v>746</v>
      </c>
      <c r="B12" s="791"/>
      <c r="C12" s="792">
        <v>841</v>
      </c>
      <c r="D12" s="413">
        <v>272</v>
      </c>
      <c r="E12" s="413">
        <f t="shared" si="0"/>
        <v>1113</v>
      </c>
      <c r="F12" s="15"/>
    </row>
    <row r="13" spans="1:6" s="267" customFormat="1">
      <c r="A13" s="267" t="s">
        <v>747</v>
      </c>
      <c r="B13" s="791"/>
      <c r="C13" s="792">
        <v>33668</v>
      </c>
      <c r="D13" s="413">
        <v>3247</v>
      </c>
      <c r="E13" s="413">
        <f t="shared" si="0"/>
        <v>36915</v>
      </c>
      <c r="F13" s="15"/>
    </row>
    <row r="14" spans="1:6" s="267" customFormat="1">
      <c r="A14" s="267" t="s">
        <v>748</v>
      </c>
      <c r="B14" s="791"/>
      <c r="C14" s="792">
        <v>12111</v>
      </c>
      <c r="D14" s="413">
        <v>3079</v>
      </c>
      <c r="E14" s="413">
        <f t="shared" si="0"/>
        <v>15190</v>
      </c>
      <c r="F14" s="15"/>
    </row>
    <row r="15" spans="1:6" s="267" customFormat="1">
      <c r="A15" s="267" t="s">
        <v>36</v>
      </c>
      <c r="B15" s="791"/>
      <c r="C15" s="792">
        <v>2404</v>
      </c>
      <c r="D15" s="413">
        <v>908</v>
      </c>
      <c r="E15" s="413">
        <f t="shared" si="0"/>
        <v>3312</v>
      </c>
      <c r="F15" s="15"/>
    </row>
    <row r="16" spans="1:6" s="267" customFormat="1">
      <c r="A16" s="267" t="s">
        <v>37</v>
      </c>
      <c r="B16" s="791"/>
      <c r="C16" s="201">
        <f>SUM(C5:C15)</f>
        <v>82722</v>
      </c>
      <c r="D16" s="562">
        <f t="shared" ref="D16:E16" si="1">SUM(D5:D15)</f>
        <v>18230</v>
      </c>
      <c r="E16" s="562">
        <f t="shared" si="1"/>
        <v>100952</v>
      </c>
      <c r="F16" s="15"/>
    </row>
    <row r="17" spans="1:8" s="267" customFormat="1">
      <c r="A17" s="149" t="s">
        <v>20</v>
      </c>
      <c r="B17" s="793"/>
      <c r="C17" s="414">
        <v>124392</v>
      </c>
      <c r="D17" s="413">
        <v>13892</v>
      </c>
      <c r="E17" s="794">
        <f>C17+D17</f>
        <v>138284</v>
      </c>
      <c r="F17" s="15"/>
    </row>
    <row r="18" spans="1:8" s="267" customFormat="1">
      <c r="A18" s="178" t="s">
        <v>32</v>
      </c>
      <c r="B18" s="87"/>
      <c r="C18" s="563">
        <f>SUM(C16:C17)</f>
        <v>207114</v>
      </c>
      <c r="D18" s="795">
        <f t="shared" ref="D18:E18" si="2">SUM(D16:D17)</f>
        <v>32122</v>
      </c>
      <c r="E18" s="564">
        <f t="shared" si="2"/>
        <v>239236</v>
      </c>
      <c r="F18" s="15"/>
      <c r="H18" s="201"/>
    </row>
    <row r="19" spans="1:8" s="267" customFormat="1">
      <c r="B19" s="411"/>
      <c r="C19" s="60"/>
      <c r="D19" s="80"/>
      <c r="E19" s="80"/>
      <c r="F19" s="15"/>
    </row>
    <row r="20" spans="1:8" s="267" customFormat="1">
      <c r="B20" s="780"/>
      <c r="C20" s="60"/>
      <c r="D20" s="80"/>
      <c r="E20" s="80"/>
      <c r="F20" s="15"/>
    </row>
    <row r="21" spans="1:8" s="267" customFormat="1">
      <c r="B21" s="411"/>
      <c r="C21" s="60"/>
      <c r="D21" s="80"/>
      <c r="E21" s="80"/>
      <c r="F21" s="15"/>
    </row>
    <row r="22" spans="1:8" ht="36.75" thickBot="1">
      <c r="A22" s="779">
        <v>2018</v>
      </c>
      <c r="B22" s="138"/>
      <c r="C22" s="138" t="s">
        <v>129</v>
      </c>
      <c r="D22" s="263" t="s">
        <v>116</v>
      </c>
      <c r="E22" s="138" t="s">
        <v>5</v>
      </c>
      <c r="F22" s="60"/>
      <c r="G22" s="60"/>
    </row>
    <row r="23" spans="1:8">
      <c r="A23" s="267" t="s">
        <v>742</v>
      </c>
      <c r="B23" s="791"/>
      <c r="C23" s="792">
        <v>1709</v>
      </c>
      <c r="D23" s="413">
        <v>208</v>
      </c>
      <c r="E23" s="413">
        <f>C23+D23</f>
        <v>1917</v>
      </c>
      <c r="F23" s="105"/>
      <c r="G23" s="15"/>
    </row>
    <row r="24" spans="1:8">
      <c r="A24" s="267" t="s">
        <v>33</v>
      </c>
      <c r="B24" s="791"/>
      <c r="C24" s="792">
        <v>2951</v>
      </c>
      <c r="D24" s="413">
        <v>1950</v>
      </c>
      <c r="E24" s="413">
        <f t="shared" ref="E24:E33" si="3">C24+D24</f>
        <v>4901</v>
      </c>
      <c r="F24" s="105"/>
    </row>
    <row r="25" spans="1:8">
      <c r="A25" s="267" t="s">
        <v>743</v>
      </c>
      <c r="B25" s="791"/>
      <c r="C25" s="792">
        <v>5183</v>
      </c>
      <c r="D25" s="413">
        <v>777</v>
      </c>
      <c r="E25" s="413">
        <f t="shared" si="3"/>
        <v>5960</v>
      </c>
      <c r="F25" s="105"/>
    </row>
    <row r="26" spans="1:8">
      <c r="A26" s="267" t="s">
        <v>35</v>
      </c>
      <c r="B26" s="791"/>
      <c r="C26" s="792">
        <v>11943</v>
      </c>
      <c r="D26" s="413">
        <v>3005</v>
      </c>
      <c r="E26" s="413">
        <f t="shared" si="3"/>
        <v>14948</v>
      </c>
      <c r="F26" s="105"/>
      <c r="H26" s="22"/>
    </row>
    <row r="27" spans="1:8">
      <c r="A27" s="267" t="s">
        <v>34</v>
      </c>
      <c r="B27" s="791"/>
      <c r="C27" s="792">
        <v>3111</v>
      </c>
      <c r="D27" s="413">
        <v>1679</v>
      </c>
      <c r="E27" s="413">
        <f t="shared" si="3"/>
        <v>4790</v>
      </c>
      <c r="F27" s="105"/>
    </row>
    <row r="28" spans="1:8">
      <c r="A28" s="267" t="s">
        <v>744</v>
      </c>
      <c r="B28" s="791"/>
      <c r="C28" s="792">
        <v>3098</v>
      </c>
      <c r="D28" s="413">
        <v>2492</v>
      </c>
      <c r="E28" s="413">
        <f t="shared" si="3"/>
        <v>5590</v>
      </c>
      <c r="F28" s="105"/>
    </row>
    <row r="29" spans="1:8">
      <c r="A29" s="267" t="s">
        <v>745</v>
      </c>
      <c r="B29" s="791"/>
      <c r="C29" s="792">
        <v>3833</v>
      </c>
      <c r="D29" s="413">
        <v>1728</v>
      </c>
      <c r="E29" s="413">
        <f t="shared" si="3"/>
        <v>5561</v>
      </c>
      <c r="F29" s="105"/>
    </row>
    <row r="30" spans="1:8">
      <c r="A30" s="267" t="s">
        <v>746</v>
      </c>
      <c r="B30" s="791"/>
      <c r="C30" s="792">
        <v>683</v>
      </c>
      <c r="D30" s="413">
        <v>95</v>
      </c>
      <c r="E30" s="413">
        <f t="shared" si="3"/>
        <v>778</v>
      </c>
      <c r="F30" s="105"/>
    </row>
    <row r="31" spans="1:8">
      <c r="A31" s="267" t="s">
        <v>747</v>
      </c>
      <c r="B31" s="791"/>
      <c r="C31" s="792">
        <v>31657</v>
      </c>
      <c r="D31" s="413">
        <v>3193</v>
      </c>
      <c r="E31" s="413">
        <f t="shared" si="3"/>
        <v>34850</v>
      </c>
      <c r="F31" s="105"/>
    </row>
    <row r="32" spans="1:8">
      <c r="A32" s="267" t="s">
        <v>748</v>
      </c>
      <c r="B32" s="791"/>
      <c r="C32" s="792">
        <v>12162</v>
      </c>
      <c r="D32" s="413">
        <v>3484</v>
      </c>
      <c r="E32" s="413">
        <f t="shared" si="3"/>
        <v>15646</v>
      </c>
      <c r="F32" s="105"/>
    </row>
    <row r="33" spans="1:8" s="267" customFormat="1">
      <c r="A33" s="267" t="s">
        <v>36</v>
      </c>
      <c r="B33" s="791"/>
      <c r="C33" s="792">
        <v>1896</v>
      </c>
      <c r="D33" s="413">
        <v>982</v>
      </c>
      <c r="E33" s="413">
        <f t="shared" si="3"/>
        <v>2878</v>
      </c>
      <c r="F33" s="105"/>
    </row>
    <row r="34" spans="1:8">
      <c r="A34" s="267" t="s">
        <v>37</v>
      </c>
      <c r="B34" s="791"/>
      <c r="C34" s="201">
        <f>SUM(C23:C33)</f>
        <v>78226</v>
      </c>
      <c r="D34" s="562">
        <f>SUM(D23:D33)</f>
        <v>19593</v>
      </c>
      <c r="E34" s="562">
        <f>SUM(E23:E33)</f>
        <v>97819</v>
      </c>
      <c r="F34" s="105"/>
      <c r="H34" s="214"/>
    </row>
    <row r="35" spans="1:8">
      <c r="A35" s="149" t="s">
        <v>20</v>
      </c>
      <c r="B35" s="793"/>
      <c r="C35" s="414">
        <v>113879</v>
      </c>
      <c r="D35" s="413">
        <v>13186</v>
      </c>
      <c r="E35" s="794">
        <f>C35+D35</f>
        <v>127065</v>
      </c>
      <c r="F35" s="148"/>
      <c r="H35" s="22"/>
    </row>
    <row r="36" spans="1:8">
      <c r="A36" s="178" t="s">
        <v>32</v>
      </c>
      <c r="B36" s="87"/>
      <c r="C36" s="563">
        <f>SUM(C34:C35)</f>
        <v>192105</v>
      </c>
      <c r="D36" s="795">
        <f>SUM(D34:D35)</f>
        <v>32779</v>
      </c>
      <c r="E36" s="564">
        <f>SUM(E34:E35)</f>
        <v>224884</v>
      </c>
      <c r="F36" s="105"/>
      <c r="H36" s="214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&amp;R&amp;"Calibri"&amp;12&amp;KFF9100F O R T R O L I G&amp;1#</oddHeader>
    <oddFooter>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7">
    <pageSetUpPr fitToPage="1"/>
  </sheetPr>
  <dimension ref="A1:S28"/>
  <sheetViews>
    <sheetView zoomScaleNormal="100" workbookViewId="0">
      <selection activeCell="D47" sqref="D47"/>
    </sheetView>
  </sheetViews>
  <sheetFormatPr baseColWidth="10" defaultColWidth="11" defaultRowHeight="12"/>
  <cols>
    <col min="1" max="1" width="23.375" style="18" customWidth="1"/>
    <col min="2" max="2" width="10.125" style="18" bestFit="1" customWidth="1"/>
    <col min="3" max="3" width="11.75" style="18" customWidth="1"/>
    <col min="4" max="4" width="11.5" style="18" customWidth="1"/>
    <col min="5" max="5" width="11.25" style="18" customWidth="1"/>
    <col min="6" max="6" width="12" style="18" customWidth="1"/>
    <col min="7" max="7" width="5.5" style="18" customWidth="1"/>
    <col min="8" max="8" width="21.375" style="18" customWidth="1"/>
    <col min="9" max="16384" width="11" style="18"/>
  </cols>
  <sheetData>
    <row r="1" spans="1:19" ht="21">
      <c r="A1" s="685" t="s">
        <v>145</v>
      </c>
      <c r="B1" s="64"/>
      <c r="C1" s="82"/>
      <c r="D1" s="150"/>
    </row>
    <row r="2" spans="1:19">
      <c r="A2" s="64" t="s">
        <v>117</v>
      </c>
      <c r="B2" s="64"/>
      <c r="C2" s="82"/>
    </row>
    <row r="3" spans="1:19">
      <c r="A3" s="64"/>
      <c r="B3" s="64"/>
      <c r="C3" s="82"/>
    </row>
    <row r="4" spans="1:19" ht="12.75" thickBot="1">
      <c r="A4" s="268">
        <v>2019</v>
      </c>
      <c r="B4" s="552" t="s">
        <v>38</v>
      </c>
      <c r="C4" s="552" t="s">
        <v>39</v>
      </c>
      <c r="D4" s="552" t="s">
        <v>40</v>
      </c>
      <c r="E4" s="552" t="s">
        <v>41</v>
      </c>
      <c r="F4" s="552" t="s">
        <v>5</v>
      </c>
      <c r="G4" s="60"/>
    </row>
    <row r="5" spans="1:19">
      <c r="A5" s="547" t="s">
        <v>129</v>
      </c>
      <c r="B5" s="228">
        <v>16738</v>
      </c>
      <c r="C5" s="228">
        <f>1463+5857</f>
        <v>7320</v>
      </c>
      <c r="D5" s="228">
        <v>46214</v>
      </c>
      <c r="E5" s="228">
        <v>136842</v>
      </c>
      <c r="F5" s="151">
        <f>SUM(B5:E5)</f>
        <v>207114</v>
      </c>
      <c r="G5" s="83"/>
      <c r="I5" s="22"/>
    </row>
    <row r="6" spans="1:19">
      <c r="A6" s="89" t="s">
        <v>30</v>
      </c>
      <c r="B6" s="228">
        <v>22322</v>
      </c>
      <c r="C6" s="228"/>
      <c r="D6" s="228"/>
      <c r="E6" s="228"/>
      <c r="F6" s="151">
        <f>SUM(B6:E6)</f>
        <v>22322</v>
      </c>
      <c r="G6" s="83"/>
      <c r="H6" s="201"/>
    </row>
    <row r="7" spans="1:19">
      <c r="A7" s="550" t="s">
        <v>31</v>
      </c>
      <c r="B7" s="151">
        <v>48</v>
      </c>
      <c r="C7" s="151">
        <v>2438</v>
      </c>
      <c r="D7" s="151">
        <v>6352</v>
      </c>
      <c r="E7" s="151">
        <v>962</v>
      </c>
      <c r="F7" s="476">
        <v>9800</v>
      </c>
      <c r="G7" s="151"/>
      <c r="H7" s="551"/>
      <c r="I7" s="545"/>
    </row>
    <row r="8" spans="1:19">
      <c r="A8" s="553" t="s">
        <v>32</v>
      </c>
      <c r="B8" s="554">
        <f>SUM(B5:B7)</f>
        <v>39108</v>
      </c>
      <c r="C8" s="554">
        <f>SUM(C5:C7)</f>
        <v>9758</v>
      </c>
      <c r="D8" s="554">
        <f>SUM(D5:D7)</f>
        <v>52566</v>
      </c>
      <c r="E8" s="554">
        <f>SUM(E5:E7)</f>
        <v>137804</v>
      </c>
      <c r="F8" s="554">
        <f>SUM(F5:F7)</f>
        <v>239236</v>
      </c>
      <c r="G8" s="139"/>
    </row>
    <row r="9" spans="1:19" ht="8.25" customHeight="1">
      <c r="A9" s="555"/>
      <c r="B9" s="486"/>
      <c r="C9" s="486"/>
      <c r="D9" s="486"/>
      <c r="E9" s="486"/>
      <c r="F9" s="486"/>
      <c r="G9" s="70"/>
    </row>
    <row r="10" spans="1:19">
      <c r="A10" s="89" t="s">
        <v>23</v>
      </c>
      <c r="B10" s="151">
        <v>93</v>
      </c>
      <c r="C10" s="556">
        <v>11</v>
      </c>
      <c r="D10" s="151" t="s">
        <v>90</v>
      </c>
      <c r="E10" s="151" t="s">
        <v>90</v>
      </c>
      <c r="F10" s="151">
        <f>SUM(B10:E10)</f>
        <v>104</v>
      </c>
      <c r="G10" s="83"/>
    </row>
    <row r="11" spans="1:19">
      <c r="A11" s="550" t="s">
        <v>24</v>
      </c>
      <c r="B11" s="523">
        <v>1593</v>
      </c>
      <c r="C11" s="557">
        <v>669</v>
      </c>
      <c r="D11" s="523">
        <v>880</v>
      </c>
      <c r="E11" s="523">
        <v>0</v>
      </c>
      <c r="F11" s="523">
        <f>SUM(B11:E11)</f>
        <v>3142</v>
      </c>
      <c r="G11" s="83"/>
    </row>
    <row r="12" spans="1:19">
      <c r="A12" s="320"/>
      <c r="B12" s="558"/>
      <c r="C12" s="558"/>
      <c r="D12" s="558"/>
      <c r="E12" s="558"/>
      <c r="F12" s="558"/>
    </row>
    <row r="13" spans="1:19" ht="12.75" thickBot="1">
      <c r="A13" s="268">
        <v>2018</v>
      </c>
      <c r="B13" s="552" t="s">
        <v>38</v>
      </c>
      <c r="C13" s="552" t="s">
        <v>39</v>
      </c>
      <c r="D13" s="552" t="s">
        <v>40</v>
      </c>
      <c r="E13" s="552" t="s">
        <v>41</v>
      </c>
      <c r="F13" s="552" t="s">
        <v>5</v>
      </c>
    </row>
    <row r="14" spans="1:19">
      <c r="A14" s="777" t="s">
        <v>129</v>
      </c>
      <c r="B14" s="151">
        <v>35343</v>
      </c>
      <c r="C14" s="151">
        <f>1115+5363</f>
        <v>6478</v>
      </c>
      <c r="D14" s="151">
        <v>41742</v>
      </c>
      <c r="E14" s="151">
        <v>108542</v>
      </c>
      <c r="F14" s="151">
        <f>SUM(B14:E14)</f>
        <v>192105</v>
      </c>
    </row>
    <row r="15" spans="1:19">
      <c r="A15" s="89" t="s">
        <v>30</v>
      </c>
      <c r="B15" s="151">
        <v>23152</v>
      </c>
      <c r="C15" s="151"/>
      <c r="D15" s="151"/>
      <c r="E15" s="151"/>
      <c r="F15" s="151">
        <f>SUM(B15:E15)</f>
        <v>23152</v>
      </c>
      <c r="J15" s="89"/>
      <c r="K15" s="20"/>
      <c r="L15" s="20"/>
      <c r="M15" s="20"/>
      <c r="N15" s="20"/>
      <c r="O15" s="20"/>
      <c r="P15" s="20"/>
      <c r="Q15" s="20"/>
      <c r="R15" s="20"/>
      <c r="S15" s="20"/>
    </row>
    <row r="16" spans="1:19">
      <c r="A16" s="550" t="s">
        <v>31</v>
      </c>
      <c r="B16" s="151">
        <v>29</v>
      </c>
      <c r="C16" s="151">
        <v>2364</v>
      </c>
      <c r="D16" s="151">
        <v>5482</v>
      </c>
      <c r="E16" s="151">
        <v>1752</v>
      </c>
      <c r="F16" s="151">
        <f>SUM(B16:E16)</f>
        <v>9627</v>
      </c>
      <c r="I16" s="53"/>
      <c r="J16" s="89"/>
      <c r="K16" s="89"/>
      <c r="L16" s="89"/>
      <c r="M16" s="89"/>
      <c r="N16" s="89"/>
      <c r="O16" s="89"/>
      <c r="P16" s="89"/>
      <c r="Q16" s="89"/>
      <c r="R16" s="89"/>
      <c r="S16" s="89"/>
    </row>
    <row r="17" spans="1:19">
      <c r="A17" s="553" t="s">
        <v>32</v>
      </c>
      <c r="B17" s="554">
        <f>SUM(B14:B16)</f>
        <v>58524</v>
      </c>
      <c r="C17" s="554">
        <f>SUM(C14:C16)</f>
        <v>8842</v>
      </c>
      <c r="D17" s="554">
        <f>SUM(D14:D16)</f>
        <v>47224</v>
      </c>
      <c r="E17" s="554">
        <f>SUM(E14:E16)</f>
        <v>110294</v>
      </c>
      <c r="F17" s="554">
        <f>SUM(F14:F16)</f>
        <v>224884</v>
      </c>
      <c r="H17" s="134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spans="1:19" ht="8.25" customHeight="1">
      <c r="A18" s="555"/>
      <c r="B18" s="486"/>
      <c r="C18" s="486"/>
      <c r="D18" s="486"/>
      <c r="E18" s="486"/>
      <c r="F18" s="486"/>
    </row>
    <row r="19" spans="1:19">
      <c r="A19" s="89" t="s">
        <v>23</v>
      </c>
      <c r="B19" s="151">
        <v>130</v>
      </c>
      <c r="C19" s="556">
        <v>587</v>
      </c>
      <c r="D19" s="151" t="s">
        <v>90</v>
      </c>
      <c r="E19" s="151" t="s">
        <v>90</v>
      </c>
      <c r="F19" s="151">
        <f>SUM(B19:E19)</f>
        <v>717</v>
      </c>
      <c r="H19" s="70"/>
    </row>
    <row r="20" spans="1:19">
      <c r="A20" s="550" t="s">
        <v>24</v>
      </c>
      <c r="B20" s="523">
        <v>782</v>
      </c>
      <c r="C20" s="557">
        <f>35+861</f>
        <v>896</v>
      </c>
      <c r="D20" s="523">
        <v>0</v>
      </c>
      <c r="E20" s="523">
        <v>18</v>
      </c>
      <c r="F20" s="523">
        <f>SUM(B20:E20)</f>
        <v>1696</v>
      </c>
      <c r="L20" s="15"/>
    </row>
    <row r="21" spans="1:19">
      <c r="G21" s="60"/>
    </row>
    <row r="22" spans="1:19">
      <c r="G22" s="83"/>
    </row>
    <row r="23" spans="1:19">
      <c r="G23" s="83"/>
    </row>
    <row r="24" spans="1:19">
      <c r="G24" s="83"/>
    </row>
    <row r="25" spans="1:19">
      <c r="G25" s="139"/>
    </row>
    <row r="26" spans="1:19">
      <c r="G26" s="70"/>
    </row>
    <row r="27" spans="1:19">
      <c r="D27" s="20"/>
      <c r="G27" s="83"/>
    </row>
    <row r="28" spans="1:19">
      <c r="G28" s="83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8">
    <tabColor rgb="FF00B050"/>
    <pageSetUpPr fitToPage="1"/>
  </sheetPr>
  <dimension ref="A1:E42"/>
  <sheetViews>
    <sheetView showGridLines="0" zoomScaleNormal="100" workbookViewId="0">
      <selection activeCell="B26" sqref="B26:D36"/>
    </sheetView>
  </sheetViews>
  <sheetFormatPr baseColWidth="10" defaultColWidth="11" defaultRowHeight="12"/>
  <cols>
    <col min="1" max="1" width="31.875" style="267" customWidth="1"/>
    <col min="2" max="2" width="15.125" style="267" customWidth="1"/>
    <col min="3" max="3" width="14.125" style="267" customWidth="1"/>
    <col min="4" max="4" width="15.5" style="267" customWidth="1"/>
    <col min="5" max="5" width="17.625" style="267" customWidth="1"/>
    <col min="6" max="6" width="9.75" style="18" customWidth="1"/>
    <col min="7" max="7" width="11" style="18"/>
    <col min="8" max="8" width="33.375" style="18" bestFit="1" customWidth="1"/>
    <col min="9" max="16384" width="11" style="18"/>
  </cols>
  <sheetData>
    <row r="1" spans="1:4" s="267" customFormat="1" ht="21">
      <c r="A1" s="685" t="s">
        <v>844</v>
      </c>
      <c r="B1" s="572"/>
    </row>
    <row r="2" spans="1:4" s="267" customFormat="1">
      <c r="A2" s="75"/>
      <c r="B2" s="608"/>
    </row>
    <row r="3" spans="1:4" s="267" customFormat="1">
      <c r="A3" s="272" t="s">
        <v>926</v>
      </c>
    </row>
    <row r="4" spans="1:4" s="267" customFormat="1" ht="24">
      <c r="A4" s="604" t="s">
        <v>806</v>
      </c>
      <c r="B4" s="573" t="s">
        <v>754</v>
      </c>
      <c r="C4" s="573" t="s">
        <v>755</v>
      </c>
      <c r="D4" s="573" t="s">
        <v>738</v>
      </c>
    </row>
    <row r="5" spans="1:4" s="267" customFormat="1">
      <c r="A5" s="574" t="s">
        <v>742</v>
      </c>
      <c r="B5" s="575">
        <v>3</v>
      </c>
      <c r="C5" s="575">
        <v>2</v>
      </c>
      <c r="D5" s="575">
        <v>0</v>
      </c>
    </row>
    <row r="6" spans="1:4" s="267" customFormat="1">
      <c r="A6" s="574" t="s">
        <v>33</v>
      </c>
      <c r="B6" s="575">
        <v>8</v>
      </c>
      <c r="C6" s="575">
        <v>17</v>
      </c>
      <c r="D6" s="575">
        <v>79</v>
      </c>
    </row>
    <row r="7" spans="1:4" s="267" customFormat="1">
      <c r="A7" s="574" t="s">
        <v>743</v>
      </c>
      <c r="B7" s="575">
        <v>1</v>
      </c>
      <c r="C7" s="575">
        <v>5</v>
      </c>
      <c r="D7" s="575">
        <v>4</v>
      </c>
    </row>
    <row r="8" spans="1:4" s="267" customFormat="1">
      <c r="A8" s="574" t="s">
        <v>35</v>
      </c>
      <c r="B8" s="575">
        <v>40</v>
      </c>
      <c r="C8" s="575">
        <v>67</v>
      </c>
      <c r="D8" s="575">
        <v>113</v>
      </c>
    </row>
    <row r="9" spans="1:4" s="267" customFormat="1">
      <c r="A9" s="574" t="s">
        <v>756</v>
      </c>
      <c r="B9" s="575">
        <v>12</v>
      </c>
      <c r="C9" s="575">
        <v>51</v>
      </c>
      <c r="D9" s="575">
        <v>7</v>
      </c>
    </row>
    <row r="10" spans="1:4" s="267" customFormat="1">
      <c r="A10" s="574" t="s">
        <v>744</v>
      </c>
      <c r="B10" s="575">
        <v>5</v>
      </c>
      <c r="C10" s="575">
        <v>133</v>
      </c>
      <c r="D10" s="575">
        <v>570</v>
      </c>
    </row>
    <row r="11" spans="1:4" s="267" customFormat="1">
      <c r="A11" s="574" t="s">
        <v>745</v>
      </c>
      <c r="B11" s="575">
        <v>10</v>
      </c>
      <c r="C11" s="575">
        <v>14</v>
      </c>
      <c r="D11" s="575">
        <v>11</v>
      </c>
    </row>
    <row r="12" spans="1:4" s="267" customFormat="1">
      <c r="A12" s="574" t="s">
        <v>746</v>
      </c>
      <c r="B12" s="575">
        <v>2</v>
      </c>
      <c r="C12" s="575">
        <v>0</v>
      </c>
      <c r="D12" s="575">
        <v>0</v>
      </c>
    </row>
    <row r="13" spans="1:4" s="267" customFormat="1">
      <c r="A13" s="574" t="s">
        <v>747</v>
      </c>
      <c r="B13" s="575">
        <v>52</v>
      </c>
      <c r="C13" s="575">
        <v>57</v>
      </c>
      <c r="D13" s="575">
        <v>59</v>
      </c>
    </row>
    <row r="14" spans="1:4" s="267" customFormat="1">
      <c r="A14" s="574" t="s">
        <v>748</v>
      </c>
      <c r="B14" s="575">
        <v>14</v>
      </c>
      <c r="C14" s="575">
        <v>116</v>
      </c>
      <c r="D14" s="575">
        <v>389</v>
      </c>
    </row>
    <row r="15" spans="1:4" s="267" customFormat="1">
      <c r="A15" s="576" t="s">
        <v>36</v>
      </c>
      <c r="B15" s="577">
        <v>0</v>
      </c>
      <c r="C15" s="577">
        <v>0</v>
      </c>
      <c r="D15" s="577">
        <v>0</v>
      </c>
    </row>
    <row r="16" spans="1:4" s="267" customFormat="1">
      <c r="A16" s="578" t="s">
        <v>757</v>
      </c>
      <c r="B16" s="579">
        <f>SUM(B5:B15)</f>
        <v>147</v>
      </c>
      <c r="C16" s="579">
        <f t="shared" ref="C16:D16" si="0">SUM(C5:C15)</f>
        <v>462</v>
      </c>
      <c r="D16" s="579">
        <f t="shared" si="0"/>
        <v>1232</v>
      </c>
    </row>
    <row r="17" spans="1:5" s="267" customFormat="1">
      <c r="A17" s="578" t="s">
        <v>758</v>
      </c>
      <c r="B17" s="579">
        <v>10</v>
      </c>
      <c r="C17" s="579">
        <v>32</v>
      </c>
      <c r="D17" s="579">
        <v>98</v>
      </c>
    </row>
    <row r="18" spans="1:5" s="267" customFormat="1">
      <c r="A18" s="614" t="s">
        <v>813</v>
      </c>
      <c r="B18" s="579">
        <f>SUM(B16:B17)</f>
        <v>157</v>
      </c>
      <c r="C18" s="579">
        <f>SUM(C16:C17)</f>
        <v>494</v>
      </c>
      <c r="D18" s="579">
        <f>SUM(D16:D17)</f>
        <v>1330</v>
      </c>
    </row>
    <row r="19" spans="1:5" s="267" customFormat="1">
      <c r="A19" s="613"/>
      <c r="B19" s="575"/>
      <c r="C19" s="575"/>
      <c r="D19" s="575"/>
    </row>
    <row r="20" spans="1:5" s="267" customFormat="1">
      <c r="A20" s="613"/>
      <c r="B20" s="575"/>
      <c r="C20" s="575"/>
      <c r="D20" s="575"/>
    </row>
    <row r="21" spans="1:5" s="267" customFormat="1">
      <c r="A21" s="613"/>
      <c r="B21" s="575"/>
      <c r="C21" s="575"/>
      <c r="D21" s="575"/>
    </row>
    <row r="22" spans="1:5" s="267" customFormat="1">
      <c r="A22" s="613"/>
      <c r="B22" s="575"/>
      <c r="C22" s="575"/>
      <c r="D22" s="575"/>
    </row>
    <row r="23" spans="1:5" s="267" customFormat="1">
      <c r="A23" s="613"/>
      <c r="B23" s="575"/>
      <c r="C23" s="575"/>
      <c r="D23" s="575"/>
    </row>
    <row r="24" spans="1:5" s="267" customFormat="1">
      <c r="A24" s="272" t="s">
        <v>897</v>
      </c>
    </row>
    <row r="25" spans="1:5" s="267" customFormat="1" ht="24">
      <c r="A25" s="604" t="s">
        <v>806</v>
      </c>
      <c r="B25" s="573" t="s">
        <v>754</v>
      </c>
      <c r="C25" s="573" t="s">
        <v>755</v>
      </c>
      <c r="D25" s="573" t="s">
        <v>738</v>
      </c>
    </row>
    <row r="26" spans="1:5">
      <c r="A26" s="574" t="s">
        <v>742</v>
      </c>
      <c r="B26" s="575">
        <v>3</v>
      </c>
      <c r="C26" s="575">
        <v>2</v>
      </c>
      <c r="D26" s="575">
        <v>0</v>
      </c>
      <c r="E26" s="18"/>
    </row>
    <row r="27" spans="1:5" s="247" customFormat="1">
      <c r="A27" s="574" t="s">
        <v>33</v>
      </c>
      <c r="B27" s="575">
        <v>7</v>
      </c>
      <c r="C27" s="575">
        <v>17</v>
      </c>
      <c r="D27" s="575">
        <v>81</v>
      </c>
    </row>
    <row r="28" spans="1:5" ht="12" customHeight="1">
      <c r="A28" s="574" t="s">
        <v>743</v>
      </c>
      <c r="B28" s="575">
        <v>1</v>
      </c>
      <c r="C28" s="575">
        <v>5</v>
      </c>
      <c r="D28" s="575">
        <v>4</v>
      </c>
      <c r="E28" s="18"/>
    </row>
    <row r="29" spans="1:5" s="247" customFormat="1">
      <c r="A29" s="574" t="s">
        <v>35</v>
      </c>
      <c r="B29" s="575">
        <v>36</v>
      </c>
      <c r="C29" s="575">
        <v>82</v>
      </c>
      <c r="D29" s="575">
        <v>57</v>
      </c>
    </row>
    <row r="30" spans="1:5" s="247" customFormat="1">
      <c r="A30" s="574" t="s">
        <v>756</v>
      </c>
      <c r="B30" s="575">
        <v>10</v>
      </c>
      <c r="C30" s="575">
        <v>36</v>
      </c>
      <c r="D30" s="575">
        <v>10</v>
      </c>
    </row>
    <row r="31" spans="1:5" s="247" customFormat="1">
      <c r="A31" s="574" t="s">
        <v>744</v>
      </c>
      <c r="B31" s="575">
        <v>7</v>
      </c>
      <c r="C31" s="575">
        <v>86</v>
      </c>
      <c r="D31" s="575">
        <v>195</v>
      </c>
    </row>
    <row r="32" spans="1:5" s="247" customFormat="1">
      <c r="A32" s="574" t="s">
        <v>745</v>
      </c>
      <c r="B32" s="575">
        <v>8</v>
      </c>
      <c r="C32" s="575">
        <v>14</v>
      </c>
      <c r="D32" s="575">
        <v>22</v>
      </c>
    </row>
    <row r="33" spans="1:4" s="247" customFormat="1">
      <c r="A33" s="574" t="s">
        <v>746</v>
      </c>
      <c r="B33" s="575">
        <v>1</v>
      </c>
      <c r="C33" s="575">
        <v>1</v>
      </c>
      <c r="D33" s="575">
        <v>0</v>
      </c>
    </row>
    <row r="34" spans="1:4" s="247" customFormat="1">
      <c r="A34" s="574" t="s">
        <v>747</v>
      </c>
      <c r="B34" s="575">
        <v>52</v>
      </c>
      <c r="C34" s="575">
        <v>64</v>
      </c>
      <c r="D34" s="575">
        <v>62</v>
      </c>
    </row>
    <row r="35" spans="1:4" s="247" customFormat="1">
      <c r="A35" s="574" t="s">
        <v>748</v>
      </c>
      <c r="B35" s="575">
        <v>12</v>
      </c>
      <c r="C35" s="575">
        <v>53</v>
      </c>
      <c r="D35" s="575">
        <v>360</v>
      </c>
    </row>
    <row r="36" spans="1:4" s="247" customFormat="1">
      <c r="A36" s="576" t="s">
        <v>36</v>
      </c>
      <c r="B36" s="577">
        <v>0</v>
      </c>
      <c r="C36" s="577">
        <v>0</v>
      </c>
      <c r="D36" s="577">
        <v>0</v>
      </c>
    </row>
    <row r="37" spans="1:4" s="247" customFormat="1">
      <c r="A37" s="578" t="s">
        <v>757</v>
      </c>
      <c r="B37" s="579">
        <f t="shared" ref="B37:D37" si="1">SUM(B26:B36)</f>
        <v>137</v>
      </c>
      <c r="C37" s="579">
        <f t="shared" si="1"/>
        <v>360</v>
      </c>
      <c r="D37" s="579">
        <f t="shared" si="1"/>
        <v>791</v>
      </c>
    </row>
    <row r="38" spans="1:4" s="247" customFormat="1">
      <c r="A38" s="578" t="s">
        <v>758</v>
      </c>
      <c r="B38" s="579">
        <v>9</v>
      </c>
      <c r="C38" s="579">
        <v>28</v>
      </c>
      <c r="D38" s="579">
        <v>101</v>
      </c>
    </row>
    <row r="39" spans="1:4" s="247" customFormat="1">
      <c r="A39" s="614" t="s">
        <v>813</v>
      </c>
      <c r="B39" s="579">
        <f>SUM(B37:B38)</f>
        <v>146</v>
      </c>
      <c r="C39" s="579">
        <f>SUM(C37:C38)</f>
        <v>388</v>
      </c>
      <c r="D39" s="579">
        <f>SUM(D37:D38)</f>
        <v>892</v>
      </c>
    </row>
    <row r="40" spans="1:4" s="247" customFormat="1"/>
    <row r="41" spans="1:4">
      <c r="A41" s="102"/>
      <c r="B41" s="102"/>
      <c r="C41" s="102"/>
      <c r="D41" s="102"/>
    </row>
    <row r="42" spans="1:4" ht="12.75">
      <c r="A42" s="102"/>
      <c r="B42" s="405"/>
      <c r="C42" s="66"/>
      <c r="D42" s="102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81" fitToHeight="0" orientation="portrait" r:id="rId1"/>
  <headerFooter alignWithMargins="0">
    <oddHeader>&amp;R&amp;"Calibri"&amp;12&amp;KFF9100F O R T R O L I G&amp;1#</oddHeader>
    <oddFooter>&amp;R&amp;A</oddFooter>
  </headerFooter>
  <ignoredErrors>
    <ignoredError sqref="B39:D3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6">
    <pageSetUpPr fitToPage="1"/>
  </sheetPr>
  <dimension ref="A1:J42"/>
  <sheetViews>
    <sheetView showGridLines="0" zoomScaleNormal="100" workbookViewId="0">
      <selection activeCell="F45" sqref="F45"/>
    </sheetView>
  </sheetViews>
  <sheetFormatPr baseColWidth="10" defaultColWidth="11" defaultRowHeight="12"/>
  <cols>
    <col min="1" max="1" width="45.75" style="247" bestFit="1" customWidth="1"/>
    <col min="2" max="2" width="7.5" style="247" customWidth="1"/>
    <col min="3" max="5" width="7.5" style="267" customWidth="1"/>
    <col min="6" max="6" width="3.5" style="18" customWidth="1"/>
    <col min="7" max="10" width="7.5" style="18" customWidth="1"/>
    <col min="11" max="16384" width="11" style="18"/>
  </cols>
  <sheetData>
    <row r="1" spans="1:10" ht="21">
      <c r="A1" s="685" t="s">
        <v>808</v>
      </c>
      <c r="F1" s="572"/>
    </row>
    <row r="2" spans="1:10" ht="12.75">
      <c r="A2" s="225" t="s">
        <v>117</v>
      </c>
      <c r="B2" s="75"/>
      <c r="C2" s="75"/>
      <c r="D2" s="75"/>
      <c r="E2" s="75"/>
      <c r="F2" s="572"/>
    </row>
    <row r="3" spans="1:10" s="267" customFormat="1" ht="12.75">
      <c r="A3" s="225"/>
      <c r="B3" s="75"/>
      <c r="C3" s="75"/>
      <c r="D3" s="75"/>
      <c r="E3" s="75"/>
      <c r="F3" s="522"/>
    </row>
    <row r="4" spans="1:10" s="267" customFormat="1">
      <c r="B4" s="75"/>
      <c r="C4" s="75"/>
      <c r="D4" s="75"/>
      <c r="E4" s="75"/>
      <c r="F4" s="522"/>
    </row>
    <row r="5" spans="1:10">
      <c r="A5" s="581"/>
      <c r="B5" s="582"/>
      <c r="C5" s="582"/>
      <c r="D5" s="582"/>
      <c r="E5" s="582"/>
    </row>
    <row r="6" spans="1:10">
      <c r="A6" s="852" t="s">
        <v>906</v>
      </c>
      <c r="B6" s="854" t="s">
        <v>898</v>
      </c>
      <c r="C6" s="854"/>
      <c r="D6" s="854"/>
      <c r="E6" s="854"/>
      <c r="F6" s="798"/>
      <c r="G6" s="854" t="s">
        <v>899</v>
      </c>
      <c r="H6" s="854"/>
      <c r="I6" s="854"/>
      <c r="J6" s="854"/>
    </row>
    <row r="7" spans="1:10">
      <c r="A7" s="853"/>
      <c r="B7" s="799" t="s">
        <v>759</v>
      </c>
      <c r="C7" s="799" t="s">
        <v>755</v>
      </c>
      <c r="D7" s="799" t="s">
        <v>738</v>
      </c>
      <c r="E7" s="800" t="s">
        <v>760</v>
      </c>
      <c r="F7" s="801"/>
      <c r="G7" s="799" t="s">
        <v>759</v>
      </c>
      <c r="H7" s="799" t="s">
        <v>755</v>
      </c>
      <c r="I7" s="799" t="s">
        <v>738</v>
      </c>
      <c r="J7" s="802" t="s">
        <v>760</v>
      </c>
    </row>
    <row r="8" spans="1:10">
      <c r="A8" s="803"/>
      <c r="B8" s="801"/>
      <c r="C8" s="801"/>
      <c r="D8" s="801"/>
      <c r="E8" s="804"/>
      <c r="F8" s="801"/>
      <c r="G8" s="801"/>
      <c r="H8" s="801"/>
      <c r="I8" s="801"/>
      <c r="J8" s="805"/>
    </row>
    <row r="9" spans="1:10">
      <c r="A9" s="806" t="s">
        <v>900</v>
      </c>
      <c r="B9" s="807">
        <v>229</v>
      </c>
      <c r="C9" s="807">
        <v>367</v>
      </c>
      <c r="D9" s="807">
        <v>631</v>
      </c>
      <c r="E9" s="808">
        <f>B9+C9+D9</f>
        <v>1227</v>
      </c>
      <c r="F9" s="807"/>
      <c r="G9" s="807">
        <v>192</v>
      </c>
      <c r="H9" s="807">
        <v>402</v>
      </c>
      <c r="I9" s="807">
        <v>702</v>
      </c>
      <c r="J9" s="809">
        <f>G9+H9+I9</f>
        <v>1296</v>
      </c>
    </row>
    <row r="10" spans="1:10">
      <c r="A10" s="806" t="s">
        <v>901</v>
      </c>
      <c r="B10" s="810"/>
      <c r="C10" s="810"/>
      <c r="D10" s="810"/>
      <c r="E10" s="808"/>
      <c r="F10" s="810"/>
      <c r="G10" s="810"/>
      <c r="H10" s="810"/>
      <c r="I10" s="810"/>
      <c r="J10" s="809"/>
    </row>
    <row r="11" spans="1:10">
      <c r="A11" s="811" t="s">
        <v>761</v>
      </c>
      <c r="B11" s="812">
        <v>-24</v>
      </c>
      <c r="C11" s="812">
        <v>24</v>
      </c>
      <c r="D11" s="812">
        <v>0</v>
      </c>
      <c r="E11" s="808">
        <f t="shared" ref="E11:E22" si="0">B11+C11+D11</f>
        <v>0</v>
      </c>
      <c r="F11" s="812"/>
      <c r="G11" s="812">
        <v>-15</v>
      </c>
      <c r="H11" s="812">
        <v>15</v>
      </c>
      <c r="I11" s="812">
        <v>0</v>
      </c>
      <c r="J11" s="809">
        <f t="shared" ref="J11:J21" si="1">G11+H11+I11</f>
        <v>0</v>
      </c>
    </row>
    <row r="12" spans="1:10">
      <c r="A12" s="811" t="s">
        <v>762</v>
      </c>
      <c r="B12" s="812">
        <v>89</v>
      </c>
      <c r="C12" s="812">
        <v>-93</v>
      </c>
      <c r="D12" s="812">
        <v>4</v>
      </c>
      <c r="E12" s="808">
        <f t="shared" si="0"/>
        <v>0</v>
      </c>
      <c r="F12" s="812"/>
      <c r="G12" s="812">
        <v>70</v>
      </c>
      <c r="H12" s="812">
        <v>-71</v>
      </c>
      <c r="I12" s="812">
        <v>1</v>
      </c>
      <c r="J12" s="809">
        <f t="shared" si="1"/>
        <v>0</v>
      </c>
    </row>
    <row r="13" spans="1:10">
      <c r="A13" s="811" t="s">
        <v>763</v>
      </c>
      <c r="B13" s="812">
        <v>1</v>
      </c>
      <c r="C13" s="812">
        <v>3</v>
      </c>
      <c r="D13" s="812">
        <v>-4</v>
      </c>
      <c r="E13" s="808">
        <f t="shared" si="0"/>
        <v>0</v>
      </c>
      <c r="F13" s="812"/>
      <c r="G13" s="812">
        <v>2</v>
      </c>
      <c r="H13" s="812">
        <v>29</v>
      </c>
      <c r="I13" s="812">
        <v>-31</v>
      </c>
      <c r="J13" s="809">
        <f t="shared" si="1"/>
        <v>0</v>
      </c>
    </row>
    <row r="14" spans="1:10">
      <c r="A14" s="813" t="s">
        <v>764</v>
      </c>
      <c r="B14" s="812">
        <v>-151</v>
      </c>
      <c r="C14" s="812">
        <v>140</v>
      </c>
      <c r="D14" s="812">
        <v>24</v>
      </c>
      <c r="E14" s="808">
        <f t="shared" si="0"/>
        <v>13</v>
      </c>
      <c r="F14" s="812"/>
      <c r="G14" s="812">
        <v>-63</v>
      </c>
      <c r="H14" s="812">
        <v>90</v>
      </c>
      <c r="I14" s="812">
        <v>10</v>
      </c>
      <c r="J14" s="809">
        <f t="shared" si="1"/>
        <v>37</v>
      </c>
    </row>
    <row r="15" spans="1:10">
      <c r="A15" s="806" t="s">
        <v>765</v>
      </c>
      <c r="B15" s="812">
        <v>50</v>
      </c>
      <c r="C15" s="812">
        <v>37</v>
      </c>
      <c r="D15" s="812">
        <v>6</v>
      </c>
      <c r="E15" s="808">
        <f t="shared" si="0"/>
        <v>93</v>
      </c>
      <c r="F15" s="812"/>
      <c r="G15" s="812">
        <v>89</v>
      </c>
      <c r="H15" s="812">
        <v>48</v>
      </c>
      <c r="I15" s="812">
        <v>4</v>
      </c>
      <c r="J15" s="809">
        <f t="shared" si="1"/>
        <v>141</v>
      </c>
    </row>
    <row r="16" spans="1:10">
      <c r="A16" s="806" t="s">
        <v>766</v>
      </c>
      <c r="B16" s="812">
        <v>-48</v>
      </c>
      <c r="C16" s="812">
        <v>-90</v>
      </c>
      <c r="D16" s="812">
        <v>-13</v>
      </c>
      <c r="E16" s="808">
        <f t="shared" si="0"/>
        <v>-151</v>
      </c>
      <c r="F16" s="812"/>
      <c r="G16" s="812">
        <v>-46</v>
      </c>
      <c r="H16" s="812">
        <v>-146</v>
      </c>
      <c r="I16" s="812">
        <v>-22</v>
      </c>
      <c r="J16" s="809">
        <f t="shared" si="1"/>
        <v>-214</v>
      </c>
    </row>
    <row r="17" spans="1:10">
      <c r="A17" s="813" t="s">
        <v>767</v>
      </c>
      <c r="B17" s="812">
        <v>0</v>
      </c>
      <c r="C17" s="812">
        <v>0</v>
      </c>
      <c r="D17" s="812">
        <v>0</v>
      </c>
      <c r="E17" s="808">
        <f t="shared" si="0"/>
        <v>0</v>
      </c>
      <c r="F17" s="812"/>
      <c r="G17" s="812">
        <v>0</v>
      </c>
      <c r="H17" s="812">
        <v>0</v>
      </c>
      <c r="I17" s="812">
        <v>0</v>
      </c>
      <c r="J17" s="809">
        <f t="shared" si="1"/>
        <v>0</v>
      </c>
    </row>
    <row r="18" spans="1:10">
      <c r="A18" s="806" t="s">
        <v>768</v>
      </c>
      <c r="B18" s="812">
        <v>0</v>
      </c>
      <c r="C18" s="812">
        <v>0</v>
      </c>
      <c r="D18" s="812">
        <v>122</v>
      </c>
      <c r="E18" s="808">
        <f t="shared" si="0"/>
        <v>122</v>
      </c>
      <c r="F18" s="812"/>
      <c r="G18" s="812">
        <v>0</v>
      </c>
      <c r="H18" s="812">
        <v>0</v>
      </c>
      <c r="I18" s="812">
        <v>456</v>
      </c>
      <c r="J18" s="809">
        <f t="shared" si="1"/>
        <v>456</v>
      </c>
    </row>
    <row r="19" spans="1:10">
      <c r="A19" s="813" t="s">
        <v>769</v>
      </c>
      <c r="B19" s="812">
        <v>0</v>
      </c>
      <c r="C19" s="812">
        <v>0</v>
      </c>
      <c r="D19" s="812">
        <v>-60</v>
      </c>
      <c r="E19" s="808">
        <f t="shared" si="0"/>
        <v>-60</v>
      </c>
      <c r="F19" s="812"/>
      <c r="G19" s="812">
        <v>0</v>
      </c>
      <c r="H19" s="812">
        <v>0</v>
      </c>
      <c r="I19" s="812">
        <v>-397</v>
      </c>
      <c r="J19" s="809">
        <f t="shared" si="1"/>
        <v>-397</v>
      </c>
    </row>
    <row r="20" spans="1:10">
      <c r="A20" s="806" t="s">
        <v>770</v>
      </c>
      <c r="B20" s="812">
        <v>0</v>
      </c>
      <c r="C20" s="812">
        <v>0</v>
      </c>
      <c r="D20" s="812">
        <v>0</v>
      </c>
      <c r="E20" s="808">
        <f t="shared" si="0"/>
        <v>0</v>
      </c>
      <c r="F20" s="812"/>
      <c r="G20" s="812">
        <v>0</v>
      </c>
      <c r="H20" s="812">
        <v>0</v>
      </c>
      <c r="I20" s="812">
        <v>0</v>
      </c>
      <c r="J20" s="809">
        <f t="shared" si="1"/>
        <v>0</v>
      </c>
    </row>
    <row r="21" spans="1:10">
      <c r="A21" s="806" t="s">
        <v>771</v>
      </c>
      <c r="B21" s="812">
        <v>0</v>
      </c>
      <c r="C21" s="812">
        <v>0</v>
      </c>
      <c r="D21" s="812">
        <v>182</v>
      </c>
      <c r="E21" s="808">
        <f t="shared" si="0"/>
        <v>182</v>
      </c>
      <c r="F21" s="812"/>
      <c r="G21" s="812">
        <v>0</v>
      </c>
      <c r="H21" s="812">
        <v>0</v>
      </c>
      <c r="I21" s="812">
        <v>-92</v>
      </c>
      <c r="J21" s="809">
        <f t="shared" si="1"/>
        <v>-92</v>
      </c>
    </row>
    <row r="22" spans="1:10">
      <c r="A22" s="814" t="s">
        <v>902</v>
      </c>
      <c r="B22" s="815">
        <f>B9+SUM(B11:B21)</f>
        <v>146</v>
      </c>
      <c r="C22" s="815">
        <f>C9+SUM(C11:C21)</f>
        <v>388</v>
      </c>
      <c r="D22" s="815">
        <f>D9+SUM(D11:D21)</f>
        <v>892</v>
      </c>
      <c r="E22" s="816">
        <f t="shared" si="0"/>
        <v>1426</v>
      </c>
      <c r="F22" s="817"/>
      <c r="G22" s="815">
        <f t="shared" ref="G22:J22" si="2">G9+SUM(G11:G21)</f>
        <v>229</v>
      </c>
      <c r="H22" s="815">
        <f t="shared" si="2"/>
        <v>367</v>
      </c>
      <c r="I22" s="815">
        <f t="shared" si="2"/>
        <v>631</v>
      </c>
      <c r="J22" s="818">
        <f t="shared" si="2"/>
        <v>1227</v>
      </c>
    </row>
    <row r="23" spans="1:10">
      <c r="A23" s="819"/>
      <c r="B23" s="817"/>
      <c r="C23" s="817"/>
      <c r="D23" s="817"/>
      <c r="E23" s="817"/>
      <c r="F23" s="817"/>
      <c r="G23" s="817"/>
      <c r="H23" s="817"/>
      <c r="I23" s="817"/>
      <c r="J23" s="817"/>
    </row>
    <row r="24" spans="1:10">
      <c r="A24" s="820"/>
      <c r="B24" s="821"/>
      <c r="C24" s="821"/>
      <c r="D24" s="821"/>
      <c r="E24" s="821"/>
      <c r="F24" s="821"/>
      <c r="G24" s="821"/>
      <c r="H24" s="821"/>
      <c r="I24" s="821"/>
      <c r="J24" s="821"/>
    </row>
    <row r="25" spans="1:10">
      <c r="A25" s="852" t="s">
        <v>905</v>
      </c>
      <c r="B25" s="854" t="s">
        <v>898</v>
      </c>
      <c r="C25" s="854"/>
      <c r="D25" s="854"/>
      <c r="E25" s="854"/>
      <c r="F25" s="798"/>
      <c r="G25" s="854" t="s">
        <v>899</v>
      </c>
      <c r="H25" s="854"/>
      <c r="I25" s="854"/>
      <c r="J25" s="854"/>
    </row>
    <row r="26" spans="1:10">
      <c r="A26" s="853"/>
      <c r="B26" s="822" t="s">
        <v>759</v>
      </c>
      <c r="C26" s="822" t="s">
        <v>755</v>
      </c>
      <c r="D26" s="822" t="s">
        <v>738</v>
      </c>
      <c r="E26" s="800" t="s">
        <v>760</v>
      </c>
      <c r="F26" s="801"/>
      <c r="G26" s="822" t="s">
        <v>759</v>
      </c>
      <c r="H26" s="822" t="s">
        <v>755</v>
      </c>
      <c r="I26" s="822" t="s">
        <v>738</v>
      </c>
      <c r="J26" s="823" t="s">
        <v>760</v>
      </c>
    </row>
    <row r="27" spans="1:10">
      <c r="A27" s="803"/>
      <c r="B27" s="801"/>
      <c r="C27" s="801"/>
      <c r="D27" s="801"/>
      <c r="E27" s="804"/>
      <c r="F27" s="801"/>
      <c r="G27" s="801"/>
      <c r="H27" s="801"/>
      <c r="I27" s="801"/>
      <c r="J27" s="805"/>
    </row>
    <row r="28" spans="1:10">
      <c r="A28" s="806" t="str">
        <f>A9</f>
        <v>Balanse 01.01.</v>
      </c>
      <c r="B28" s="807">
        <v>31</v>
      </c>
      <c r="C28" s="807">
        <v>57</v>
      </c>
      <c r="D28" s="807">
        <v>19</v>
      </c>
      <c r="E28" s="808">
        <f>B28+C28+D28</f>
        <v>107</v>
      </c>
      <c r="F28" s="807"/>
      <c r="G28" s="807">
        <v>42</v>
      </c>
      <c r="H28" s="807">
        <v>70</v>
      </c>
      <c r="I28" s="807">
        <v>15</v>
      </c>
      <c r="J28" s="809">
        <f>G28+H28+I28</f>
        <v>127</v>
      </c>
    </row>
    <row r="29" spans="1:10">
      <c r="A29" s="806" t="str">
        <f>A10</f>
        <v>Endringer 01.01. - 31.12.</v>
      </c>
      <c r="B29" s="810"/>
      <c r="C29" s="810"/>
      <c r="D29" s="810"/>
      <c r="E29" s="808"/>
      <c r="F29" s="810"/>
      <c r="G29" s="810"/>
      <c r="H29" s="810"/>
      <c r="I29" s="810"/>
      <c r="J29" s="809"/>
    </row>
    <row r="30" spans="1:10">
      <c r="A30" s="811" t="s">
        <v>761</v>
      </c>
      <c r="B30" s="812">
        <v>-4</v>
      </c>
      <c r="C30" s="812">
        <v>4</v>
      </c>
      <c r="D30" s="812">
        <v>0</v>
      </c>
      <c r="E30" s="808">
        <f t="shared" ref="E30:E41" si="3">B30+C30+D30</f>
        <v>0</v>
      </c>
      <c r="F30" s="812"/>
      <c r="G30" s="812">
        <v>-14</v>
      </c>
      <c r="H30" s="812">
        <v>14</v>
      </c>
      <c r="I30" s="812">
        <v>0</v>
      </c>
      <c r="J30" s="809">
        <f t="shared" ref="J30:J41" si="4">G30+H30+I30</f>
        <v>0</v>
      </c>
    </row>
    <row r="31" spans="1:10">
      <c r="A31" s="811" t="s">
        <v>762</v>
      </c>
      <c r="B31" s="812">
        <v>6</v>
      </c>
      <c r="C31" s="812">
        <v>-6</v>
      </c>
      <c r="D31" s="812">
        <v>0</v>
      </c>
      <c r="E31" s="808">
        <f t="shared" si="3"/>
        <v>0</v>
      </c>
      <c r="F31" s="812"/>
      <c r="G31" s="812">
        <v>1</v>
      </c>
      <c r="H31" s="812">
        <v>-1</v>
      </c>
      <c r="I31" s="812">
        <v>0</v>
      </c>
      <c r="J31" s="809">
        <f t="shared" si="4"/>
        <v>0</v>
      </c>
    </row>
    <row r="32" spans="1:10">
      <c r="A32" s="811" t="s">
        <v>763</v>
      </c>
      <c r="B32" s="812">
        <v>0</v>
      </c>
      <c r="C32" s="812">
        <v>0</v>
      </c>
      <c r="D32" s="812">
        <v>0</v>
      </c>
      <c r="E32" s="808">
        <f t="shared" si="3"/>
        <v>0</v>
      </c>
      <c r="F32" s="812"/>
      <c r="G32" s="812">
        <v>0</v>
      </c>
      <c r="H32" s="812">
        <v>0</v>
      </c>
      <c r="I32" s="812">
        <v>0</v>
      </c>
      <c r="J32" s="809">
        <f t="shared" si="4"/>
        <v>0</v>
      </c>
    </row>
    <row r="33" spans="1:10">
      <c r="A33" s="813" t="s">
        <v>764</v>
      </c>
      <c r="B33" s="812">
        <v>-15</v>
      </c>
      <c r="C33" s="812">
        <v>35</v>
      </c>
      <c r="D33" s="812">
        <v>1</v>
      </c>
      <c r="E33" s="808">
        <f t="shared" si="3"/>
        <v>21</v>
      </c>
      <c r="F33" s="812"/>
      <c r="G33" s="812">
        <v>4</v>
      </c>
      <c r="H33" s="812">
        <v>-10</v>
      </c>
      <c r="I33" s="812">
        <v>0</v>
      </c>
      <c r="J33" s="809">
        <f t="shared" si="4"/>
        <v>-6</v>
      </c>
    </row>
    <row r="34" spans="1:10">
      <c r="A34" s="806" t="s">
        <v>765</v>
      </c>
      <c r="B34" s="812">
        <v>9</v>
      </c>
      <c r="C34" s="812">
        <v>3</v>
      </c>
      <c r="D34" s="812">
        <v>0</v>
      </c>
      <c r="E34" s="808">
        <f t="shared" si="3"/>
        <v>12</v>
      </c>
      <c r="F34" s="812"/>
      <c r="G34" s="812">
        <v>13</v>
      </c>
      <c r="H34" s="812">
        <v>5</v>
      </c>
      <c r="I34" s="812">
        <v>0</v>
      </c>
      <c r="J34" s="809">
        <f t="shared" si="4"/>
        <v>18</v>
      </c>
    </row>
    <row r="35" spans="1:10">
      <c r="A35" s="806" t="s">
        <v>766</v>
      </c>
      <c r="B35" s="812">
        <v>-6</v>
      </c>
      <c r="C35" s="812">
        <v>-11</v>
      </c>
      <c r="D35" s="812">
        <v>-1</v>
      </c>
      <c r="E35" s="808">
        <f t="shared" si="3"/>
        <v>-18</v>
      </c>
      <c r="F35" s="812"/>
      <c r="G35" s="812">
        <v>-15</v>
      </c>
      <c r="H35" s="812">
        <v>-21</v>
      </c>
      <c r="I35" s="812">
        <v>0</v>
      </c>
      <c r="J35" s="809">
        <f t="shared" si="4"/>
        <v>-36</v>
      </c>
    </row>
    <row r="36" spans="1:10">
      <c r="A36" s="806" t="s">
        <v>767</v>
      </c>
      <c r="B36" s="812">
        <v>0</v>
      </c>
      <c r="C36" s="812">
        <v>0</v>
      </c>
      <c r="D36" s="812">
        <v>0</v>
      </c>
      <c r="E36" s="808">
        <f t="shared" si="3"/>
        <v>0</v>
      </c>
      <c r="F36" s="812"/>
      <c r="G36" s="812">
        <v>0</v>
      </c>
      <c r="H36" s="812">
        <v>0</v>
      </c>
      <c r="I36" s="812">
        <v>0</v>
      </c>
      <c r="J36" s="809">
        <f t="shared" si="4"/>
        <v>0</v>
      </c>
    </row>
    <row r="37" spans="1:10">
      <c r="A37" s="806" t="s">
        <v>768</v>
      </c>
      <c r="B37" s="812">
        <v>0</v>
      </c>
      <c r="C37" s="812">
        <v>0</v>
      </c>
      <c r="D37" s="812">
        <v>0</v>
      </c>
      <c r="E37" s="808">
        <f t="shared" si="3"/>
        <v>0</v>
      </c>
      <c r="F37" s="812"/>
      <c r="G37" s="812">
        <v>0</v>
      </c>
      <c r="H37" s="812">
        <v>0</v>
      </c>
      <c r="I37" s="812">
        <v>4</v>
      </c>
      <c r="J37" s="809">
        <f t="shared" si="4"/>
        <v>4</v>
      </c>
    </row>
    <row r="38" spans="1:10">
      <c r="A38" s="806" t="s">
        <v>769</v>
      </c>
      <c r="B38" s="812">
        <v>0</v>
      </c>
      <c r="C38" s="812">
        <v>0</v>
      </c>
      <c r="D38" s="812">
        <v>0</v>
      </c>
      <c r="E38" s="808">
        <f t="shared" si="3"/>
        <v>0</v>
      </c>
      <c r="F38" s="812"/>
      <c r="G38" s="812">
        <v>0</v>
      </c>
      <c r="H38" s="812">
        <v>0</v>
      </c>
      <c r="I38" s="812">
        <v>0</v>
      </c>
      <c r="J38" s="809">
        <f t="shared" si="4"/>
        <v>0</v>
      </c>
    </row>
    <row r="39" spans="1:10">
      <c r="A39" s="806" t="s">
        <v>770</v>
      </c>
      <c r="B39" s="812">
        <v>0</v>
      </c>
      <c r="C39" s="812">
        <v>0</v>
      </c>
      <c r="D39" s="812">
        <v>0</v>
      </c>
      <c r="E39" s="808">
        <f t="shared" si="3"/>
        <v>0</v>
      </c>
      <c r="F39" s="812"/>
      <c r="G39" s="812">
        <v>0</v>
      </c>
      <c r="H39" s="812">
        <v>0</v>
      </c>
      <c r="I39" s="812">
        <v>0</v>
      </c>
      <c r="J39" s="809">
        <f t="shared" si="4"/>
        <v>0</v>
      </c>
    </row>
    <row r="40" spans="1:10">
      <c r="A40" s="806" t="s">
        <v>771</v>
      </c>
      <c r="B40" s="812">
        <v>0</v>
      </c>
      <c r="C40" s="812">
        <v>0</v>
      </c>
      <c r="D40" s="812">
        <v>8</v>
      </c>
      <c r="E40" s="808">
        <f t="shared" si="3"/>
        <v>8</v>
      </c>
      <c r="F40" s="812"/>
      <c r="G40" s="812">
        <v>0</v>
      </c>
      <c r="H40" s="812">
        <v>0</v>
      </c>
      <c r="I40" s="812">
        <v>0</v>
      </c>
      <c r="J40" s="809">
        <f t="shared" si="4"/>
        <v>0</v>
      </c>
    </row>
    <row r="41" spans="1:10">
      <c r="A41" s="814" t="str">
        <f>A22</f>
        <v>Balanse 31.12.</v>
      </c>
      <c r="B41" s="815">
        <f>B28+SUM(B30:B40)</f>
        <v>21</v>
      </c>
      <c r="C41" s="815">
        <f>C28+SUM(C30:C40)</f>
        <v>82</v>
      </c>
      <c r="D41" s="815">
        <f>D28+SUM(D30:D40)</f>
        <v>27</v>
      </c>
      <c r="E41" s="816">
        <f t="shared" si="3"/>
        <v>130</v>
      </c>
      <c r="F41" s="817"/>
      <c r="G41" s="815">
        <f>G28+SUM(G30:G40)</f>
        <v>31</v>
      </c>
      <c r="H41" s="815">
        <f>H28+SUM(H30:H40)</f>
        <v>57</v>
      </c>
      <c r="I41" s="815">
        <f>I28+SUM(I30:I40)</f>
        <v>19</v>
      </c>
      <c r="J41" s="818">
        <f t="shared" si="4"/>
        <v>107</v>
      </c>
    </row>
    <row r="42" spans="1:10">
      <c r="A42" s="267"/>
      <c r="B42" s="267"/>
      <c r="F42" s="267"/>
      <c r="G42" s="267"/>
      <c r="H42" s="267"/>
      <c r="I42" s="267"/>
      <c r="J42" s="267"/>
    </row>
  </sheetData>
  <mergeCells count="6">
    <mergeCell ref="A6:A7"/>
    <mergeCell ref="B6:E6"/>
    <mergeCell ref="G6:J6"/>
    <mergeCell ref="A25:A26"/>
    <mergeCell ref="B25:E25"/>
    <mergeCell ref="G25:J25"/>
  </mergeCells>
  <phoneticPr fontId="4" type="noConversion"/>
  <pageMargins left="0.75" right="0.75" top="1" bottom="1" header="0.5" footer="0.5"/>
  <pageSetup paperSize="9" fitToHeight="0" orientation="portrait" r:id="rId1"/>
  <headerFooter alignWithMargins="0">
    <oddHeader>&amp;R&amp;"Calibri"&amp;12&amp;KFF9100F O R T R O L I G&amp;1#</oddHeader>
    <oddFooter>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9">
    <pageSetUpPr fitToPage="1"/>
  </sheetPr>
  <dimension ref="A1:F23"/>
  <sheetViews>
    <sheetView showGridLines="0" zoomScaleNormal="100" workbookViewId="0">
      <selection activeCell="F45" sqref="F45"/>
    </sheetView>
  </sheetViews>
  <sheetFormatPr baseColWidth="10" defaultColWidth="11" defaultRowHeight="12"/>
  <cols>
    <col min="1" max="1" width="19.5" style="18" customWidth="1"/>
    <col min="2" max="2" width="16.25" style="18" customWidth="1"/>
    <col min="3" max="3" width="16" style="18" customWidth="1"/>
    <col min="4" max="4" width="16.625" style="18" customWidth="1"/>
    <col min="5" max="16384" width="11" style="18"/>
  </cols>
  <sheetData>
    <row r="1" spans="1:6" ht="21">
      <c r="A1" s="685" t="s">
        <v>845</v>
      </c>
      <c r="B1" s="607"/>
      <c r="C1" s="607"/>
      <c r="D1" s="607"/>
    </row>
    <row r="2" spans="1:6">
      <c r="A2" s="143" t="s">
        <v>117</v>
      </c>
      <c r="B2" s="248"/>
      <c r="C2" s="248"/>
      <c r="D2" s="248"/>
      <c r="F2" s="591"/>
    </row>
    <row r="3" spans="1:6" ht="12" customHeight="1">
      <c r="A3" s="143"/>
      <c r="B3" s="248"/>
      <c r="C3" s="248"/>
      <c r="D3" s="248"/>
      <c r="F3" s="22"/>
    </row>
    <row r="4" spans="1:6" ht="12" customHeight="1">
      <c r="A4" s="581"/>
      <c r="B4" s="855"/>
      <c r="C4" s="855"/>
      <c r="D4" s="585"/>
    </row>
    <row r="5" spans="1:6" s="267" customFormat="1" ht="12" customHeight="1">
      <c r="A5" s="581"/>
      <c r="B5" s="778"/>
      <c r="C5" s="778"/>
      <c r="D5" s="585"/>
    </row>
    <row r="6" spans="1:6" s="267" customFormat="1" ht="12" customHeight="1" thickBot="1">
      <c r="A6" s="586" t="s">
        <v>903</v>
      </c>
      <c r="B6" s="587" t="s">
        <v>759</v>
      </c>
      <c r="C6" s="587" t="s">
        <v>755</v>
      </c>
      <c r="D6" s="587" t="s">
        <v>738</v>
      </c>
    </row>
    <row r="7" spans="1:6" s="267" customFormat="1" ht="12" customHeight="1">
      <c r="A7" s="53" t="s">
        <v>26</v>
      </c>
      <c r="B7" s="588">
        <v>89</v>
      </c>
      <c r="C7" s="588">
        <v>216</v>
      </c>
      <c r="D7" s="588">
        <v>776</v>
      </c>
    </row>
    <row r="8" spans="1:6" s="267" customFormat="1" ht="12" customHeight="1">
      <c r="A8" s="53" t="s">
        <v>886</v>
      </c>
      <c r="B8" s="588">
        <v>16</v>
      </c>
      <c r="C8" s="588">
        <v>61</v>
      </c>
      <c r="D8" s="588">
        <v>91</v>
      </c>
    </row>
    <row r="9" spans="1:6" s="267" customFormat="1" ht="12" customHeight="1">
      <c r="A9" s="53" t="s">
        <v>887</v>
      </c>
      <c r="B9" s="588">
        <v>24</v>
      </c>
      <c r="C9" s="588">
        <v>64</v>
      </c>
      <c r="D9" s="588">
        <v>32</v>
      </c>
    </row>
    <row r="10" spans="1:6" s="267" customFormat="1" ht="12" customHeight="1">
      <c r="A10" s="589" t="s">
        <v>888</v>
      </c>
      <c r="B10" s="588">
        <v>24</v>
      </c>
      <c r="C10" s="588">
        <v>27</v>
      </c>
      <c r="D10" s="588">
        <v>6</v>
      </c>
    </row>
    <row r="11" spans="1:6" s="267" customFormat="1" ht="12" customHeight="1">
      <c r="A11" s="589" t="s">
        <v>29</v>
      </c>
      <c r="B11" s="588">
        <v>14</v>
      </c>
      <c r="C11" s="588">
        <v>102</v>
      </c>
      <c r="D11" s="588">
        <v>14</v>
      </c>
    </row>
    <row r="12" spans="1:6" s="267" customFormat="1" ht="12" customHeight="1">
      <c r="A12" s="590" t="s">
        <v>5</v>
      </c>
      <c r="B12" s="290">
        <f>SUM(B7:B11)</f>
        <v>167</v>
      </c>
      <c r="C12" s="290">
        <f t="shared" ref="C12:D12" si="0">SUM(C7:C11)</f>
        <v>470</v>
      </c>
      <c r="D12" s="290">
        <f t="shared" si="0"/>
        <v>919</v>
      </c>
    </row>
    <row r="13" spans="1:6" s="267" customFormat="1" ht="12" customHeight="1">
      <c r="A13" s="581"/>
      <c r="B13" s="778"/>
      <c r="C13" s="778"/>
      <c r="D13" s="585"/>
    </row>
    <row r="14" spans="1:6" s="267" customFormat="1" ht="12" customHeight="1">
      <c r="A14" s="581"/>
      <c r="B14" s="778"/>
      <c r="C14" s="778"/>
      <c r="D14" s="585"/>
    </row>
    <row r="15" spans="1:6" s="267" customFormat="1" ht="12" customHeight="1">
      <c r="A15" s="581"/>
      <c r="B15" s="778"/>
      <c r="C15" s="778"/>
      <c r="D15" s="585"/>
    </row>
    <row r="16" spans="1:6" ht="12.75" thickBot="1">
      <c r="A16" s="586" t="s">
        <v>739</v>
      </c>
      <c r="B16" s="587" t="s">
        <v>759</v>
      </c>
      <c r="C16" s="587" t="s">
        <v>755</v>
      </c>
      <c r="D16" s="587" t="s">
        <v>738</v>
      </c>
    </row>
    <row r="17" spans="1:6">
      <c r="A17" s="53" t="s">
        <v>26</v>
      </c>
      <c r="B17" s="588">
        <v>155</v>
      </c>
      <c r="C17" s="588">
        <v>273</v>
      </c>
      <c r="D17" s="588">
        <v>500</v>
      </c>
      <c r="F17" s="22"/>
    </row>
    <row r="18" spans="1:6">
      <c r="A18" s="53" t="s">
        <v>27</v>
      </c>
      <c r="B18" s="588">
        <v>19</v>
      </c>
      <c r="C18" s="588">
        <v>32</v>
      </c>
      <c r="D18" s="588">
        <v>85</v>
      </c>
    </row>
    <row r="19" spans="1:6">
      <c r="A19" s="53" t="s">
        <v>28</v>
      </c>
      <c r="B19" s="588">
        <v>33</v>
      </c>
      <c r="C19" s="588">
        <v>42</v>
      </c>
      <c r="D19" s="588">
        <v>47</v>
      </c>
    </row>
    <row r="20" spans="1:6">
      <c r="A20" s="589" t="s">
        <v>29</v>
      </c>
      <c r="B20" s="588">
        <v>53</v>
      </c>
      <c r="C20" s="588">
        <v>77</v>
      </c>
      <c r="D20" s="588">
        <v>18</v>
      </c>
    </row>
    <row r="21" spans="1:6">
      <c r="A21" s="590" t="s">
        <v>5</v>
      </c>
      <c r="B21" s="290">
        <f>SUM(B17:B20)</f>
        <v>260</v>
      </c>
      <c r="C21" s="290">
        <f>SUM(C17:C20)</f>
        <v>424</v>
      </c>
      <c r="D21" s="290">
        <f>SUM(D17:D20)</f>
        <v>650</v>
      </c>
    </row>
    <row r="22" spans="1:6" s="267" customFormat="1">
      <c r="A22" s="605"/>
      <c r="B22" s="606"/>
      <c r="C22" s="606"/>
      <c r="D22" s="606"/>
    </row>
    <row r="23" spans="1:6" s="267" customFormat="1">
      <c r="A23" s="605"/>
      <c r="B23" s="606"/>
      <c r="C23" s="606"/>
      <c r="D23" s="606"/>
    </row>
  </sheetData>
  <mergeCells count="1">
    <mergeCell ref="B4:C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Header>&amp;R&amp;"Calibri"&amp;12&amp;KFF9100F O R T R O L I G&amp;1#</oddHeader>
    <oddFooter>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0">
    <pageSetUpPr fitToPage="1"/>
  </sheetPr>
  <dimension ref="A1:J34"/>
  <sheetViews>
    <sheetView showGridLines="0" zoomScaleNormal="100" workbookViewId="0">
      <selection activeCell="F45" sqref="F45"/>
    </sheetView>
  </sheetViews>
  <sheetFormatPr baseColWidth="10" defaultColWidth="11" defaultRowHeight="12"/>
  <cols>
    <col min="1" max="1" width="61.25" style="18" customWidth="1"/>
    <col min="2" max="2" width="14" style="18" customWidth="1"/>
    <col min="3" max="3" width="14.75" style="18" customWidth="1"/>
    <col min="4" max="4" width="15.625" style="18" customWidth="1"/>
    <col min="5" max="5" width="8.625" style="18" customWidth="1"/>
    <col min="6" max="6" width="45.75" style="18" bestFit="1" customWidth="1"/>
    <col min="7" max="16384" width="11" style="18"/>
  </cols>
  <sheetData>
    <row r="1" spans="1:10" ht="21">
      <c r="A1" s="685" t="s">
        <v>149</v>
      </c>
      <c r="B1" s="685"/>
      <c r="C1" s="685"/>
      <c r="D1" s="685"/>
      <c r="E1" s="685"/>
    </row>
    <row r="2" spans="1:10">
      <c r="A2" s="249" t="s">
        <v>117</v>
      </c>
      <c r="B2" s="249"/>
      <c r="C2" s="249"/>
      <c r="D2" s="249"/>
      <c r="E2" s="249"/>
    </row>
    <row r="3" spans="1:10">
      <c r="F3" s="572"/>
      <c r="G3" s="267"/>
      <c r="H3" s="267"/>
      <c r="I3" s="267"/>
      <c r="J3" s="267"/>
    </row>
    <row r="4" spans="1:10">
      <c r="F4" s="572"/>
      <c r="G4" s="267"/>
      <c r="H4" s="267"/>
      <c r="I4" s="267"/>
      <c r="J4" s="267"/>
    </row>
    <row r="5" spans="1:10" s="267" customFormat="1" ht="48.75" thickBot="1">
      <c r="A5" s="762" t="s">
        <v>889</v>
      </c>
      <c r="B5" s="263" t="s">
        <v>890</v>
      </c>
      <c r="C5" s="263" t="s">
        <v>775</v>
      </c>
      <c r="D5" s="263" t="s">
        <v>891</v>
      </c>
      <c r="E5" s="263" t="s">
        <v>892</v>
      </c>
    </row>
    <row r="6" spans="1:10" s="267" customFormat="1">
      <c r="A6" s="593"/>
      <c r="B6" s="594"/>
      <c r="C6" s="583"/>
      <c r="D6" s="583"/>
      <c r="E6" s="603"/>
    </row>
    <row r="7" spans="1:10" s="267" customFormat="1">
      <c r="A7" s="595" t="s">
        <v>893</v>
      </c>
      <c r="B7" s="575">
        <v>1168</v>
      </c>
      <c r="C7" s="575">
        <v>205</v>
      </c>
      <c r="D7" s="575">
        <v>23</v>
      </c>
      <c r="E7" s="575">
        <v>1396</v>
      </c>
    </row>
    <row r="8" spans="1:10" s="267" customFormat="1">
      <c r="A8" s="596" t="s">
        <v>894</v>
      </c>
      <c r="B8" s="575">
        <v>166</v>
      </c>
      <c r="C8" s="575">
        <v>-6</v>
      </c>
      <c r="D8" s="575">
        <v>0</v>
      </c>
      <c r="E8" s="575">
        <v>160</v>
      </c>
    </row>
    <row r="9" spans="1:10" s="267" customFormat="1">
      <c r="A9" s="597" t="s">
        <v>780</v>
      </c>
      <c r="B9" s="577">
        <v>0</v>
      </c>
      <c r="C9" s="577">
        <v>0</v>
      </c>
      <c r="D9" s="577">
        <v>0</v>
      </c>
      <c r="E9" s="577">
        <v>0</v>
      </c>
    </row>
    <row r="10" spans="1:10" s="267" customFormat="1">
      <c r="A10" s="598" t="s">
        <v>781</v>
      </c>
      <c r="B10" s="579">
        <v>1334</v>
      </c>
      <c r="C10" s="579">
        <v>199</v>
      </c>
      <c r="D10" s="579">
        <v>23</v>
      </c>
      <c r="E10" s="580">
        <v>1556</v>
      </c>
    </row>
    <row r="11" spans="1:10" s="267" customFormat="1">
      <c r="A11" s="13"/>
      <c r="B11" s="599"/>
      <c r="C11" s="599"/>
      <c r="D11" s="599"/>
      <c r="E11" s="584"/>
    </row>
    <row r="12" spans="1:10" s="267" customFormat="1">
      <c r="A12" s="13" t="s">
        <v>782</v>
      </c>
      <c r="B12" s="599"/>
      <c r="C12" s="599"/>
      <c r="D12" s="599"/>
      <c r="E12" s="584"/>
    </row>
    <row r="13" spans="1:10" s="267" customFormat="1">
      <c r="A13" s="600" t="s">
        <v>895</v>
      </c>
      <c r="B13" s="575">
        <v>1227</v>
      </c>
      <c r="C13" s="575">
        <v>199</v>
      </c>
      <c r="D13" s="575">
        <v>0</v>
      </c>
      <c r="E13" s="575">
        <v>1426</v>
      </c>
    </row>
    <row r="14" spans="1:10" s="267" customFormat="1">
      <c r="A14" s="601" t="s">
        <v>783</v>
      </c>
      <c r="B14" s="577">
        <v>107</v>
      </c>
      <c r="C14" s="577">
        <v>0</v>
      </c>
      <c r="D14" s="577">
        <v>23</v>
      </c>
      <c r="E14" s="577">
        <v>130</v>
      </c>
    </row>
    <row r="15" spans="1:10" s="267" customFormat="1">
      <c r="A15" s="602" t="s">
        <v>781</v>
      </c>
      <c r="B15" s="579">
        <v>1334</v>
      </c>
      <c r="C15" s="579">
        <v>199</v>
      </c>
      <c r="D15" s="579">
        <v>23</v>
      </c>
      <c r="E15" s="580">
        <v>1556</v>
      </c>
    </row>
    <row r="16" spans="1:10" s="267" customFormat="1">
      <c r="F16" s="761"/>
    </row>
    <row r="17" spans="1:10" s="267" customFormat="1">
      <c r="F17" s="761"/>
    </row>
    <row r="18" spans="1:10" s="267" customFormat="1">
      <c r="F18" s="761"/>
    </row>
    <row r="19" spans="1:10" s="267" customFormat="1">
      <c r="F19" s="761"/>
    </row>
    <row r="20" spans="1:10" s="267" customFormat="1">
      <c r="F20" s="761"/>
    </row>
    <row r="21" spans="1:10">
      <c r="A21" s="592" t="s">
        <v>896</v>
      </c>
      <c r="B21" s="856"/>
      <c r="C21" s="856"/>
      <c r="D21" s="856"/>
      <c r="E21" s="856"/>
      <c r="F21" s="522"/>
      <c r="G21" s="267"/>
      <c r="H21" s="267"/>
      <c r="I21" s="267"/>
      <c r="J21" s="267"/>
    </row>
    <row r="22" spans="1:10" ht="24.75" thickBot="1">
      <c r="A22" s="548" t="s">
        <v>773</v>
      </c>
      <c r="B22" s="263" t="s">
        <v>774</v>
      </c>
      <c r="C22" s="263" t="s">
        <v>775</v>
      </c>
      <c r="D22" s="263" t="s">
        <v>776</v>
      </c>
      <c r="E22" s="263" t="s">
        <v>777</v>
      </c>
    </row>
    <row r="23" spans="1:10">
      <c r="A23" s="593"/>
      <c r="B23" s="594"/>
      <c r="C23" s="583"/>
      <c r="D23" s="583"/>
      <c r="E23" s="603"/>
    </row>
    <row r="24" spans="1:10">
      <c r="A24" s="595" t="s">
        <v>778</v>
      </c>
      <c r="B24" s="575">
        <v>1236</v>
      </c>
      <c r="C24" s="575">
        <v>-48</v>
      </c>
      <c r="D24" s="575">
        <v>-20</v>
      </c>
      <c r="E24" s="575">
        <f>SUM(B24:D24)</f>
        <v>1168</v>
      </c>
    </row>
    <row r="25" spans="1:10">
      <c r="A25" s="596" t="s">
        <v>779</v>
      </c>
      <c r="B25" s="575">
        <v>187</v>
      </c>
      <c r="C25" s="575">
        <v>-21</v>
      </c>
      <c r="D25" s="575">
        <v>0</v>
      </c>
      <c r="E25" s="575">
        <f>SUM(B25:D25)</f>
        <v>166</v>
      </c>
    </row>
    <row r="26" spans="1:10">
      <c r="A26" s="597" t="s">
        <v>780</v>
      </c>
      <c r="B26" s="577">
        <v>0</v>
      </c>
      <c r="C26" s="577">
        <v>0</v>
      </c>
      <c r="D26" s="577">
        <v>0</v>
      </c>
      <c r="E26" s="577">
        <f>SUM(B26:D26)</f>
        <v>0</v>
      </c>
    </row>
    <row r="27" spans="1:10">
      <c r="A27" s="598" t="s">
        <v>781</v>
      </c>
      <c r="B27" s="579">
        <f>SUM(B24:B26)</f>
        <v>1423</v>
      </c>
      <c r="C27" s="579">
        <f>SUM(C24:C26)</f>
        <v>-69</v>
      </c>
      <c r="D27" s="579">
        <f>SUM(D24:D26)</f>
        <v>-20</v>
      </c>
      <c r="E27" s="580">
        <f>SUM(E24:E26)</f>
        <v>1334</v>
      </c>
    </row>
    <row r="28" spans="1:10">
      <c r="A28" s="13"/>
      <c r="B28" s="599"/>
      <c r="C28" s="599"/>
      <c r="D28" s="599"/>
      <c r="E28" s="584"/>
    </row>
    <row r="29" spans="1:10">
      <c r="A29" s="13" t="s">
        <v>782</v>
      </c>
      <c r="B29" s="599"/>
      <c r="C29" s="599"/>
      <c r="D29" s="599"/>
      <c r="E29" s="584"/>
    </row>
    <row r="30" spans="1:10">
      <c r="A30" s="600" t="s">
        <v>740</v>
      </c>
      <c r="B30" s="575">
        <v>1296</v>
      </c>
      <c r="C30" s="575">
        <v>-69</v>
      </c>
      <c r="D30" s="575">
        <v>0</v>
      </c>
      <c r="E30" s="575">
        <f>SUM(B30:D30)</f>
        <v>1227</v>
      </c>
    </row>
    <row r="31" spans="1:10">
      <c r="A31" s="601" t="s">
        <v>783</v>
      </c>
      <c r="B31" s="577">
        <v>127</v>
      </c>
      <c r="C31" s="577">
        <v>0</v>
      </c>
      <c r="D31" s="577">
        <v>-20</v>
      </c>
      <c r="E31" s="577">
        <f>SUM(B31:D31)</f>
        <v>107</v>
      </c>
    </row>
    <row r="32" spans="1:10">
      <c r="A32" s="602" t="s">
        <v>781</v>
      </c>
      <c r="B32" s="579">
        <f>+B30+B31</f>
        <v>1423</v>
      </c>
      <c r="C32" s="579">
        <f>+C30+C31</f>
        <v>-69</v>
      </c>
      <c r="D32" s="579">
        <f>+D30+D31</f>
        <v>-20</v>
      </c>
      <c r="E32" s="580">
        <f>+E30+E31</f>
        <v>1334</v>
      </c>
    </row>
    <row r="34" spans="1:5">
      <c r="A34" s="249"/>
      <c r="B34" s="249"/>
      <c r="C34" s="249"/>
      <c r="D34" s="249"/>
      <c r="E34" s="249"/>
    </row>
  </sheetData>
  <mergeCells count="1">
    <mergeCell ref="B21:E21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6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2"/>
  <dimension ref="A1:K155"/>
  <sheetViews>
    <sheetView topLeftCell="A16" zoomScaleNormal="100" workbookViewId="0">
      <selection activeCell="F45" sqref="F45"/>
    </sheetView>
  </sheetViews>
  <sheetFormatPr baseColWidth="10" defaultColWidth="10" defaultRowHeight="12.75"/>
  <cols>
    <col min="1" max="1" width="24.75" style="616" customWidth="1"/>
    <col min="2" max="2" width="13.125" style="616" bestFit="1" customWidth="1"/>
    <col min="3" max="3" width="14.875" style="616" bestFit="1" customWidth="1"/>
    <col min="4" max="4" width="14.25" style="616" bestFit="1" customWidth="1"/>
    <col min="5" max="5" width="11.75" style="616" customWidth="1"/>
    <col min="6" max="6" width="13.875" style="616" bestFit="1" customWidth="1"/>
    <col min="7" max="7" width="15.375" style="616" customWidth="1"/>
    <col min="8" max="8" width="10.875" style="616" bestFit="1" customWidth="1"/>
    <col min="9" max="9" width="13.5" style="616" customWidth="1"/>
    <col min="10" max="10" width="12.125" style="616" customWidth="1"/>
    <col min="11" max="16384" width="10" style="616"/>
  </cols>
  <sheetData>
    <row r="1" spans="1:11" ht="21">
      <c r="A1" s="615" t="s">
        <v>815</v>
      </c>
    </row>
    <row r="3" spans="1:11">
      <c r="A3" s="617">
        <v>2019</v>
      </c>
    </row>
    <row r="4" spans="1:11" ht="38.25">
      <c r="A4" s="619" t="s">
        <v>121</v>
      </c>
      <c r="B4" s="724" t="s">
        <v>816</v>
      </c>
      <c r="C4" s="725" t="s">
        <v>817</v>
      </c>
      <c r="D4" s="725" t="s">
        <v>818</v>
      </c>
      <c r="E4" s="726" t="s">
        <v>43</v>
      </c>
      <c r="F4" s="726" t="s">
        <v>819</v>
      </c>
      <c r="G4" s="726" t="s">
        <v>820</v>
      </c>
      <c r="H4" s="726" t="s">
        <v>821</v>
      </c>
      <c r="I4" s="726" t="s">
        <v>863</v>
      </c>
      <c r="J4" s="726" t="s">
        <v>822</v>
      </c>
      <c r="K4" s="726" t="s">
        <v>648</v>
      </c>
    </row>
    <row r="5" spans="1:11">
      <c r="A5" s="727" t="s">
        <v>823</v>
      </c>
      <c r="B5" s="728" t="s">
        <v>49</v>
      </c>
      <c r="C5" s="624">
        <v>0</v>
      </c>
      <c r="D5" s="625">
        <v>0</v>
      </c>
      <c r="E5" s="625">
        <v>0</v>
      </c>
      <c r="F5" s="626">
        <v>0</v>
      </c>
      <c r="G5" s="729"/>
      <c r="H5" s="625">
        <v>0</v>
      </c>
      <c r="I5" s="625"/>
      <c r="J5" s="729">
        <v>0</v>
      </c>
      <c r="K5" s="625">
        <v>0</v>
      </c>
    </row>
    <row r="6" spans="1:11">
      <c r="A6" s="727" t="s">
        <v>823</v>
      </c>
      <c r="B6" s="728" t="s">
        <v>50</v>
      </c>
      <c r="C6" s="624">
        <v>280721182</v>
      </c>
      <c r="D6" s="625">
        <v>380575346</v>
      </c>
      <c r="E6" s="625">
        <v>384588.31699999998</v>
      </c>
      <c r="F6" s="626">
        <v>0.22946172855271599</v>
      </c>
      <c r="G6" s="730">
        <v>21.636085476824299</v>
      </c>
      <c r="H6" s="625">
        <v>90144.104000000007</v>
      </c>
      <c r="I6" s="625">
        <v>83489.084000000003</v>
      </c>
      <c r="J6" s="630">
        <v>0.23439116586581077</v>
      </c>
      <c r="K6" s="625">
        <v>194.846</v>
      </c>
    </row>
    <row r="7" spans="1:11">
      <c r="A7" s="727" t="s">
        <v>823</v>
      </c>
      <c r="B7" s="728" t="s">
        <v>51</v>
      </c>
      <c r="C7" s="624">
        <v>3020144856</v>
      </c>
      <c r="D7" s="625">
        <v>1437355853</v>
      </c>
      <c r="E7" s="625">
        <v>3858437.5260000001</v>
      </c>
      <c r="F7" s="626">
        <v>0.39621955511739998</v>
      </c>
      <c r="G7" s="730">
        <v>25.4110892658781</v>
      </c>
      <c r="H7" s="625">
        <v>1278439.3</v>
      </c>
      <c r="I7" s="625">
        <v>1206109.5620000002</v>
      </c>
      <c r="J7" s="630">
        <v>0.33133601137384333</v>
      </c>
      <c r="K7" s="625">
        <v>3817.701</v>
      </c>
    </row>
    <row r="8" spans="1:11">
      <c r="A8" s="727" t="s">
        <v>823</v>
      </c>
      <c r="B8" s="728" t="s">
        <v>52</v>
      </c>
      <c r="C8" s="624">
        <v>2372846272</v>
      </c>
      <c r="D8" s="625">
        <v>1285488170</v>
      </c>
      <c r="E8" s="625">
        <v>2898397.7590000001</v>
      </c>
      <c r="F8" s="626">
        <v>0.62882383701153</v>
      </c>
      <c r="G8" s="730">
        <v>27.365573221863599</v>
      </c>
      <c r="H8" s="625">
        <v>1215015.693</v>
      </c>
      <c r="I8" s="625">
        <v>1139824.3019999999</v>
      </c>
      <c r="J8" s="630">
        <v>0.41920253672125474</v>
      </c>
      <c r="K8" s="625">
        <v>4968.8959999999997</v>
      </c>
    </row>
    <row r="9" spans="1:11">
      <c r="A9" s="727" t="s">
        <v>823</v>
      </c>
      <c r="B9" s="728" t="s">
        <v>53</v>
      </c>
      <c r="C9" s="624">
        <v>5028085248</v>
      </c>
      <c r="D9" s="625">
        <v>1510591242</v>
      </c>
      <c r="E9" s="625">
        <v>5871966.0549999997</v>
      </c>
      <c r="F9" s="626">
        <v>0.97777120068859102</v>
      </c>
      <c r="G9" s="730">
        <v>34.289108147782002</v>
      </c>
      <c r="H9" s="625">
        <v>3677297.3420000002</v>
      </c>
      <c r="I9" s="625">
        <v>3572317.1979999999</v>
      </c>
      <c r="J9" s="630">
        <v>0.62624635557434272</v>
      </c>
      <c r="K9" s="625">
        <v>19790.167000000001</v>
      </c>
    </row>
    <row r="10" spans="1:11">
      <c r="A10" s="727" t="s">
        <v>823</v>
      </c>
      <c r="B10" s="728" t="s">
        <v>54</v>
      </c>
      <c r="C10" s="624">
        <v>6057456486</v>
      </c>
      <c r="D10" s="625">
        <v>1779224855</v>
      </c>
      <c r="E10" s="625">
        <v>7145905.8030000003</v>
      </c>
      <c r="F10" s="626">
        <v>1.87563330241117</v>
      </c>
      <c r="G10" s="730">
        <v>30.5878499977199</v>
      </c>
      <c r="H10" s="625">
        <v>4717506.5479999995</v>
      </c>
      <c r="I10" s="625">
        <v>4559504.1289999997</v>
      </c>
      <c r="J10" s="630">
        <v>0.66016914832819262</v>
      </c>
      <c r="K10" s="625">
        <v>40609.330999999998</v>
      </c>
    </row>
    <row r="11" spans="1:11">
      <c r="A11" s="727" t="s">
        <v>823</v>
      </c>
      <c r="B11" s="728" t="s">
        <v>55</v>
      </c>
      <c r="C11" s="624">
        <v>3977122490</v>
      </c>
      <c r="D11" s="625">
        <v>1176946560</v>
      </c>
      <c r="E11" s="625">
        <v>4646832.4890000001</v>
      </c>
      <c r="F11" s="626">
        <v>3.7137597580397701</v>
      </c>
      <c r="G11" s="730">
        <v>40.631880543779197</v>
      </c>
      <c r="H11" s="625">
        <v>4914796.9689999996</v>
      </c>
      <c r="I11" s="625">
        <v>4763869.0530000003</v>
      </c>
      <c r="J11" s="630">
        <v>1.0576660511508271</v>
      </c>
      <c r="K11" s="625">
        <v>71448.989000000001</v>
      </c>
    </row>
    <row r="12" spans="1:11">
      <c r="A12" s="727" t="s">
        <v>823</v>
      </c>
      <c r="B12" s="728" t="s">
        <v>56</v>
      </c>
      <c r="C12" s="624">
        <v>1229137081</v>
      </c>
      <c r="D12" s="625">
        <v>515202041</v>
      </c>
      <c r="E12" s="625">
        <v>1547350.932</v>
      </c>
      <c r="F12" s="626">
        <v>6.8510308688009998</v>
      </c>
      <c r="G12" s="730">
        <v>38.894529776907802</v>
      </c>
      <c r="H12" s="625">
        <v>1800104.7490000001</v>
      </c>
      <c r="I12" s="625">
        <v>1674414.8370000001</v>
      </c>
      <c r="J12" s="630">
        <v>1.1633461497149244</v>
      </c>
      <c r="K12" s="625">
        <v>40994.550999999999</v>
      </c>
    </row>
    <row r="13" spans="1:11">
      <c r="A13" s="727" t="s">
        <v>823</v>
      </c>
      <c r="B13" s="728" t="s">
        <v>824</v>
      </c>
      <c r="C13" s="624">
        <v>646842668</v>
      </c>
      <c r="D13" s="625">
        <v>97146799</v>
      </c>
      <c r="E13" s="625">
        <v>717112.77599999995</v>
      </c>
      <c r="F13" s="626">
        <v>15.5021272414201</v>
      </c>
      <c r="G13" s="730">
        <v>45.349915785073101</v>
      </c>
      <c r="H13" s="625">
        <v>1310632.4269999999</v>
      </c>
      <c r="I13" s="625">
        <v>1174963.3400000001</v>
      </c>
      <c r="J13" s="630">
        <v>1.8276517597561253</v>
      </c>
      <c r="K13" s="625">
        <v>49836.402000000002</v>
      </c>
    </row>
    <row r="14" spans="1:11">
      <c r="A14" s="727" t="s">
        <v>823</v>
      </c>
      <c r="B14" s="728" t="s">
        <v>58</v>
      </c>
      <c r="C14" s="624">
        <v>21929212</v>
      </c>
      <c r="D14" s="625">
        <v>4338237</v>
      </c>
      <c r="E14" s="625">
        <v>24423.330999999998</v>
      </c>
      <c r="F14" s="626">
        <v>100</v>
      </c>
      <c r="G14" s="730">
        <v>41.427993585313999</v>
      </c>
      <c r="H14" s="625">
        <v>8610.6759999999995</v>
      </c>
      <c r="I14" s="625">
        <v>8610.6759999999995</v>
      </c>
      <c r="J14" s="630">
        <v>0.35255944408238171</v>
      </c>
      <c r="K14" s="625">
        <v>10118.099</v>
      </c>
    </row>
    <row r="15" spans="1:11">
      <c r="A15" s="727" t="s">
        <v>823</v>
      </c>
      <c r="B15" s="727" t="s">
        <v>59</v>
      </c>
      <c r="C15" s="631">
        <v>1789613834</v>
      </c>
      <c r="D15" s="632">
        <v>901003343</v>
      </c>
      <c r="E15" s="632">
        <v>2651166.6359999999</v>
      </c>
      <c r="F15" s="633">
        <v>100</v>
      </c>
      <c r="G15" s="731">
        <v>1.6076997734215601E-2</v>
      </c>
      <c r="H15" s="632">
        <v>2340121.4920000001</v>
      </c>
      <c r="I15" s="632">
        <v>2340121.4920000001</v>
      </c>
      <c r="J15" s="635">
        <v>0.88267612462515921</v>
      </c>
      <c r="K15" s="632">
        <v>728291.99800000002</v>
      </c>
    </row>
    <row r="16" spans="1:11">
      <c r="A16" s="732" t="s">
        <v>823</v>
      </c>
      <c r="B16" s="732" t="s">
        <v>825</v>
      </c>
      <c r="C16" s="733">
        <v>24423899329</v>
      </c>
      <c r="D16" s="638">
        <v>9087872446</v>
      </c>
      <c r="E16" s="734">
        <v>29746181.624000002</v>
      </c>
      <c r="F16" s="735">
        <v>11.06</v>
      </c>
      <c r="G16" s="735">
        <v>29.86</v>
      </c>
      <c r="H16" s="734">
        <v>21352669.300000001</v>
      </c>
      <c r="I16" s="734">
        <v>20523223.672999997</v>
      </c>
      <c r="J16" s="641">
        <v>0.71782891565390383</v>
      </c>
      <c r="K16" s="638">
        <v>970070.98</v>
      </c>
    </row>
    <row r="17" spans="1:11">
      <c r="A17" s="736" t="s">
        <v>84</v>
      </c>
      <c r="B17" s="737" t="s">
        <v>49</v>
      </c>
      <c r="C17" s="645">
        <v>295243433</v>
      </c>
      <c r="D17" s="651">
        <v>81915760</v>
      </c>
      <c r="E17" s="647">
        <v>317401.31300000002</v>
      </c>
      <c r="F17" s="648">
        <v>6.6465068466808802E-2</v>
      </c>
      <c r="G17" s="648">
        <v>37.384247052563403</v>
      </c>
      <c r="H17" s="647">
        <v>172297.788</v>
      </c>
      <c r="I17" s="625">
        <v>171516.65599999999</v>
      </c>
      <c r="J17" s="630">
        <v>0.542838926441366</v>
      </c>
      <c r="K17" s="647">
        <v>2362.819</v>
      </c>
    </row>
    <row r="18" spans="1:11">
      <c r="A18" s="727" t="s">
        <v>84</v>
      </c>
      <c r="B18" s="728" t="s">
        <v>50</v>
      </c>
      <c r="C18" s="624">
        <v>1019708053</v>
      </c>
      <c r="D18" s="651">
        <v>427796639</v>
      </c>
      <c r="E18" s="625">
        <v>1278770.6040000001</v>
      </c>
      <c r="F18" s="652">
        <v>0.179212283487868</v>
      </c>
      <c r="G18" s="652">
        <v>24.551834474293202</v>
      </c>
      <c r="H18" s="625">
        <v>294708.86700000003</v>
      </c>
      <c r="I18" s="625">
        <v>279737.40100000001</v>
      </c>
      <c r="J18" s="630">
        <v>0.23046265380057174</v>
      </c>
      <c r="K18" s="625">
        <v>697.44600000000003</v>
      </c>
    </row>
    <row r="19" spans="1:11">
      <c r="A19" s="727" t="s">
        <v>84</v>
      </c>
      <c r="B19" s="728" t="s">
        <v>51</v>
      </c>
      <c r="C19" s="624">
        <v>5682783217</v>
      </c>
      <c r="D19" s="651">
        <v>155937747</v>
      </c>
      <c r="E19" s="625">
        <v>5758691.7580000004</v>
      </c>
      <c r="F19" s="652">
        <v>0.37612596593505698</v>
      </c>
      <c r="G19" s="652">
        <v>24.3306786311934</v>
      </c>
      <c r="H19" s="625">
        <v>1772357.997</v>
      </c>
      <c r="I19" s="625">
        <v>1695721.2520000001</v>
      </c>
      <c r="J19" s="630">
        <v>0.3077709437282925</v>
      </c>
      <c r="K19" s="625">
        <v>5328.9219999999996</v>
      </c>
    </row>
    <row r="20" spans="1:11">
      <c r="A20" s="727" t="s">
        <v>84</v>
      </c>
      <c r="B20" s="728" t="s">
        <v>52</v>
      </c>
      <c r="C20" s="624">
        <v>5024973975</v>
      </c>
      <c r="D20" s="651">
        <v>252047637</v>
      </c>
      <c r="E20" s="625">
        <v>5196783.5980000002</v>
      </c>
      <c r="F20" s="652">
        <v>0.60512617866371299</v>
      </c>
      <c r="G20" s="652">
        <v>26.788110640892601</v>
      </c>
      <c r="H20" s="625">
        <v>2204680.719</v>
      </c>
      <c r="I20" s="625">
        <v>2133942.7689999999</v>
      </c>
      <c r="J20" s="630">
        <v>0.42423946993838246</v>
      </c>
      <c r="K20" s="625">
        <v>8470.3089999999993</v>
      </c>
    </row>
    <row r="21" spans="1:11">
      <c r="A21" s="727" t="s">
        <v>84</v>
      </c>
      <c r="B21" s="728" t="s">
        <v>53</v>
      </c>
      <c r="C21" s="624">
        <v>8775972794</v>
      </c>
      <c r="D21" s="651">
        <v>773677755</v>
      </c>
      <c r="E21" s="625">
        <v>9351287.3499999996</v>
      </c>
      <c r="F21" s="652">
        <v>0.97211606913138005</v>
      </c>
      <c r="G21" s="652">
        <v>26.625395881990499</v>
      </c>
      <c r="H21" s="625">
        <v>4516110.0420000004</v>
      </c>
      <c r="I21" s="625">
        <v>4386945.767</v>
      </c>
      <c r="J21" s="630">
        <v>0.48293992826559867</v>
      </c>
      <c r="K21" s="625">
        <v>24532.925999999999</v>
      </c>
    </row>
    <row r="22" spans="1:11">
      <c r="A22" s="727" t="s">
        <v>84</v>
      </c>
      <c r="B22" s="728" t="s">
        <v>54</v>
      </c>
      <c r="C22" s="624">
        <v>11905800473</v>
      </c>
      <c r="D22" s="651">
        <v>1441908314</v>
      </c>
      <c r="E22" s="625">
        <v>12926988.345000001</v>
      </c>
      <c r="F22" s="652">
        <v>1.68703027479986</v>
      </c>
      <c r="G22" s="652">
        <v>28.1672251635344</v>
      </c>
      <c r="H22" s="625">
        <v>7709208.1890000002</v>
      </c>
      <c r="I22" s="625">
        <v>7543710.358</v>
      </c>
      <c r="J22" s="630">
        <v>0.59636537012751523</v>
      </c>
      <c r="K22" s="625">
        <v>62731.483999999997</v>
      </c>
    </row>
    <row r="23" spans="1:11">
      <c r="A23" s="727" t="s">
        <v>84</v>
      </c>
      <c r="B23" s="728" t="s">
        <v>55</v>
      </c>
      <c r="C23" s="624">
        <v>6447638060</v>
      </c>
      <c r="D23" s="651">
        <v>1568577920</v>
      </c>
      <c r="E23" s="625">
        <v>7440701.0769999996</v>
      </c>
      <c r="F23" s="652">
        <v>3.3266615126514401</v>
      </c>
      <c r="G23" s="652">
        <v>29.395313322838899</v>
      </c>
      <c r="H23" s="625">
        <v>5448426.6880000001</v>
      </c>
      <c r="I23" s="625">
        <v>5274978.9460000005</v>
      </c>
      <c r="J23" s="630">
        <v>0.73224641490324993</v>
      </c>
      <c r="K23" s="625">
        <v>72779.436000000002</v>
      </c>
    </row>
    <row r="24" spans="1:11">
      <c r="A24" s="727" t="s">
        <v>84</v>
      </c>
      <c r="B24" s="728" t="s">
        <v>56</v>
      </c>
      <c r="C24" s="624">
        <v>2419784570</v>
      </c>
      <c r="D24" s="651">
        <v>497928133</v>
      </c>
      <c r="E24" s="625">
        <v>2820320.7409999999</v>
      </c>
      <c r="F24" s="652">
        <v>6.65553067320438</v>
      </c>
      <c r="G24" s="652">
        <v>35.125337895034797</v>
      </c>
      <c r="H24" s="625">
        <v>2912038.156</v>
      </c>
      <c r="I24" s="625">
        <v>2814413.1690000002</v>
      </c>
      <c r="J24" s="630">
        <v>1.032520207246882</v>
      </c>
      <c r="K24" s="625">
        <v>65066.508999999998</v>
      </c>
    </row>
    <row r="25" spans="1:11">
      <c r="A25" s="727" t="s">
        <v>84</v>
      </c>
      <c r="B25" s="728" t="s">
        <v>824</v>
      </c>
      <c r="C25" s="624">
        <v>524110663</v>
      </c>
      <c r="D25" s="651">
        <v>57260635</v>
      </c>
      <c r="E25" s="625">
        <v>557934.78599999996</v>
      </c>
      <c r="F25" s="652">
        <v>14.6230041659385</v>
      </c>
      <c r="G25" s="652">
        <v>33.430466011488299</v>
      </c>
      <c r="H25" s="625">
        <v>737320.12</v>
      </c>
      <c r="I25" s="625">
        <v>660586.83100000001</v>
      </c>
      <c r="J25" s="630">
        <v>1.3215166691542335</v>
      </c>
      <c r="K25" s="625">
        <v>27652.166000000001</v>
      </c>
    </row>
    <row r="26" spans="1:11">
      <c r="A26" s="727" t="s">
        <v>84</v>
      </c>
      <c r="B26" s="728" t="s">
        <v>58</v>
      </c>
      <c r="C26" s="624">
        <v>25747132</v>
      </c>
      <c r="D26" s="651">
        <v>159500</v>
      </c>
      <c r="E26" s="625">
        <v>25826.882000000001</v>
      </c>
      <c r="F26" s="652">
        <v>100</v>
      </c>
      <c r="G26" s="652">
        <v>33.075390207768798</v>
      </c>
      <c r="H26" s="625">
        <v>0.74099999999999999</v>
      </c>
      <c r="I26" s="625">
        <v>0.74099999999999999</v>
      </c>
      <c r="J26" s="630">
        <v>2.8691035952384804E-5</v>
      </c>
      <c r="K26" s="625">
        <v>8542.3420000000006</v>
      </c>
    </row>
    <row r="27" spans="1:11">
      <c r="A27" s="727" t="s">
        <v>84</v>
      </c>
      <c r="B27" s="727" t="s">
        <v>59</v>
      </c>
      <c r="C27" s="631">
        <v>178909305</v>
      </c>
      <c r="D27" s="653">
        <v>5675728</v>
      </c>
      <c r="E27" s="632">
        <v>182063.55799999999</v>
      </c>
      <c r="F27" s="654">
        <v>100</v>
      </c>
      <c r="G27" s="654">
        <v>12.569316040720199</v>
      </c>
      <c r="H27" s="632">
        <v>251904.32</v>
      </c>
      <c r="I27" s="632">
        <v>251904.32</v>
      </c>
      <c r="J27" s="635">
        <v>1.3836064875761684</v>
      </c>
      <c r="K27" s="632">
        <v>56625.794999999998</v>
      </c>
    </row>
    <row r="28" spans="1:11">
      <c r="A28" s="732" t="s">
        <v>84</v>
      </c>
      <c r="B28" s="732" t="s">
        <v>825</v>
      </c>
      <c r="C28" s="656">
        <v>42300671675</v>
      </c>
      <c r="D28" s="657">
        <v>5262885768</v>
      </c>
      <c r="E28" s="638">
        <v>45856770.011999995</v>
      </c>
      <c r="F28" s="735">
        <v>2.38</v>
      </c>
      <c r="G28" s="735">
        <v>27.81</v>
      </c>
      <c r="H28" s="734">
        <v>26019053.627</v>
      </c>
      <c r="I28" s="734">
        <v>25213458.209999997</v>
      </c>
      <c r="J28" s="659">
        <v>0.56739830607762443</v>
      </c>
      <c r="K28" s="638">
        <v>334790.15399999998</v>
      </c>
    </row>
    <row r="29" spans="1:11">
      <c r="A29" s="736" t="s">
        <v>826</v>
      </c>
      <c r="B29" s="737" t="s">
        <v>49</v>
      </c>
      <c r="C29" s="645">
        <v>0</v>
      </c>
      <c r="D29" s="646">
        <v>0</v>
      </c>
      <c r="E29" s="647">
        <v>0</v>
      </c>
      <c r="F29" s="738"/>
      <c r="G29" s="738"/>
      <c r="H29" s="660">
        <v>0</v>
      </c>
      <c r="I29" s="660">
        <v>0</v>
      </c>
      <c r="J29" s="738"/>
      <c r="K29" s="647">
        <v>0</v>
      </c>
    </row>
    <row r="30" spans="1:11">
      <c r="A30" s="727" t="s">
        <v>826</v>
      </c>
      <c r="B30" s="728" t="s">
        <v>50</v>
      </c>
      <c r="C30" s="624">
        <v>125038022</v>
      </c>
      <c r="D30" s="651">
        <v>0</v>
      </c>
      <c r="E30" s="625">
        <v>125038.022</v>
      </c>
      <c r="F30" s="739">
        <v>0.149999973608028</v>
      </c>
      <c r="G30" s="739">
        <v>24.054048135854199</v>
      </c>
      <c r="H30" s="660">
        <v>27064.582999999999</v>
      </c>
      <c r="I30" s="660">
        <v>27064.582999999999</v>
      </c>
      <c r="J30" s="630">
        <v>0.21645082485389924</v>
      </c>
      <c r="K30" s="625">
        <v>45.113999999999997</v>
      </c>
    </row>
    <row r="31" spans="1:11">
      <c r="A31" s="727" t="s">
        <v>826</v>
      </c>
      <c r="B31" s="728" t="s">
        <v>51</v>
      </c>
      <c r="C31" s="624">
        <v>836941589</v>
      </c>
      <c r="D31" s="651">
        <v>533035394</v>
      </c>
      <c r="E31" s="625">
        <v>1027649.286</v>
      </c>
      <c r="F31" s="739">
        <v>0.35346883897898201</v>
      </c>
      <c r="G31" s="739">
        <v>16.9814392300371</v>
      </c>
      <c r="H31" s="660">
        <v>248025.69</v>
      </c>
      <c r="I31" s="660">
        <v>248025.69</v>
      </c>
      <c r="J31" s="630">
        <v>0.24135246662352083</v>
      </c>
      <c r="K31" s="625">
        <v>601.84699999999998</v>
      </c>
    </row>
    <row r="32" spans="1:11">
      <c r="A32" s="727" t="s">
        <v>826</v>
      </c>
      <c r="B32" s="728" t="s">
        <v>52</v>
      </c>
      <c r="C32" s="624">
        <v>743459248</v>
      </c>
      <c r="D32" s="651">
        <v>463140806</v>
      </c>
      <c r="E32" s="625">
        <v>898671.05299999996</v>
      </c>
      <c r="F32" s="739">
        <v>0.58802951117198199</v>
      </c>
      <c r="G32" s="739">
        <v>25.580216057098301</v>
      </c>
      <c r="H32" s="660">
        <v>360869.511</v>
      </c>
      <c r="I32" s="660">
        <v>360869.511</v>
      </c>
      <c r="J32" s="630">
        <v>0.40155906857723167</v>
      </c>
      <c r="K32" s="625">
        <v>1359.655</v>
      </c>
    </row>
    <row r="33" spans="1:11">
      <c r="A33" s="727" t="s">
        <v>826</v>
      </c>
      <c r="B33" s="728" t="s">
        <v>53</v>
      </c>
      <c r="C33" s="624">
        <v>1487738387</v>
      </c>
      <c r="D33" s="651">
        <v>518641941</v>
      </c>
      <c r="E33" s="625">
        <v>1775199.72</v>
      </c>
      <c r="F33" s="739">
        <v>0.93608380019347903</v>
      </c>
      <c r="G33" s="739">
        <v>18.804379430614201</v>
      </c>
      <c r="H33" s="660">
        <v>714662.10199999996</v>
      </c>
      <c r="I33" s="660">
        <v>714662.10199999996</v>
      </c>
      <c r="J33" s="630">
        <v>0.4025812385774824</v>
      </c>
      <c r="K33" s="625">
        <v>3143.9070000000002</v>
      </c>
    </row>
    <row r="34" spans="1:11">
      <c r="A34" s="727" t="s">
        <v>826</v>
      </c>
      <c r="B34" s="728" t="s">
        <v>54</v>
      </c>
      <c r="C34" s="624">
        <v>1477222081</v>
      </c>
      <c r="D34" s="651">
        <v>416793202</v>
      </c>
      <c r="E34" s="625">
        <v>1756389.358</v>
      </c>
      <c r="F34" s="739">
        <v>1.63023943805972</v>
      </c>
      <c r="G34" s="739">
        <v>29.9063183574584</v>
      </c>
      <c r="H34" s="660">
        <v>1288995.058</v>
      </c>
      <c r="I34" s="660">
        <v>1288995.058</v>
      </c>
      <c r="J34" s="630">
        <v>0.73388913006611367</v>
      </c>
      <c r="K34" s="625">
        <v>8626.777</v>
      </c>
    </row>
    <row r="35" spans="1:11">
      <c r="A35" s="727" t="s">
        <v>826</v>
      </c>
      <c r="B35" s="728" t="s">
        <v>55</v>
      </c>
      <c r="C35" s="624">
        <v>457246025</v>
      </c>
      <c r="D35" s="651">
        <v>554302457</v>
      </c>
      <c r="E35" s="625">
        <v>863441.03399999999</v>
      </c>
      <c r="F35" s="739">
        <v>3.3532492503709301</v>
      </c>
      <c r="G35" s="739">
        <v>29.577172377008001</v>
      </c>
      <c r="H35" s="660">
        <v>775327.451</v>
      </c>
      <c r="I35" s="660">
        <v>773532.82400000002</v>
      </c>
      <c r="J35" s="630">
        <v>0.89795066538382751</v>
      </c>
      <c r="K35" s="625">
        <v>8402.4609999999993</v>
      </c>
    </row>
    <row r="36" spans="1:11">
      <c r="A36" s="727" t="s">
        <v>826</v>
      </c>
      <c r="B36" s="728" t="s">
        <v>56</v>
      </c>
      <c r="C36" s="624">
        <v>324184149</v>
      </c>
      <c r="D36" s="651">
        <v>256110133</v>
      </c>
      <c r="E36" s="625">
        <v>481875.82699999999</v>
      </c>
      <c r="F36" s="739">
        <v>7.0066334744780603</v>
      </c>
      <c r="G36" s="739">
        <v>50.637474288578503</v>
      </c>
      <c r="H36" s="660">
        <v>902732.59600000002</v>
      </c>
      <c r="I36" s="660">
        <v>902732.59600000002</v>
      </c>
      <c r="J36" s="630">
        <v>1.8733718219901494</v>
      </c>
      <c r="K36" s="625">
        <v>17160.46</v>
      </c>
    </row>
    <row r="37" spans="1:11">
      <c r="A37" s="727" t="s">
        <v>826</v>
      </c>
      <c r="B37" s="728" t="s">
        <v>824</v>
      </c>
      <c r="C37" s="624">
        <v>85373320</v>
      </c>
      <c r="D37" s="651">
        <v>106448086</v>
      </c>
      <c r="E37" s="625">
        <v>145232.34299999999</v>
      </c>
      <c r="F37" s="739">
        <v>17.7732146068868</v>
      </c>
      <c r="G37" s="739">
        <v>60.185812742826798</v>
      </c>
      <c r="H37" s="660">
        <v>451609.402</v>
      </c>
      <c r="I37" s="660">
        <v>451609.402</v>
      </c>
      <c r="J37" s="630">
        <v>3.1095649403659351</v>
      </c>
      <c r="K37" s="625">
        <v>15842.607</v>
      </c>
    </row>
    <row r="38" spans="1:11">
      <c r="A38" s="727" t="s">
        <v>826</v>
      </c>
      <c r="B38" s="728" t="s">
        <v>58</v>
      </c>
      <c r="C38" s="624">
        <v>0</v>
      </c>
      <c r="D38" s="651">
        <v>0</v>
      </c>
      <c r="E38" s="625">
        <v>0</v>
      </c>
      <c r="F38" s="739">
        <v>0</v>
      </c>
      <c r="G38" s="739">
        <v>0</v>
      </c>
      <c r="H38" s="660">
        <v>0</v>
      </c>
      <c r="I38" s="660">
        <v>0</v>
      </c>
      <c r="J38" s="660">
        <v>0</v>
      </c>
      <c r="K38" s="660">
        <v>0</v>
      </c>
    </row>
    <row r="39" spans="1:11">
      <c r="A39" s="740" t="s">
        <v>826</v>
      </c>
      <c r="B39" s="740" t="s">
        <v>59</v>
      </c>
      <c r="C39" s="665">
        <v>0</v>
      </c>
      <c r="D39" s="666">
        <v>0</v>
      </c>
      <c r="E39" s="625">
        <v>0</v>
      </c>
      <c r="F39" s="741">
        <v>0</v>
      </c>
      <c r="G39" s="741">
        <v>0</v>
      </c>
      <c r="H39" s="660">
        <v>0</v>
      </c>
      <c r="I39" s="660">
        <v>0</v>
      </c>
      <c r="J39" s="660">
        <v>0</v>
      </c>
      <c r="K39" s="660">
        <v>0</v>
      </c>
    </row>
    <row r="40" spans="1:11">
      <c r="A40" s="742" t="s">
        <v>826</v>
      </c>
      <c r="B40" s="742" t="s">
        <v>825</v>
      </c>
      <c r="C40" s="673">
        <v>5537202821</v>
      </c>
      <c r="D40" s="674">
        <v>2848472019</v>
      </c>
      <c r="E40" s="674">
        <v>7073496.6430000002</v>
      </c>
      <c r="F40" s="743">
        <v>2.02</v>
      </c>
      <c r="G40" s="743">
        <v>26.58</v>
      </c>
      <c r="H40" s="744">
        <v>4769286.3930000002</v>
      </c>
      <c r="I40" s="744">
        <v>4767491.7659999998</v>
      </c>
      <c r="J40" s="676">
        <v>0.67424735370726885</v>
      </c>
      <c r="K40" s="677">
        <v>55182.827999999994</v>
      </c>
    </row>
    <row r="41" spans="1:11">
      <c r="A41" s="736" t="s">
        <v>45</v>
      </c>
      <c r="B41" s="737" t="s">
        <v>49</v>
      </c>
      <c r="C41" s="645">
        <v>0</v>
      </c>
      <c r="D41" s="646">
        <v>0</v>
      </c>
      <c r="E41" s="647">
        <v>0</v>
      </c>
      <c r="F41" s="738"/>
      <c r="G41" s="738"/>
      <c r="H41" s="647">
        <v>0</v>
      </c>
      <c r="I41" s="647"/>
      <c r="J41" s="738"/>
      <c r="K41" s="647">
        <v>0</v>
      </c>
    </row>
    <row r="42" spans="1:11">
      <c r="A42" s="727" t="s">
        <v>45</v>
      </c>
      <c r="B42" s="728" t="s">
        <v>50</v>
      </c>
      <c r="C42" s="624">
        <v>1245117064</v>
      </c>
      <c r="D42" s="651">
        <v>585093257</v>
      </c>
      <c r="E42" s="625">
        <v>1828979.821</v>
      </c>
      <c r="F42" s="626">
        <v>0.20684711534605801</v>
      </c>
      <c r="G42" s="626">
        <v>16.894997170119101</v>
      </c>
      <c r="H42" s="625">
        <v>135060.00899999999</v>
      </c>
      <c r="I42" s="625">
        <v>133503.19699999999</v>
      </c>
      <c r="J42" s="630">
        <v>7.3844450031250508E-2</v>
      </c>
      <c r="K42" s="625">
        <v>641.44200000000001</v>
      </c>
    </row>
    <row r="43" spans="1:11">
      <c r="A43" s="727" t="s">
        <v>45</v>
      </c>
      <c r="B43" s="728" t="s">
        <v>51</v>
      </c>
      <c r="C43" s="624">
        <v>1517479402</v>
      </c>
      <c r="D43" s="651">
        <v>127413154</v>
      </c>
      <c r="E43" s="625">
        <v>1644022.5560000001</v>
      </c>
      <c r="F43" s="626">
        <v>0.361839561038237</v>
      </c>
      <c r="G43" s="626">
        <v>20.399765488375699</v>
      </c>
      <c r="H43" s="625">
        <v>218734.568</v>
      </c>
      <c r="I43" s="625">
        <v>214600.68299999999</v>
      </c>
      <c r="J43" s="630">
        <v>0.13304839839435875</v>
      </c>
      <c r="K43" s="625">
        <v>1210.249</v>
      </c>
    </row>
    <row r="44" spans="1:11">
      <c r="A44" s="727" t="s">
        <v>45</v>
      </c>
      <c r="B44" s="728" t="s">
        <v>52</v>
      </c>
      <c r="C44" s="624">
        <v>804634756</v>
      </c>
      <c r="D44" s="651">
        <v>14995202</v>
      </c>
      <c r="E44" s="625">
        <v>819428.95799999998</v>
      </c>
      <c r="F44" s="626">
        <v>0.61621119814025405</v>
      </c>
      <c r="G44" s="626">
        <v>21.409261204068901</v>
      </c>
      <c r="H44" s="625">
        <v>167342.54</v>
      </c>
      <c r="I44" s="625">
        <v>164494.092</v>
      </c>
      <c r="J44" s="630">
        <v>0.20421848455104269</v>
      </c>
      <c r="K44" s="625">
        <v>1080.7819999999999</v>
      </c>
    </row>
    <row r="45" spans="1:11">
      <c r="A45" s="727" t="s">
        <v>45</v>
      </c>
      <c r="B45" s="728" t="s">
        <v>53</v>
      </c>
      <c r="C45" s="624">
        <v>835847477</v>
      </c>
      <c r="D45" s="651">
        <v>9165097</v>
      </c>
      <c r="E45" s="625">
        <v>844799.07400000002</v>
      </c>
      <c r="F45" s="626">
        <v>0.97767555081387303</v>
      </c>
      <c r="G45" s="626">
        <v>22.582292863640099</v>
      </c>
      <c r="H45" s="625">
        <v>250121.60500000001</v>
      </c>
      <c r="I45" s="625">
        <v>241921.63200000001</v>
      </c>
      <c r="J45" s="630">
        <v>0.29607230014553731</v>
      </c>
      <c r="K45" s="625">
        <v>1880.0440000000001</v>
      </c>
    </row>
    <row r="46" spans="1:11">
      <c r="A46" s="727" t="s">
        <v>45</v>
      </c>
      <c r="B46" s="728" t="s">
        <v>54</v>
      </c>
      <c r="C46" s="624">
        <v>380582069</v>
      </c>
      <c r="D46" s="651">
        <v>8317961</v>
      </c>
      <c r="E46" s="625">
        <v>388780.53</v>
      </c>
      <c r="F46" s="626">
        <v>1.6762434065306699</v>
      </c>
      <c r="G46" s="626">
        <v>22.540856919969698</v>
      </c>
      <c r="H46" s="625">
        <v>162787.092</v>
      </c>
      <c r="I46" s="625">
        <v>157993.24600000001</v>
      </c>
      <c r="J46" s="630">
        <v>0.41871204815734986</v>
      </c>
      <c r="K46" s="625">
        <v>1486.7819999999999</v>
      </c>
    </row>
    <row r="47" spans="1:11">
      <c r="A47" s="727" t="s">
        <v>45</v>
      </c>
      <c r="B47" s="728" t="s">
        <v>55</v>
      </c>
      <c r="C47" s="624">
        <v>130698779</v>
      </c>
      <c r="D47" s="651">
        <v>2006932</v>
      </c>
      <c r="E47" s="625">
        <v>132663.21100000001</v>
      </c>
      <c r="F47" s="626">
        <v>3.6675585969346098</v>
      </c>
      <c r="G47" s="626">
        <v>23.630496174255899</v>
      </c>
      <c r="H47" s="625">
        <v>92927.351999999999</v>
      </c>
      <c r="I47" s="625">
        <v>92706.834000000003</v>
      </c>
      <c r="J47" s="630">
        <v>0.70047567294296831</v>
      </c>
      <c r="K47" s="625">
        <v>1170.7719999999999</v>
      </c>
    </row>
    <row r="48" spans="1:11">
      <c r="A48" s="727" t="s">
        <v>45</v>
      </c>
      <c r="B48" s="728" t="s">
        <v>56</v>
      </c>
      <c r="C48" s="624">
        <v>100650026</v>
      </c>
      <c r="D48" s="651">
        <v>269906</v>
      </c>
      <c r="E48" s="625">
        <v>100919.932</v>
      </c>
      <c r="F48" s="626">
        <v>6.9629357261160303</v>
      </c>
      <c r="G48" s="626">
        <v>19.904525896826801</v>
      </c>
      <c r="H48" s="625">
        <v>82018.642000000007</v>
      </c>
      <c r="I48" s="625">
        <v>81262.040999999997</v>
      </c>
      <c r="J48" s="630">
        <v>0.81271004027232208</v>
      </c>
      <c r="K48" s="625">
        <v>1397.2149999999999</v>
      </c>
    </row>
    <row r="49" spans="1:11">
      <c r="A49" s="727" t="s">
        <v>45</v>
      </c>
      <c r="B49" s="728" t="s">
        <v>824</v>
      </c>
      <c r="C49" s="624">
        <v>210732514</v>
      </c>
      <c r="D49" s="651">
        <v>340332</v>
      </c>
      <c r="E49" s="625">
        <v>210996.84599999999</v>
      </c>
      <c r="F49" s="626">
        <v>26.037263609144201</v>
      </c>
      <c r="G49" s="626">
        <v>19.698575020405801</v>
      </c>
      <c r="H49" s="625">
        <v>239802.37899999999</v>
      </c>
      <c r="I49" s="625">
        <v>236341.52799999999</v>
      </c>
      <c r="J49" s="630">
        <v>1.1365211544441758</v>
      </c>
      <c r="K49" s="625">
        <v>10606.512000000001</v>
      </c>
    </row>
    <row r="50" spans="1:11">
      <c r="A50" s="727" t="s">
        <v>45</v>
      </c>
      <c r="B50" s="728" t="s">
        <v>58</v>
      </c>
      <c r="C50" s="624">
        <v>2392536</v>
      </c>
      <c r="D50" s="651">
        <v>0</v>
      </c>
      <c r="E50" s="625">
        <v>2392.5360000000001</v>
      </c>
      <c r="F50" s="626">
        <v>100</v>
      </c>
      <c r="G50" s="626">
        <v>11.7020600734952</v>
      </c>
      <c r="H50" s="625">
        <v>1951.2919999999999</v>
      </c>
      <c r="I50" s="625">
        <v>1951.2919999999999</v>
      </c>
      <c r="J50" s="630">
        <v>0.81557477087074126</v>
      </c>
      <c r="K50" s="625">
        <v>279.976</v>
      </c>
    </row>
    <row r="51" spans="1:11">
      <c r="A51" s="740" t="s">
        <v>45</v>
      </c>
      <c r="B51" s="740" t="s">
        <v>59</v>
      </c>
      <c r="C51" s="665">
        <v>19369466</v>
      </c>
      <c r="D51" s="666">
        <v>0</v>
      </c>
      <c r="E51" s="667">
        <v>19369.466</v>
      </c>
      <c r="F51" s="678">
        <v>100</v>
      </c>
      <c r="G51" s="678">
        <v>27.663648548700301</v>
      </c>
      <c r="H51" s="667">
        <v>17086.094000000001</v>
      </c>
      <c r="I51" s="667">
        <v>17086.094000000001</v>
      </c>
      <c r="J51" s="670">
        <v>0.88211487090041618</v>
      </c>
      <c r="K51" s="667">
        <v>5358.308</v>
      </c>
    </row>
    <row r="52" spans="1:11">
      <c r="A52" s="742" t="s">
        <v>45</v>
      </c>
      <c r="B52" s="742" t="s">
        <v>825</v>
      </c>
      <c r="C52" s="673">
        <v>5247504089</v>
      </c>
      <c r="D52" s="674">
        <v>747601841</v>
      </c>
      <c r="E52" s="744">
        <v>5992352.9300000006</v>
      </c>
      <c r="F52" s="743">
        <v>1.97</v>
      </c>
      <c r="G52" s="743">
        <v>19.97</v>
      </c>
      <c r="H52" s="677">
        <v>1367831.5729999999</v>
      </c>
      <c r="I52" s="677">
        <v>1341860.639</v>
      </c>
      <c r="J52" s="676">
        <v>0.22826285250191358</v>
      </c>
      <c r="K52" s="744">
        <v>25112.082000000002</v>
      </c>
    </row>
    <row r="53" spans="1:11">
      <c r="A53" s="736" t="s">
        <v>827</v>
      </c>
      <c r="B53" s="737" t="s">
        <v>49</v>
      </c>
      <c r="C53" s="645">
        <v>0</v>
      </c>
      <c r="D53" s="647"/>
      <c r="E53" s="647">
        <v>0</v>
      </c>
      <c r="F53" s="738"/>
      <c r="G53" s="738"/>
      <c r="H53" s="647">
        <v>0</v>
      </c>
      <c r="I53" s="647"/>
      <c r="J53" s="738"/>
      <c r="K53" s="647">
        <v>0</v>
      </c>
    </row>
    <row r="54" spans="1:11">
      <c r="A54" s="727" t="s">
        <v>827</v>
      </c>
      <c r="B54" s="728" t="s">
        <v>50</v>
      </c>
      <c r="C54" s="624">
        <v>32133597823</v>
      </c>
      <c r="D54" s="625">
        <v>12275047641</v>
      </c>
      <c r="E54" s="625">
        <v>44404806.464000002</v>
      </c>
      <c r="F54" s="739">
        <v>0.206084872983718</v>
      </c>
      <c r="G54" s="739">
        <v>17.5496769191369</v>
      </c>
      <c r="H54" s="625">
        <v>3399211.3459999999</v>
      </c>
      <c r="I54" s="625">
        <v>3399211.3459999999</v>
      </c>
      <c r="J54" s="630">
        <v>7.6550527221773135E-2</v>
      </c>
      <c r="K54" s="625">
        <v>16132.273999999999</v>
      </c>
    </row>
    <row r="55" spans="1:11">
      <c r="A55" s="727" t="s">
        <v>827</v>
      </c>
      <c r="B55" s="728" t="s">
        <v>51</v>
      </c>
      <c r="C55" s="624">
        <v>37842259889</v>
      </c>
      <c r="D55" s="625">
        <v>1320281593</v>
      </c>
      <c r="E55" s="625">
        <v>39161323.141000003</v>
      </c>
      <c r="F55" s="739">
        <v>0.36630691584017</v>
      </c>
      <c r="G55" s="739">
        <v>22.257785480374402</v>
      </c>
      <c r="H55" s="625">
        <v>5781184.2699999996</v>
      </c>
      <c r="I55" s="625">
        <v>5781184.2699999996</v>
      </c>
      <c r="J55" s="630">
        <v>0.14762484528893205</v>
      </c>
      <c r="K55" s="625">
        <v>32213.912</v>
      </c>
    </row>
    <row r="56" spans="1:11">
      <c r="A56" s="727" t="s">
        <v>827</v>
      </c>
      <c r="B56" s="728" t="s">
        <v>52</v>
      </c>
      <c r="C56" s="624">
        <v>25970595417</v>
      </c>
      <c r="D56" s="625">
        <v>179307940</v>
      </c>
      <c r="E56" s="625">
        <v>26149263.511</v>
      </c>
      <c r="F56" s="739">
        <v>0.61487494641049401</v>
      </c>
      <c r="G56" s="739">
        <v>24.3650129393505</v>
      </c>
      <c r="H56" s="625">
        <v>6078683.0389999999</v>
      </c>
      <c r="I56" s="625">
        <v>6078683.0389999999</v>
      </c>
      <c r="J56" s="630">
        <v>0.23246096535158359</v>
      </c>
      <c r="K56" s="625">
        <v>39249.879999999997</v>
      </c>
    </row>
    <row r="57" spans="1:11">
      <c r="A57" s="727" t="s">
        <v>827</v>
      </c>
      <c r="B57" s="728" t="s">
        <v>53</v>
      </c>
      <c r="C57" s="624">
        <v>21229447661</v>
      </c>
      <c r="D57" s="625">
        <v>64827286</v>
      </c>
      <c r="E57" s="625">
        <v>21294004.824000001</v>
      </c>
      <c r="F57" s="739">
        <v>0.94461810571814897</v>
      </c>
      <c r="G57" s="739">
        <v>25.3932925332374</v>
      </c>
      <c r="H57" s="625">
        <v>6902244.9639999997</v>
      </c>
      <c r="I57" s="625">
        <v>6902244.9639999997</v>
      </c>
      <c r="J57" s="630">
        <v>0.3241402930565993</v>
      </c>
      <c r="K57" s="625">
        <v>51181.180999999997</v>
      </c>
    </row>
    <row r="58" spans="1:11">
      <c r="A58" s="727" t="s">
        <v>827</v>
      </c>
      <c r="B58" s="728" t="s">
        <v>54</v>
      </c>
      <c r="C58" s="624">
        <v>7485698927</v>
      </c>
      <c r="D58" s="625">
        <v>25021961</v>
      </c>
      <c r="E58" s="625">
        <v>7510535.682</v>
      </c>
      <c r="F58" s="739">
        <v>1.60697176752991</v>
      </c>
      <c r="G58" s="739">
        <v>24.977769901233501</v>
      </c>
      <c r="H58" s="625">
        <v>3359120.6290000002</v>
      </c>
      <c r="I58" s="625">
        <v>3359120.6290000002</v>
      </c>
      <c r="J58" s="630">
        <v>0.44725446642249239</v>
      </c>
      <c r="K58" s="625">
        <v>29984.355</v>
      </c>
    </row>
    <row r="59" spans="1:11">
      <c r="A59" s="727" t="s">
        <v>827</v>
      </c>
      <c r="B59" s="728" t="s">
        <v>55</v>
      </c>
      <c r="C59" s="624">
        <v>1928857429</v>
      </c>
      <c r="D59" s="625">
        <v>14545645</v>
      </c>
      <c r="E59" s="625">
        <v>1943326.074</v>
      </c>
      <c r="F59" s="739">
        <v>3.53962744185359</v>
      </c>
      <c r="G59" s="739">
        <v>24.404020115051502</v>
      </c>
      <c r="H59" s="625">
        <v>1368064.696</v>
      </c>
      <c r="I59" s="625">
        <v>1368064.696</v>
      </c>
      <c r="J59" s="630">
        <v>0.70398103246979848</v>
      </c>
      <c r="K59" s="625">
        <v>16937.812000000002</v>
      </c>
    </row>
    <row r="60" spans="1:11">
      <c r="A60" s="727" t="s">
        <v>827</v>
      </c>
      <c r="B60" s="728" t="s">
        <v>56</v>
      </c>
      <c r="C60" s="624">
        <v>1588401101</v>
      </c>
      <c r="D60" s="625">
        <v>3145393</v>
      </c>
      <c r="E60" s="625">
        <v>1591249.6540000001</v>
      </c>
      <c r="F60" s="739">
        <v>6.84680544791496</v>
      </c>
      <c r="G60" s="739">
        <v>24.162512150968901</v>
      </c>
      <c r="H60" s="625">
        <v>1551020.095</v>
      </c>
      <c r="I60" s="625">
        <v>1551020.095</v>
      </c>
      <c r="J60" s="630">
        <v>0.97471826064573008</v>
      </c>
      <c r="K60" s="625">
        <v>26231.463</v>
      </c>
    </row>
    <row r="61" spans="1:11">
      <c r="A61" s="727" t="s">
        <v>827</v>
      </c>
      <c r="B61" s="728" t="s">
        <v>824</v>
      </c>
      <c r="C61" s="624">
        <v>1789656071</v>
      </c>
      <c r="D61" s="625">
        <v>1744289</v>
      </c>
      <c r="E61" s="625">
        <v>1791362.86</v>
      </c>
      <c r="F61" s="739">
        <v>24.5932511406427</v>
      </c>
      <c r="G61" s="739">
        <v>24.449744816078201</v>
      </c>
      <c r="H61" s="625">
        <v>2517209.2710000002</v>
      </c>
      <c r="I61" s="625">
        <v>2517209.2710000002</v>
      </c>
      <c r="J61" s="630">
        <v>1.4051922852749108</v>
      </c>
      <c r="K61" s="625">
        <v>109714.68700000001</v>
      </c>
    </row>
    <row r="62" spans="1:11">
      <c r="A62" s="727" t="s">
        <v>827</v>
      </c>
      <c r="B62" s="728" t="s">
        <v>58</v>
      </c>
      <c r="C62" s="624">
        <v>178156264</v>
      </c>
      <c r="D62" s="625">
        <v>6251</v>
      </c>
      <c r="E62" s="625">
        <v>178162.51500000001</v>
      </c>
      <c r="F62" s="739">
        <v>100</v>
      </c>
      <c r="G62" s="739">
        <v>23.758062126592701</v>
      </c>
      <c r="H62" s="625">
        <v>28043.907999999999</v>
      </c>
      <c r="I62" s="625">
        <v>28043.907999999999</v>
      </c>
      <c r="J62" s="630">
        <v>0.15740633207832747</v>
      </c>
      <c r="K62" s="625">
        <v>42327.96</v>
      </c>
    </row>
    <row r="63" spans="1:11">
      <c r="A63" s="740" t="s">
        <v>827</v>
      </c>
      <c r="B63" s="740" t="s">
        <v>59</v>
      </c>
      <c r="C63" s="665">
        <v>150601520</v>
      </c>
      <c r="D63" s="667">
        <v>4676288</v>
      </c>
      <c r="E63" s="667">
        <v>155277.80799999999</v>
      </c>
      <c r="F63" s="741">
        <v>100</v>
      </c>
      <c r="G63" s="741">
        <v>19.853339892587901</v>
      </c>
      <c r="H63" s="667">
        <v>303927.68800000002</v>
      </c>
      <c r="I63" s="667">
        <v>303927.68800000002</v>
      </c>
      <c r="J63" s="670">
        <v>1.9573156777174499</v>
      </c>
      <c r="K63" s="667">
        <v>30827.834999999999</v>
      </c>
    </row>
    <row r="64" spans="1:11">
      <c r="A64" s="727" t="s">
        <v>827</v>
      </c>
      <c r="B64" s="742" t="s">
        <v>825</v>
      </c>
      <c r="C64" s="673">
        <v>130297272102</v>
      </c>
      <c r="D64" s="677">
        <v>13888604287</v>
      </c>
      <c r="E64" s="744">
        <v>144179312.53300002</v>
      </c>
      <c r="F64" s="743">
        <v>1.1599999999999999</v>
      </c>
      <c r="G64" s="743">
        <v>21.87</v>
      </c>
      <c r="H64" s="677">
        <v>31288709.906000003</v>
      </c>
      <c r="I64" s="677">
        <v>31288709.906000003</v>
      </c>
      <c r="J64" s="679">
        <v>0.21701247811705709</v>
      </c>
      <c r="K64" s="744">
        <v>394801.35900000005</v>
      </c>
    </row>
    <row r="65" spans="1:11">
      <c r="A65" s="736" t="s">
        <v>102</v>
      </c>
      <c r="B65" s="737" t="s">
        <v>49</v>
      </c>
      <c r="C65" s="645">
        <v>0</v>
      </c>
      <c r="D65" s="646">
        <v>0</v>
      </c>
      <c r="E65" s="647">
        <v>0</v>
      </c>
      <c r="F65" s="738"/>
      <c r="G65" s="738"/>
      <c r="H65" s="647">
        <v>0</v>
      </c>
      <c r="I65" s="647"/>
      <c r="J65" s="738"/>
      <c r="K65" s="647">
        <v>0</v>
      </c>
    </row>
    <row r="66" spans="1:11">
      <c r="A66" s="727" t="s">
        <v>102</v>
      </c>
      <c r="B66" s="728" t="s">
        <v>50</v>
      </c>
      <c r="C66" s="624">
        <v>569895211</v>
      </c>
      <c r="D66" s="651">
        <v>643653564</v>
      </c>
      <c r="E66" s="625">
        <v>1210025.2749999999</v>
      </c>
      <c r="F66" s="652">
        <v>0.2072514030457546</v>
      </c>
      <c r="G66" s="652">
        <v>50.158802785912584</v>
      </c>
      <c r="H66" s="625">
        <v>267065.55499999999</v>
      </c>
      <c r="I66" s="625">
        <v>266878.90999999997</v>
      </c>
      <c r="J66" s="630">
        <v>0.22071072441028144</v>
      </c>
      <c r="K66" s="625">
        <v>1259.2829999999999</v>
      </c>
    </row>
    <row r="67" spans="1:11">
      <c r="A67" s="727" t="s">
        <v>102</v>
      </c>
      <c r="B67" s="728" t="s">
        <v>51</v>
      </c>
      <c r="C67" s="624">
        <v>1329256006</v>
      </c>
      <c r="D67" s="651">
        <v>331230554</v>
      </c>
      <c r="E67" s="625">
        <v>1656994.06</v>
      </c>
      <c r="F67" s="652">
        <v>0.37176482947680745</v>
      </c>
      <c r="G67" s="652">
        <v>50.21793861204236</v>
      </c>
      <c r="H67" s="625">
        <v>529776.82500000007</v>
      </c>
      <c r="I67" s="625">
        <v>529328.24199999997</v>
      </c>
      <c r="J67" s="630">
        <v>0.31972161988317571</v>
      </c>
      <c r="K67" s="625">
        <v>3097.4389999999999</v>
      </c>
    </row>
    <row r="68" spans="1:11">
      <c r="A68" s="727" t="s">
        <v>102</v>
      </c>
      <c r="B68" s="728" t="s">
        <v>52</v>
      </c>
      <c r="C68" s="624">
        <v>1103071498</v>
      </c>
      <c r="D68" s="651">
        <v>71182016</v>
      </c>
      <c r="E68" s="625">
        <v>1173147.2540000002</v>
      </c>
      <c r="F68" s="652">
        <v>0.61414865283799391</v>
      </c>
      <c r="G68" s="652">
        <v>50.316961664692968</v>
      </c>
      <c r="H68" s="625">
        <v>502221.75299999997</v>
      </c>
      <c r="I68" s="625">
        <v>501777.092</v>
      </c>
      <c r="J68" s="630">
        <v>0.42809779530029901</v>
      </c>
      <c r="K68" s="625">
        <v>3627.232</v>
      </c>
    </row>
    <row r="69" spans="1:11">
      <c r="A69" s="727" t="s">
        <v>102</v>
      </c>
      <c r="B69" s="728" t="s">
        <v>53</v>
      </c>
      <c r="C69" s="624">
        <v>945446194</v>
      </c>
      <c r="D69" s="651">
        <v>31225471</v>
      </c>
      <c r="E69" s="625">
        <v>975587.41500000004</v>
      </c>
      <c r="F69" s="652">
        <v>0.95128731373063125</v>
      </c>
      <c r="G69" s="652">
        <v>50.340590883733746</v>
      </c>
      <c r="H69" s="625">
        <v>515385.20600000001</v>
      </c>
      <c r="I69" s="625">
        <v>515040.745</v>
      </c>
      <c r="J69" s="630">
        <v>0.52828193360817388</v>
      </c>
      <c r="K69" s="625">
        <v>4666.2169999999996</v>
      </c>
    </row>
    <row r="70" spans="1:11">
      <c r="A70" s="727" t="s">
        <v>102</v>
      </c>
      <c r="B70" s="728" t="s">
        <v>54</v>
      </c>
      <c r="C70" s="624">
        <v>406094022</v>
      </c>
      <c r="D70" s="651">
        <v>17264326</v>
      </c>
      <c r="E70" s="625">
        <v>423047.348</v>
      </c>
      <c r="F70" s="652">
        <v>1.6318731884682507</v>
      </c>
      <c r="G70" s="652">
        <v>50.511802464607776</v>
      </c>
      <c r="H70" s="625">
        <v>272980.18199999997</v>
      </c>
      <c r="I70" s="625">
        <v>272808.22100000002</v>
      </c>
      <c r="J70" s="630">
        <v>0.64527099222000084</v>
      </c>
      <c r="K70" s="625">
        <v>3477.9349999999999</v>
      </c>
    </row>
    <row r="71" spans="1:11">
      <c r="A71" s="727" t="s">
        <v>102</v>
      </c>
      <c r="B71" s="728" t="s">
        <v>55</v>
      </c>
      <c r="C71" s="624">
        <v>114131630</v>
      </c>
      <c r="D71" s="651">
        <v>4130004</v>
      </c>
      <c r="E71" s="625">
        <v>118224.13400000001</v>
      </c>
      <c r="F71" s="652">
        <v>3.5101077893152137</v>
      </c>
      <c r="G71" s="652">
        <v>49.582377698307695</v>
      </c>
      <c r="H71" s="625">
        <v>88091.129000000001</v>
      </c>
      <c r="I71" s="625">
        <v>88018.289000000004</v>
      </c>
      <c r="J71" s="630">
        <v>0.74511968089358127</v>
      </c>
      <c r="K71" s="625">
        <v>2051.2860000000001</v>
      </c>
    </row>
    <row r="72" spans="1:11">
      <c r="A72" s="727" t="s">
        <v>102</v>
      </c>
      <c r="B72" s="728" t="s">
        <v>56</v>
      </c>
      <c r="C72" s="624">
        <v>82827272</v>
      </c>
      <c r="D72" s="651">
        <v>1944229</v>
      </c>
      <c r="E72" s="625">
        <v>84546.501000000004</v>
      </c>
      <c r="F72" s="652">
        <v>7.010348991821501</v>
      </c>
      <c r="G72" s="652">
        <v>49.600893552140469</v>
      </c>
      <c r="H72" s="625">
        <v>68822.813999999998</v>
      </c>
      <c r="I72" s="625">
        <v>68700.032999999996</v>
      </c>
      <c r="J72" s="630">
        <v>0.81402320836435316</v>
      </c>
      <c r="K72" s="625">
        <v>2948.7710000000002</v>
      </c>
    </row>
    <row r="73" spans="1:11">
      <c r="A73" s="727" t="s">
        <v>102</v>
      </c>
      <c r="B73" s="728" t="s">
        <v>824</v>
      </c>
      <c r="C73" s="624">
        <v>91249064</v>
      </c>
      <c r="D73" s="651">
        <v>1409989</v>
      </c>
      <c r="E73" s="625">
        <v>92388.553</v>
      </c>
      <c r="F73" s="652">
        <v>21.395572626603833</v>
      </c>
      <c r="G73" s="652">
        <v>49.28385254618231</v>
      </c>
      <c r="H73" s="625">
        <v>105568.962</v>
      </c>
      <c r="I73" s="625">
        <v>105538.182</v>
      </c>
      <c r="J73" s="630">
        <v>1.1426627928678568</v>
      </c>
      <c r="K73" s="625">
        <v>9727.4830000000002</v>
      </c>
    </row>
    <row r="74" spans="1:11">
      <c r="A74" s="727" t="s">
        <v>102</v>
      </c>
      <c r="B74" s="728" t="s">
        <v>58</v>
      </c>
      <c r="C74" s="624">
        <v>21606770</v>
      </c>
      <c r="D74" s="651">
        <v>176878</v>
      </c>
      <c r="E74" s="625">
        <v>21712.648000000001</v>
      </c>
      <c r="F74" s="652">
        <v>100</v>
      </c>
      <c r="G74" s="652">
        <v>51.011223144726287</v>
      </c>
      <c r="H74" s="625">
        <v>164.87</v>
      </c>
      <c r="I74" s="625">
        <v>164.87</v>
      </c>
      <c r="J74" s="630">
        <v>7.5932700608419574E-3</v>
      </c>
      <c r="K74" s="625">
        <v>11096.224</v>
      </c>
    </row>
    <row r="75" spans="1:11">
      <c r="A75" s="740" t="s">
        <v>102</v>
      </c>
      <c r="B75" s="740" t="s">
        <v>59</v>
      </c>
      <c r="C75" s="665">
        <v>35149628</v>
      </c>
      <c r="D75" s="666">
        <v>127000</v>
      </c>
      <c r="E75" s="667">
        <v>35247.347999999998</v>
      </c>
      <c r="F75" s="680">
        <v>100</v>
      </c>
      <c r="G75" s="680">
        <v>87.324155807356519</v>
      </c>
      <c r="H75" s="667">
        <v>3597.71</v>
      </c>
      <c r="I75" s="667">
        <v>3597.71</v>
      </c>
      <c r="J75" s="670">
        <v>0.10207037420233715</v>
      </c>
      <c r="K75" s="667">
        <v>33607.735999999997</v>
      </c>
    </row>
    <row r="76" spans="1:11">
      <c r="A76" s="727" t="s">
        <v>102</v>
      </c>
      <c r="B76" s="742" t="s">
        <v>825</v>
      </c>
      <c r="C76" s="673">
        <v>4698727295</v>
      </c>
      <c r="D76" s="674">
        <v>1102344031</v>
      </c>
      <c r="E76" s="744">
        <v>5790920.5360000012</v>
      </c>
      <c r="F76" s="745">
        <v>2.0499999999999998</v>
      </c>
      <c r="G76" s="743">
        <v>50.53</v>
      </c>
      <c r="H76" s="677">
        <v>2353675.0060000001</v>
      </c>
      <c r="I76" s="677">
        <v>2351852.2939999998</v>
      </c>
      <c r="J76" s="679">
        <v>0.40644229036956681</v>
      </c>
      <c r="K76" s="744">
        <v>75559.606</v>
      </c>
    </row>
    <row r="77" spans="1:11">
      <c r="A77" s="742" t="s">
        <v>828</v>
      </c>
      <c r="B77" s="742"/>
      <c r="C77" s="746">
        <v>212505277311</v>
      </c>
      <c r="D77" s="747">
        <v>32937780392</v>
      </c>
      <c r="E77" s="748">
        <v>238639034.27800006</v>
      </c>
      <c r="F77" s="749">
        <v>2.69</v>
      </c>
      <c r="G77" s="749">
        <v>24.8</v>
      </c>
      <c r="H77" s="747">
        <v>87151225.804999992</v>
      </c>
      <c r="I77" s="747">
        <v>85486596.487999991</v>
      </c>
      <c r="J77" s="630">
        <v>0.36520104964669814</v>
      </c>
      <c r="K77" s="747">
        <v>1855517.0090000001</v>
      </c>
    </row>
    <row r="81" spans="1:10">
      <c r="A81" s="617">
        <v>2018</v>
      </c>
      <c r="B81" s="618"/>
    </row>
    <row r="82" spans="1:10" ht="38.25">
      <c r="A82" s="619" t="s">
        <v>121</v>
      </c>
      <c r="B82" s="619" t="s">
        <v>816</v>
      </c>
      <c r="C82" s="620" t="s">
        <v>817</v>
      </c>
      <c r="D82" s="620" t="s">
        <v>818</v>
      </c>
      <c r="E82" s="621" t="s">
        <v>43</v>
      </c>
      <c r="F82" s="621" t="s">
        <v>819</v>
      </c>
      <c r="G82" s="621" t="s">
        <v>820</v>
      </c>
      <c r="H82" s="621" t="s">
        <v>821</v>
      </c>
      <c r="I82" s="621" t="s">
        <v>822</v>
      </c>
      <c r="J82" s="621" t="s">
        <v>648</v>
      </c>
    </row>
    <row r="83" spans="1:10">
      <c r="A83" s="622" t="s">
        <v>823</v>
      </c>
      <c r="B83" s="623" t="s">
        <v>49</v>
      </c>
      <c r="C83" s="624">
        <v>0</v>
      </c>
      <c r="D83" s="625">
        <v>0</v>
      </c>
      <c r="E83" s="625">
        <v>0</v>
      </c>
      <c r="F83" s="626">
        <v>0</v>
      </c>
      <c r="G83" s="627"/>
      <c r="H83" s="625">
        <v>0</v>
      </c>
      <c r="I83" s="628">
        <v>0</v>
      </c>
      <c r="J83" s="625">
        <v>0</v>
      </c>
    </row>
    <row r="84" spans="1:10">
      <c r="A84" s="622" t="s">
        <v>823</v>
      </c>
      <c r="B84" s="623" t="s">
        <v>50</v>
      </c>
      <c r="C84" s="624">
        <v>322429887</v>
      </c>
      <c r="D84" s="625">
        <v>35334970</v>
      </c>
      <c r="E84" s="625">
        <v>350535.75199999998</v>
      </c>
      <c r="F84" s="626">
        <v>0.219884275884076</v>
      </c>
      <c r="G84" s="629">
        <v>15.302208032691601</v>
      </c>
      <c r="H84" s="625">
        <v>57226.616999999998</v>
      </c>
      <c r="I84" s="630">
        <f t="shared" ref="I84:I94" si="0">+H84/E84</f>
        <v>0.16325472273082148</v>
      </c>
      <c r="J84" s="625">
        <v>119.057</v>
      </c>
    </row>
    <row r="85" spans="1:10">
      <c r="A85" s="622" t="s">
        <v>823</v>
      </c>
      <c r="B85" s="623" t="s">
        <v>51</v>
      </c>
      <c r="C85" s="624">
        <v>2788456378</v>
      </c>
      <c r="D85" s="625">
        <v>1174536087</v>
      </c>
      <c r="E85" s="625">
        <v>3594059.719</v>
      </c>
      <c r="F85" s="626">
        <v>0.335891274599046</v>
      </c>
      <c r="G85" s="629">
        <v>27.939528820055202</v>
      </c>
      <c r="H85" s="625">
        <v>1188380.047</v>
      </c>
      <c r="I85" s="630">
        <f t="shared" si="0"/>
        <v>0.33065116884887241</v>
      </c>
      <c r="J85" s="625">
        <v>3336.3789999999999</v>
      </c>
    </row>
    <row r="86" spans="1:10">
      <c r="A86" s="622" t="s">
        <v>823</v>
      </c>
      <c r="B86" s="623" t="s">
        <v>52</v>
      </c>
      <c r="C86" s="624">
        <v>2014659420</v>
      </c>
      <c r="D86" s="625">
        <v>1044755093</v>
      </c>
      <c r="E86" s="625">
        <v>2514023.378</v>
      </c>
      <c r="F86" s="626">
        <v>0.63028860983010304</v>
      </c>
      <c r="G86" s="629">
        <v>29.304382029497599</v>
      </c>
      <c r="H86" s="625">
        <v>1123312.7960000001</v>
      </c>
      <c r="I86" s="630">
        <f t="shared" si="0"/>
        <v>0.44681875508000946</v>
      </c>
      <c r="J86" s="625">
        <v>4627.53</v>
      </c>
    </row>
    <row r="87" spans="1:10">
      <c r="A87" s="622" t="s">
        <v>823</v>
      </c>
      <c r="B87" s="623" t="s">
        <v>53</v>
      </c>
      <c r="C87" s="624">
        <v>3046330985</v>
      </c>
      <c r="D87" s="625">
        <v>861997772</v>
      </c>
      <c r="E87" s="625">
        <v>3550014.6320000002</v>
      </c>
      <c r="F87" s="626">
        <v>0.97362547997520499</v>
      </c>
      <c r="G87" s="629">
        <v>30.137962569389199</v>
      </c>
      <c r="H87" s="625">
        <v>1919829.76</v>
      </c>
      <c r="I87" s="630">
        <f t="shared" si="0"/>
        <v>0.54079488650400576</v>
      </c>
      <c r="J87" s="625">
        <v>10520.214</v>
      </c>
    </row>
    <row r="88" spans="1:10">
      <c r="A88" s="622" t="s">
        <v>823</v>
      </c>
      <c r="B88" s="623" t="s">
        <v>54</v>
      </c>
      <c r="C88" s="624">
        <v>3355493542</v>
      </c>
      <c r="D88" s="625">
        <v>2025969319</v>
      </c>
      <c r="E88" s="625">
        <v>4777921.3609999996</v>
      </c>
      <c r="F88" s="626">
        <v>1.83388840836135</v>
      </c>
      <c r="G88" s="629">
        <v>35.023371327521502</v>
      </c>
      <c r="H88" s="625">
        <v>3508765.7570000002</v>
      </c>
      <c r="I88" s="630">
        <f t="shared" si="0"/>
        <v>0.73437076332826667</v>
      </c>
      <c r="J88" s="625">
        <v>30958.713</v>
      </c>
    </row>
    <row r="89" spans="1:10">
      <c r="A89" s="622" t="s">
        <v>823</v>
      </c>
      <c r="B89" s="623" t="s">
        <v>55</v>
      </c>
      <c r="C89" s="624">
        <v>7665896218</v>
      </c>
      <c r="D89" s="625">
        <v>1818036181</v>
      </c>
      <c r="E89" s="625">
        <v>8764315.7019999996</v>
      </c>
      <c r="F89" s="626">
        <v>3.5950181019620202</v>
      </c>
      <c r="G89" s="629">
        <v>41.504784921998002</v>
      </c>
      <c r="H89" s="625">
        <v>9627384.7919999994</v>
      </c>
      <c r="I89" s="630">
        <f t="shared" si="0"/>
        <v>1.0984753538491372</v>
      </c>
      <c r="J89" s="625">
        <v>131595.046</v>
      </c>
    </row>
    <row r="90" spans="1:10">
      <c r="A90" s="622" t="s">
        <v>823</v>
      </c>
      <c r="B90" s="623" t="s">
        <v>56</v>
      </c>
      <c r="C90" s="624">
        <v>1584363773</v>
      </c>
      <c r="D90" s="625">
        <v>316241492</v>
      </c>
      <c r="E90" s="625">
        <v>1790798.534</v>
      </c>
      <c r="F90" s="626">
        <v>7.00848217245637</v>
      </c>
      <c r="G90" s="629">
        <v>39.207907459678502</v>
      </c>
      <c r="H90" s="625">
        <v>2148298.8369999998</v>
      </c>
      <c r="I90" s="630">
        <f t="shared" si="0"/>
        <v>1.1996317822538489</v>
      </c>
      <c r="J90" s="625">
        <v>50342.080000000002</v>
      </c>
    </row>
    <row r="91" spans="1:10">
      <c r="A91" s="622" t="s">
        <v>823</v>
      </c>
      <c r="B91" s="623" t="s">
        <v>824</v>
      </c>
      <c r="C91" s="624">
        <v>652310178</v>
      </c>
      <c r="D91" s="625">
        <v>138058692</v>
      </c>
      <c r="E91" s="625">
        <v>752056.80599999998</v>
      </c>
      <c r="F91" s="626">
        <v>15.003749065200299</v>
      </c>
      <c r="G91" s="629">
        <v>47.898370060093598</v>
      </c>
      <c r="H91" s="625">
        <v>1511540.4639999999</v>
      </c>
      <c r="I91" s="630">
        <f t="shared" si="0"/>
        <v>2.0098753869930404</v>
      </c>
      <c r="J91" s="625">
        <v>53561.98</v>
      </c>
    </row>
    <row r="92" spans="1:10">
      <c r="A92" s="622" t="s">
        <v>823</v>
      </c>
      <c r="B92" s="623" t="s">
        <v>58</v>
      </c>
      <c r="C92" s="624">
        <v>3608214</v>
      </c>
      <c r="D92" s="625">
        <v>3731894</v>
      </c>
      <c r="E92" s="625">
        <v>5493.9589999999998</v>
      </c>
      <c r="F92" s="626">
        <v>100</v>
      </c>
      <c r="G92" s="629">
        <v>88.654920795732195</v>
      </c>
      <c r="H92" s="625">
        <v>1366.575</v>
      </c>
      <c r="I92" s="630">
        <f t="shared" si="0"/>
        <v>0.24874139031616363</v>
      </c>
      <c r="J92" s="625">
        <v>4870.6689999999999</v>
      </c>
    </row>
    <row r="93" spans="1:10">
      <c r="A93" s="622" t="s">
        <v>823</v>
      </c>
      <c r="B93" s="622" t="s">
        <v>59</v>
      </c>
      <c r="C93" s="631">
        <v>1256531201</v>
      </c>
      <c r="D93" s="632">
        <v>131612132</v>
      </c>
      <c r="E93" s="632">
        <v>1374933.075</v>
      </c>
      <c r="F93" s="633">
        <v>100</v>
      </c>
      <c r="G93" s="634">
        <v>3.1591646742515099E-2</v>
      </c>
      <c r="H93" s="632">
        <v>2612139.5040000002</v>
      </c>
      <c r="I93" s="635">
        <f t="shared" si="0"/>
        <v>1.8998302910125282</v>
      </c>
      <c r="J93" s="632">
        <v>280424.77799999999</v>
      </c>
    </row>
    <row r="94" spans="1:10" s="642" customFormat="1">
      <c r="A94" s="636" t="s">
        <v>823</v>
      </c>
      <c r="B94" s="636" t="s">
        <v>825</v>
      </c>
      <c r="C94" s="637">
        <f>SUM(C83:C93)</f>
        <v>22690079796</v>
      </c>
      <c r="D94" s="638">
        <f>SUM(D83:D93)</f>
        <v>7550273632</v>
      </c>
      <c r="E94" s="639">
        <f>SUM(E83:E93)</f>
        <v>27474152.918000001</v>
      </c>
      <c r="F94" s="640">
        <v>7.59</v>
      </c>
      <c r="G94" s="640">
        <v>33.64</v>
      </c>
      <c r="H94" s="639">
        <f>SUM(H83:H93)</f>
        <v>23698245.149000004</v>
      </c>
      <c r="I94" s="641">
        <f t="shared" si="0"/>
        <v>0.86256508871193738</v>
      </c>
      <c r="J94" s="638">
        <f>SUM(J83:J93)</f>
        <v>570356.446</v>
      </c>
    </row>
    <row r="95" spans="1:10">
      <c r="A95" s="643" t="s">
        <v>84</v>
      </c>
      <c r="B95" s="644" t="s">
        <v>49</v>
      </c>
      <c r="C95" s="645">
        <v>0</v>
      </c>
      <c r="D95" s="646">
        <v>0</v>
      </c>
      <c r="E95" s="647">
        <v>0</v>
      </c>
      <c r="F95" s="648">
        <v>0</v>
      </c>
      <c r="G95" s="648">
        <v>0</v>
      </c>
      <c r="H95" s="647">
        <v>0</v>
      </c>
      <c r="I95" s="649"/>
      <c r="J95" s="647">
        <v>0</v>
      </c>
    </row>
    <row r="96" spans="1:10">
      <c r="A96" s="650" t="s">
        <v>84</v>
      </c>
      <c r="B96" s="623" t="s">
        <v>50</v>
      </c>
      <c r="C96" s="624">
        <v>856326758</v>
      </c>
      <c r="D96" s="651">
        <v>441004433</v>
      </c>
      <c r="E96" s="625">
        <v>1129106.666</v>
      </c>
      <c r="F96" s="652">
        <v>0.17049354662121899</v>
      </c>
      <c r="G96" s="652">
        <v>22.191504270155502</v>
      </c>
      <c r="H96" s="625">
        <v>232473.94500000001</v>
      </c>
      <c r="I96" s="630">
        <f t="shared" ref="I96:I106" si="1">+H96/E96</f>
        <v>0.20589192500613579</v>
      </c>
      <c r="J96" s="625">
        <v>442.68900000000002</v>
      </c>
    </row>
    <row r="97" spans="1:10">
      <c r="A97" s="650" t="s">
        <v>84</v>
      </c>
      <c r="B97" s="623" t="s">
        <v>51</v>
      </c>
      <c r="C97" s="624">
        <v>7414267231</v>
      </c>
      <c r="D97" s="651">
        <v>390335760</v>
      </c>
      <c r="E97" s="625">
        <v>7596884.5559999999</v>
      </c>
      <c r="F97" s="652">
        <v>0.39338292927456697</v>
      </c>
      <c r="G97" s="652">
        <v>27.121621775504</v>
      </c>
      <c r="H97" s="625">
        <v>2763357.8539999998</v>
      </c>
      <c r="I97" s="630">
        <f t="shared" si="1"/>
        <v>0.36374882803997682</v>
      </c>
      <c r="J97" s="625">
        <v>8195.1280000000006</v>
      </c>
    </row>
    <row r="98" spans="1:10">
      <c r="A98" s="650" t="s">
        <v>84</v>
      </c>
      <c r="B98" s="623" t="s">
        <v>52</v>
      </c>
      <c r="C98" s="624">
        <v>4864811918</v>
      </c>
      <c r="D98" s="651">
        <v>238093783</v>
      </c>
      <c r="E98" s="625">
        <v>5018347.5149999997</v>
      </c>
      <c r="F98" s="652">
        <v>0.62024361419697305</v>
      </c>
      <c r="G98" s="652">
        <v>27.393739530611199</v>
      </c>
      <c r="H98" s="625">
        <v>2279109.4610000001</v>
      </c>
      <c r="I98" s="630">
        <f t="shared" si="1"/>
        <v>0.4541553677157012</v>
      </c>
      <c r="J98" s="625">
        <v>8506.7039999999997</v>
      </c>
    </row>
    <row r="99" spans="1:10">
      <c r="A99" s="650" t="s">
        <v>84</v>
      </c>
      <c r="B99" s="623" t="s">
        <v>53</v>
      </c>
      <c r="C99" s="624">
        <v>5937520928</v>
      </c>
      <c r="D99" s="651">
        <v>1365189606</v>
      </c>
      <c r="E99" s="625">
        <v>6526572.659</v>
      </c>
      <c r="F99" s="652">
        <v>0.993296778985572</v>
      </c>
      <c r="G99" s="652">
        <v>25.6746221723171</v>
      </c>
      <c r="H99" s="625">
        <v>3055563.6749999998</v>
      </c>
      <c r="I99" s="630">
        <f t="shared" si="1"/>
        <v>0.46817278143474655</v>
      </c>
      <c r="J99" s="625">
        <v>16592.501</v>
      </c>
    </row>
    <row r="100" spans="1:10">
      <c r="A100" s="650" t="s">
        <v>84</v>
      </c>
      <c r="B100" s="623" t="s">
        <v>54</v>
      </c>
      <c r="C100" s="624">
        <v>10045668550</v>
      </c>
      <c r="D100" s="651">
        <v>1379091124</v>
      </c>
      <c r="E100" s="625">
        <v>11118504.005000001</v>
      </c>
      <c r="F100" s="652">
        <v>1.7893756831902099</v>
      </c>
      <c r="G100" s="652">
        <v>29.284745497557601</v>
      </c>
      <c r="H100" s="625">
        <v>7068046.949</v>
      </c>
      <c r="I100" s="630">
        <f t="shared" si="1"/>
        <v>0.63570125493694951</v>
      </c>
      <c r="J100" s="625">
        <v>58593.593000000001</v>
      </c>
    </row>
    <row r="101" spans="1:10">
      <c r="A101" s="650" t="s">
        <v>84</v>
      </c>
      <c r="B101" s="623" t="s">
        <v>55</v>
      </c>
      <c r="C101" s="624">
        <v>5604055111</v>
      </c>
      <c r="D101" s="651">
        <v>794821141</v>
      </c>
      <c r="E101" s="625">
        <v>6311199.8140000002</v>
      </c>
      <c r="F101" s="652">
        <v>3.8038369418674201</v>
      </c>
      <c r="G101" s="652">
        <v>30.753065188881699</v>
      </c>
      <c r="H101" s="625">
        <v>4898314.966</v>
      </c>
      <c r="I101" s="630">
        <f t="shared" si="1"/>
        <v>0.77613054733811027</v>
      </c>
      <c r="J101" s="625">
        <v>73068.726999999999</v>
      </c>
    </row>
    <row r="102" spans="1:10">
      <c r="A102" s="650" t="s">
        <v>84</v>
      </c>
      <c r="B102" s="623" t="s">
        <v>56</v>
      </c>
      <c r="C102" s="624">
        <v>2051089349</v>
      </c>
      <c r="D102" s="651">
        <v>488816077</v>
      </c>
      <c r="E102" s="625">
        <v>2425754.38</v>
      </c>
      <c r="F102" s="652">
        <v>6.5911776690268198</v>
      </c>
      <c r="G102" s="652">
        <v>39.710017837832403</v>
      </c>
      <c r="H102" s="625">
        <v>2991778.6490000002</v>
      </c>
      <c r="I102" s="630">
        <f t="shared" si="1"/>
        <v>1.2333394813864049</v>
      </c>
      <c r="J102" s="625">
        <v>62476.309000000001</v>
      </c>
    </row>
    <row r="103" spans="1:10">
      <c r="A103" s="650" t="s">
        <v>84</v>
      </c>
      <c r="B103" s="623" t="s">
        <v>824</v>
      </c>
      <c r="C103" s="624">
        <v>627077160</v>
      </c>
      <c r="D103" s="651">
        <v>15140246</v>
      </c>
      <c r="E103" s="625">
        <v>638322.68099999998</v>
      </c>
      <c r="F103" s="652">
        <v>16.0891074462698</v>
      </c>
      <c r="G103" s="652">
        <v>36.629710640032897</v>
      </c>
      <c r="H103" s="625">
        <v>939377.576</v>
      </c>
      <c r="I103" s="630">
        <f t="shared" si="1"/>
        <v>1.4716343378686869</v>
      </c>
      <c r="J103" s="625">
        <v>38703.980000000003</v>
      </c>
    </row>
    <row r="104" spans="1:10">
      <c r="A104" s="650" t="s">
        <v>84</v>
      </c>
      <c r="B104" s="623" t="s">
        <v>58</v>
      </c>
      <c r="C104" s="624">
        <v>41140562</v>
      </c>
      <c r="D104" s="651">
        <v>0</v>
      </c>
      <c r="E104" s="625">
        <v>41140.561999999998</v>
      </c>
      <c r="F104" s="652">
        <v>100</v>
      </c>
      <c r="G104" s="652">
        <v>19.349847481422401</v>
      </c>
      <c r="H104" s="625">
        <v>0.74099999999999999</v>
      </c>
      <c r="I104" s="630">
        <f t="shared" si="1"/>
        <v>1.8011421428807901E-5</v>
      </c>
      <c r="J104" s="625">
        <v>7960.6369999999997</v>
      </c>
    </row>
    <row r="105" spans="1:10">
      <c r="A105" s="650" t="s">
        <v>84</v>
      </c>
      <c r="B105" s="622" t="s">
        <v>59</v>
      </c>
      <c r="C105" s="631">
        <v>138408098</v>
      </c>
      <c r="D105" s="653">
        <v>5884689</v>
      </c>
      <c r="E105" s="632">
        <v>142025.587</v>
      </c>
      <c r="F105" s="654">
        <v>100</v>
      </c>
      <c r="G105" s="654">
        <v>14.2931146625009</v>
      </c>
      <c r="H105" s="632">
        <v>249261.44699999999</v>
      </c>
      <c r="I105" s="635">
        <f t="shared" si="1"/>
        <v>1.7550460608200125</v>
      </c>
      <c r="J105" s="632">
        <v>43703.868999999999</v>
      </c>
    </row>
    <row r="106" spans="1:10" s="642" customFormat="1">
      <c r="A106" s="655" t="s">
        <v>84</v>
      </c>
      <c r="B106" s="636" t="s">
        <v>825</v>
      </c>
      <c r="C106" s="656">
        <f>SUM(C95:C105)</f>
        <v>37580365665</v>
      </c>
      <c r="D106" s="657">
        <f>SUM(D95:D105)</f>
        <v>5118376859</v>
      </c>
      <c r="E106" s="638">
        <f>SUM(E95:E105)</f>
        <v>40947858.425000004</v>
      </c>
      <c r="F106" s="640">
        <v>2.4700000000000002</v>
      </c>
      <c r="G106" s="658">
        <v>28.78</v>
      </c>
      <c r="H106" s="639">
        <f>SUM(H95:H105)</f>
        <v>24477285.263000004</v>
      </c>
      <c r="I106" s="659">
        <f t="shared" si="1"/>
        <v>0.59776716547539444</v>
      </c>
      <c r="J106" s="638">
        <f>SUM(J95:J105)</f>
        <v>318244.13699999999</v>
      </c>
    </row>
    <row r="107" spans="1:10">
      <c r="A107" s="643" t="s">
        <v>826</v>
      </c>
      <c r="B107" s="644" t="s">
        <v>49</v>
      </c>
      <c r="C107" s="645">
        <v>0</v>
      </c>
      <c r="D107" s="646">
        <v>0</v>
      </c>
      <c r="E107" s="647">
        <v>0</v>
      </c>
      <c r="F107" s="649"/>
      <c r="G107" s="649"/>
      <c r="H107" s="660">
        <v>0</v>
      </c>
      <c r="I107" s="649"/>
      <c r="J107" s="647">
        <v>0</v>
      </c>
    </row>
    <row r="108" spans="1:10">
      <c r="A108" s="650" t="s">
        <v>826</v>
      </c>
      <c r="B108" s="623" t="s">
        <v>50</v>
      </c>
      <c r="C108" s="624">
        <v>256148951</v>
      </c>
      <c r="D108" s="651">
        <v>11140625</v>
      </c>
      <c r="E108" s="625">
        <v>267289.576</v>
      </c>
      <c r="F108" s="661">
        <v>0.23342212193115999</v>
      </c>
      <c r="G108" s="661">
        <v>20.408508186641701</v>
      </c>
      <c r="H108" s="662">
        <v>62775.788</v>
      </c>
      <c r="I108" s="630">
        <f t="shared" ref="I108:I115" si="2">+H108/E108</f>
        <v>0.23486059179502008</v>
      </c>
      <c r="J108" s="625">
        <v>124.43600000000001</v>
      </c>
    </row>
    <row r="109" spans="1:10">
      <c r="A109" s="650" t="s">
        <v>826</v>
      </c>
      <c r="B109" s="623" t="s">
        <v>51</v>
      </c>
      <c r="C109" s="624">
        <v>511608319</v>
      </c>
      <c r="D109" s="651">
        <v>44293833</v>
      </c>
      <c r="E109" s="625">
        <v>546425.652</v>
      </c>
      <c r="F109" s="661">
        <v>0.31888327233949099</v>
      </c>
      <c r="G109" s="661">
        <v>27.9663460967971</v>
      </c>
      <c r="H109" s="662">
        <v>188354.29199999999</v>
      </c>
      <c r="I109" s="630">
        <f t="shared" si="2"/>
        <v>0.34470250675566744</v>
      </c>
      <c r="J109" s="625">
        <v>499.45800000000003</v>
      </c>
    </row>
    <row r="110" spans="1:10">
      <c r="A110" s="650" t="s">
        <v>826</v>
      </c>
      <c r="B110" s="623" t="s">
        <v>52</v>
      </c>
      <c r="C110" s="624">
        <v>51635598</v>
      </c>
      <c r="D110" s="651">
        <v>121105033</v>
      </c>
      <c r="E110" s="625">
        <v>123888.11500000001</v>
      </c>
      <c r="F110" s="661">
        <v>0.59750525706198698</v>
      </c>
      <c r="G110" s="661">
        <v>33.9662856279636</v>
      </c>
      <c r="H110" s="662">
        <v>61415.004000000001</v>
      </c>
      <c r="I110" s="630">
        <f t="shared" si="2"/>
        <v>0.49572958632876124</v>
      </c>
      <c r="J110" s="625">
        <v>268.363</v>
      </c>
    </row>
    <row r="111" spans="1:10">
      <c r="A111" s="650" t="s">
        <v>826</v>
      </c>
      <c r="B111" s="623" t="s">
        <v>53</v>
      </c>
      <c r="C111" s="624">
        <v>2277368301</v>
      </c>
      <c r="D111" s="651">
        <v>1631747202</v>
      </c>
      <c r="E111" s="625">
        <v>2782693.6519999998</v>
      </c>
      <c r="F111" s="661">
        <v>0.92370530911751203</v>
      </c>
      <c r="G111" s="661">
        <v>35.417121546658798</v>
      </c>
      <c r="H111" s="662">
        <v>2091312.7579999999</v>
      </c>
      <c r="I111" s="630">
        <f t="shared" si="2"/>
        <v>0.7515425769189199</v>
      </c>
      <c r="J111" s="625">
        <v>8484.93</v>
      </c>
    </row>
    <row r="112" spans="1:10">
      <c r="A112" s="650" t="s">
        <v>826</v>
      </c>
      <c r="B112" s="623" t="s">
        <v>54</v>
      </c>
      <c r="C112" s="624">
        <v>1566947299</v>
      </c>
      <c r="D112" s="651">
        <v>516159315</v>
      </c>
      <c r="E112" s="625">
        <v>1898235.838</v>
      </c>
      <c r="F112" s="661">
        <v>1.77729001447712</v>
      </c>
      <c r="G112" s="661">
        <v>32.490605574585103</v>
      </c>
      <c r="H112" s="662">
        <v>1566985.203</v>
      </c>
      <c r="I112" s="630">
        <f t="shared" si="2"/>
        <v>0.82549553202566817</v>
      </c>
      <c r="J112" s="625">
        <v>11187.859</v>
      </c>
    </row>
    <row r="113" spans="1:10">
      <c r="A113" s="650" t="s">
        <v>826</v>
      </c>
      <c r="B113" s="623" t="s">
        <v>55</v>
      </c>
      <c r="C113" s="624">
        <v>1547215914</v>
      </c>
      <c r="D113" s="651">
        <v>881192151</v>
      </c>
      <c r="E113" s="625">
        <v>2041233.8259999999</v>
      </c>
      <c r="F113" s="661">
        <v>3.5702107750589498</v>
      </c>
      <c r="G113" s="661">
        <v>37.937212735568302</v>
      </c>
      <c r="H113" s="662">
        <v>2404644.2790000001</v>
      </c>
      <c r="I113" s="630">
        <f t="shared" si="2"/>
        <v>1.1780347005674205</v>
      </c>
      <c r="J113" s="625">
        <v>27833.445</v>
      </c>
    </row>
    <row r="114" spans="1:10">
      <c r="A114" s="650" t="s">
        <v>826</v>
      </c>
      <c r="B114" s="623" t="s">
        <v>56</v>
      </c>
      <c r="C114" s="624">
        <v>2754331</v>
      </c>
      <c r="D114" s="651">
        <v>613986</v>
      </c>
      <c r="E114" s="625">
        <v>3302.6610000000001</v>
      </c>
      <c r="F114" s="661">
        <v>6.0674407697308297</v>
      </c>
      <c r="G114" s="661">
        <v>21.155244210653201</v>
      </c>
      <c r="H114" s="662">
        <v>1872.289</v>
      </c>
      <c r="I114" s="630">
        <f t="shared" si="2"/>
        <v>0.56690317292631609</v>
      </c>
      <c r="J114" s="625">
        <v>41.720999999999997</v>
      </c>
    </row>
    <row r="115" spans="1:10">
      <c r="A115" s="650" t="s">
        <v>826</v>
      </c>
      <c r="B115" s="623" t="s">
        <v>824</v>
      </c>
      <c r="C115" s="624">
        <v>0</v>
      </c>
      <c r="D115" s="651">
        <v>109018863</v>
      </c>
      <c r="E115" s="625">
        <v>36809.432000000001</v>
      </c>
      <c r="F115" s="661">
        <v>10.2306631626372</v>
      </c>
      <c r="G115" s="661">
        <v>13.8571820396468</v>
      </c>
      <c r="H115" s="662">
        <v>25219.741000000002</v>
      </c>
      <c r="I115" s="630">
        <f t="shared" si="2"/>
        <v>0.68514344366954649</v>
      </c>
      <c r="J115" s="625">
        <v>521.64800000000002</v>
      </c>
    </row>
    <row r="116" spans="1:10">
      <c r="A116" s="650" t="s">
        <v>826</v>
      </c>
      <c r="B116" s="623" t="s">
        <v>58</v>
      </c>
      <c r="C116" s="624"/>
      <c r="D116" s="651"/>
      <c r="E116" s="625"/>
      <c r="F116" s="661"/>
      <c r="G116" s="661"/>
      <c r="H116" s="662"/>
      <c r="I116" s="630"/>
      <c r="J116" s="625"/>
    </row>
    <row r="117" spans="1:10">
      <c r="A117" s="663" t="s">
        <v>826</v>
      </c>
      <c r="B117" s="664" t="s">
        <v>59</v>
      </c>
      <c r="C117" s="665">
        <v>358222853</v>
      </c>
      <c r="D117" s="666">
        <v>700371293</v>
      </c>
      <c r="E117" s="667">
        <v>1058594.1459999999</v>
      </c>
      <c r="F117" s="668">
        <v>100</v>
      </c>
      <c r="G117" s="668">
        <v>0</v>
      </c>
      <c r="H117" s="669">
        <v>1620158.6</v>
      </c>
      <c r="I117" s="670">
        <f>+H117/E117</f>
        <v>1.530481352198976</v>
      </c>
      <c r="J117" s="667">
        <v>199999.99799999999</v>
      </c>
    </row>
    <row r="118" spans="1:10" s="642" customFormat="1">
      <c r="A118" s="671" t="s">
        <v>826</v>
      </c>
      <c r="B118" s="672" t="s">
        <v>825</v>
      </c>
      <c r="C118" s="673">
        <f>SUM(C107:C117)</f>
        <v>6571901566</v>
      </c>
      <c r="D118" s="674">
        <f>SUM(D107:D117)</f>
        <v>4015642301</v>
      </c>
      <c r="E118" s="674">
        <f>SUM(E107:E117)</f>
        <v>8758472.898</v>
      </c>
      <c r="F118" s="658">
        <v>13.68</v>
      </c>
      <c r="G118" s="658">
        <v>30.05</v>
      </c>
      <c r="H118" s="675">
        <f>SUM(H107:H117)</f>
        <v>8022737.9539999999</v>
      </c>
      <c r="I118" s="676">
        <f>+H118/E118</f>
        <v>0.91599734878805128</v>
      </c>
      <c r="J118" s="677">
        <f>SUM(J107:J117)</f>
        <v>248961.85800000001</v>
      </c>
    </row>
    <row r="119" spans="1:10">
      <c r="A119" s="643" t="s">
        <v>45</v>
      </c>
      <c r="B119" s="644" t="s">
        <v>49</v>
      </c>
      <c r="C119" s="645">
        <v>0</v>
      </c>
      <c r="D119" s="646">
        <v>0</v>
      </c>
      <c r="E119" s="647">
        <v>0</v>
      </c>
      <c r="F119" s="649"/>
      <c r="G119" s="649"/>
      <c r="H119" s="647">
        <v>0</v>
      </c>
      <c r="I119" s="649"/>
      <c r="J119" s="647">
        <v>0</v>
      </c>
    </row>
    <row r="120" spans="1:10">
      <c r="A120" s="650" t="s">
        <v>45</v>
      </c>
      <c r="B120" s="623" t="s">
        <v>50</v>
      </c>
      <c r="C120" s="624">
        <v>1315647365</v>
      </c>
      <c r="D120" s="651">
        <v>579275337</v>
      </c>
      <c r="E120" s="625">
        <v>1893363.202</v>
      </c>
      <c r="F120" s="626">
        <v>0.20636906832627899</v>
      </c>
      <c r="G120" s="626">
        <v>16.767881918516299</v>
      </c>
      <c r="H120" s="625">
        <v>138270.579</v>
      </c>
      <c r="I120" s="630">
        <f t="shared" ref="I120:I130" si="3">+H120/E120</f>
        <v>7.3029083302105918E-2</v>
      </c>
      <c r="J120" s="625">
        <v>655.83500000000004</v>
      </c>
    </row>
    <row r="121" spans="1:10">
      <c r="A121" s="650" t="s">
        <v>45</v>
      </c>
      <c r="B121" s="623" t="s">
        <v>51</v>
      </c>
      <c r="C121" s="624">
        <v>1365466367</v>
      </c>
      <c r="D121" s="651">
        <v>114137522</v>
      </c>
      <c r="E121" s="625">
        <v>1479001.389</v>
      </c>
      <c r="F121" s="626">
        <v>0.35655017224598401</v>
      </c>
      <c r="G121" s="626">
        <v>21.0272610501247</v>
      </c>
      <c r="H121" s="625">
        <v>201488.62299999999</v>
      </c>
      <c r="I121" s="630">
        <f t="shared" si="3"/>
        <v>0.13623288287527091</v>
      </c>
      <c r="J121" s="625">
        <v>1112.701</v>
      </c>
    </row>
    <row r="122" spans="1:10">
      <c r="A122" s="650" t="s">
        <v>45</v>
      </c>
      <c r="B122" s="623" t="s">
        <v>52</v>
      </c>
      <c r="C122" s="624">
        <v>885690724</v>
      </c>
      <c r="D122" s="651">
        <v>21179881</v>
      </c>
      <c r="E122" s="625">
        <v>906551.60499999998</v>
      </c>
      <c r="F122" s="626">
        <v>0.60765763025702202</v>
      </c>
      <c r="G122" s="626">
        <v>21.935762939827299</v>
      </c>
      <c r="H122" s="625">
        <v>187723.83</v>
      </c>
      <c r="I122" s="630">
        <f t="shared" si="3"/>
        <v>0.20707462097538284</v>
      </c>
      <c r="J122" s="625">
        <v>1205.9839999999999</v>
      </c>
    </row>
    <row r="123" spans="1:10">
      <c r="A123" s="650" t="s">
        <v>45</v>
      </c>
      <c r="B123" s="623" t="s">
        <v>53</v>
      </c>
      <c r="C123" s="624">
        <v>756928256</v>
      </c>
      <c r="D123" s="651">
        <v>10764039</v>
      </c>
      <c r="E123" s="625">
        <v>767226.29500000004</v>
      </c>
      <c r="F123" s="626">
        <v>0.97257980450213899</v>
      </c>
      <c r="G123" s="626">
        <v>22.741744793822502</v>
      </c>
      <c r="H123" s="625">
        <v>228320.99400000001</v>
      </c>
      <c r="I123" s="630">
        <f t="shared" si="3"/>
        <v>0.29759276433558629</v>
      </c>
      <c r="J123" s="625">
        <v>1713.644</v>
      </c>
    </row>
    <row r="124" spans="1:10">
      <c r="A124" s="650" t="s">
        <v>45</v>
      </c>
      <c r="B124" s="623" t="s">
        <v>54</v>
      </c>
      <c r="C124" s="624">
        <v>479077749</v>
      </c>
      <c r="D124" s="651">
        <v>3283630</v>
      </c>
      <c r="E124" s="625">
        <v>482311.37900000002</v>
      </c>
      <c r="F124" s="626">
        <v>1.68044760146536</v>
      </c>
      <c r="G124" s="626">
        <v>21.861840626405801</v>
      </c>
      <c r="H124" s="625">
        <v>195536.03400000001</v>
      </c>
      <c r="I124" s="630">
        <f t="shared" si="3"/>
        <v>0.40541451542241141</v>
      </c>
      <c r="J124" s="625">
        <v>1780.365</v>
      </c>
    </row>
    <row r="125" spans="1:10">
      <c r="A125" s="650" t="s">
        <v>45</v>
      </c>
      <c r="B125" s="623" t="s">
        <v>55</v>
      </c>
      <c r="C125" s="624">
        <v>105223052</v>
      </c>
      <c r="D125" s="651">
        <v>2203120</v>
      </c>
      <c r="E125" s="625">
        <v>107273.92200000001</v>
      </c>
      <c r="F125" s="626">
        <v>3.4575187807527001</v>
      </c>
      <c r="G125" s="626">
        <v>18.8428451418044</v>
      </c>
      <c r="H125" s="625">
        <v>57522.285000000003</v>
      </c>
      <c r="I125" s="630">
        <f t="shared" si="3"/>
        <v>0.53621871865559279</v>
      </c>
      <c r="J125" s="625">
        <v>700.62300000000005</v>
      </c>
    </row>
    <row r="126" spans="1:10">
      <c r="A126" s="650" t="s">
        <v>45</v>
      </c>
      <c r="B126" s="623" t="s">
        <v>56</v>
      </c>
      <c r="C126" s="624">
        <v>109884624</v>
      </c>
      <c r="D126" s="651">
        <v>437128</v>
      </c>
      <c r="E126" s="625">
        <v>110321.75199999999</v>
      </c>
      <c r="F126" s="626">
        <v>6.7039462897579796</v>
      </c>
      <c r="G126" s="626">
        <v>18.4850137260329</v>
      </c>
      <c r="H126" s="625">
        <v>81653.316000000006</v>
      </c>
      <c r="I126" s="630">
        <f t="shared" si="3"/>
        <v>0.74013795574965136</v>
      </c>
      <c r="J126" s="625">
        <v>1362.913</v>
      </c>
    </row>
    <row r="127" spans="1:10">
      <c r="A127" s="650" t="s">
        <v>45</v>
      </c>
      <c r="B127" s="623" t="s">
        <v>824</v>
      </c>
      <c r="C127" s="624">
        <v>181497827</v>
      </c>
      <c r="D127" s="651">
        <v>551620</v>
      </c>
      <c r="E127" s="625">
        <v>181973.44699999999</v>
      </c>
      <c r="F127" s="626">
        <v>23.316937552982701</v>
      </c>
      <c r="G127" s="626">
        <v>21.6551802747354</v>
      </c>
      <c r="H127" s="625">
        <v>225133.473</v>
      </c>
      <c r="I127" s="630">
        <f t="shared" si="3"/>
        <v>1.2371776031697637</v>
      </c>
      <c r="J127" s="625">
        <v>9128.3320000000003</v>
      </c>
    </row>
    <row r="128" spans="1:10">
      <c r="A128" s="650" t="s">
        <v>45</v>
      </c>
      <c r="B128" s="623" t="s">
        <v>58</v>
      </c>
      <c r="C128" s="624">
        <v>5385780</v>
      </c>
      <c r="D128" s="651">
        <v>0</v>
      </c>
      <c r="E128" s="625">
        <v>5385.78</v>
      </c>
      <c r="F128" s="626">
        <v>100</v>
      </c>
      <c r="G128" s="626">
        <v>24.332520080656799</v>
      </c>
      <c r="H128" s="625">
        <v>323.60700000000003</v>
      </c>
      <c r="I128" s="630">
        <f t="shared" si="3"/>
        <v>6.0085447233269841E-2</v>
      </c>
      <c r="J128" s="625">
        <v>1310.4960000000001</v>
      </c>
    </row>
    <row r="129" spans="1:10">
      <c r="A129" s="663" t="s">
        <v>45</v>
      </c>
      <c r="B129" s="664" t="s">
        <v>59</v>
      </c>
      <c r="C129" s="665">
        <v>13136329</v>
      </c>
      <c r="D129" s="666">
        <v>0</v>
      </c>
      <c r="E129" s="667">
        <v>13136.329</v>
      </c>
      <c r="F129" s="678">
        <v>100</v>
      </c>
      <c r="G129" s="678">
        <v>24.384909969900999</v>
      </c>
      <c r="H129" s="667">
        <v>18007.638999999999</v>
      </c>
      <c r="I129" s="670">
        <f t="shared" si="3"/>
        <v>1.3708273445343824</v>
      </c>
      <c r="J129" s="667">
        <v>3203.2849999999999</v>
      </c>
    </row>
    <row r="130" spans="1:10" s="642" customFormat="1">
      <c r="A130" s="671" t="s">
        <v>45</v>
      </c>
      <c r="B130" s="672" t="s">
        <v>825</v>
      </c>
      <c r="C130" s="673">
        <f>SUM(C119:C129)</f>
        <v>5217938073</v>
      </c>
      <c r="D130" s="674">
        <f>SUM(D119:D129)</f>
        <v>731832277</v>
      </c>
      <c r="E130" s="675">
        <f>SUM(E119:E129)</f>
        <v>5946545.1000000006</v>
      </c>
      <c r="F130" s="658">
        <v>1.72</v>
      </c>
      <c r="G130" s="658">
        <v>20.04</v>
      </c>
      <c r="H130" s="677">
        <f>SUM(H119:H129)</f>
        <v>1333980.3800000001</v>
      </c>
      <c r="I130" s="676">
        <f t="shared" si="3"/>
        <v>0.22432864084390783</v>
      </c>
      <c r="J130" s="675">
        <f>SUM(J119:J129)</f>
        <v>22174.178</v>
      </c>
    </row>
    <row r="131" spans="1:10">
      <c r="A131" s="643" t="s">
        <v>827</v>
      </c>
      <c r="B131" s="644" t="s">
        <v>49</v>
      </c>
      <c r="C131" s="645">
        <v>0</v>
      </c>
      <c r="D131" s="647">
        <v>0</v>
      </c>
      <c r="E131" s="647">
        <v>0</v>
      </c>
      <c r="F131" s="647">
        <v>0</v>
      </c>
      <c r="G131" s="649">
        <v>0</v>
      </c>
      <c r="H131" s="647">
        <v>0</v>
      </c>
      <c r="I131" s="649">
        <v>0</v>
      </c>
      <c r="J131" s="647">
        <v>0</v>
      </c>
    </row>
    <row r="132" spans="1:10">
      <c r="A132" s="650" t="s">
        <v>827</v>
      </c>
      <c r="B132" s="623" t="s">
        <v>50</v>
      </c>
      <c r="C132" s="624">
        <v>30353141213</v>
      </c>
      <c r="D132" s="625">
        <v>11798122380</v>
      </c>
      <c r="E132" s="625">
        <v>42146556.392999999</v>
      </c>
      <c r="F132" s="661">
        <v>0.206115048142885</v>
      </c>
      <c r="G132" s="661">
        <v>17.3759917244777</v>
      </c>
      <c r="H132" s="625">
        <v>3196266.534</v>
      </c>
      <c r="I132" s="630">
        <f t="shared" ref="I132:I142" si="4">+H132/E132</f>
        <v>7.5836955792925917E-2</v>
      </c>
      <c r="J132" s="625">
        <v>15172.786</v>
      </c>
    </row>
    <row r="133" spans="1:10">
      <c r="A133" s="650" t="s">
        <v>827</v>
      </c>
      <c r="B133" s="623" t="s">
        <v>51</v>
      </c>
      <c r="C133" s="624">
        <v>34976210273</v>
      </c>
      <c r="D133" s="625">
        <v>1278528512</v>
      </c>
      <c r="E133" s="625">
        <v>36253190.788999997</v>
      </c>
      <c r="F133" s="661">
        <v>0.36618300654595098</v>
      </c>
      <c r="G133" s="661">
        <v>21.686032511613998</v>
      </c>
      <c r="H133" s="625">
        <v>5206580.0959999999</v>
      </c>
      <c r="I133" s="630">
        <f t="shared" si="4"/>
        <v>0.14361715431624267</v>
      </c>
      <c r="J133" s="625">
        <v>28993.425999999999</v>
      </c>
    </row>
    <row r="134" spans="1:10">
      <c r="A134" s="650" t="s">
        <v>827</v>
      </c>
      <c r="B134" s="623" t="s">
        <v>52</v>
      </c>
      <c r="C134" s="624">
        <v>24369449356</v>
      </c>
      <c r="D134" s="625">
        <v>169201008</v>
      </c>
      <c r="E134" s="625">
        <v>24538037.864</v>
      </c>
      <c r="F134" s="661">
        <v>0.614722773825776</v>
      </c>
      <c r="G134" s="661">
        <v>24.019789775641001</v>
      </c>
      <c r="H134" s="625">
        <v>5622292.3559999997</v>
      </c>
      <c r="I134" s="630">
        <f t="shared" si="4"/>
        <v>0.22912558808332922</v>
      </c>
      <c r="J134" s="625">
        <v>36292.457000000002</v>
      </c>
    </row>
    <row r="135" spans="1:10">
      <c r="A135" s="650" t="s">
        <v>827</v>
      </c>
      <c r="B135" s="623" t="s">
        <v>53</v>
      </c>
      <c r="C135" s="624">
        <v>20440482853</v>
      </c>
      <c r="D135" s="625">
        <v>50525537</v>
      </c>
      <c r="E135" s="625">
        <v>20490475.140000001</v>
      </c>
      <c r="F135" s="661">
        <v>0.94220182636526195</v>
      </c>
      <c r="G135" s="661">
        <v>25.175644150533799</v>
      </c>
      <c r="H135" s="625">
        <v>6571073.5520000001</v>
      </c>
      <c r="I135" s="630">
        <f t="shared" si="4"/>
        <v>0.32068917421892446</v>
      </c>
      <c r="J135" s="625">
        <v>48657.563999999998</v>
      </c>
    </row>
    <row r="136" spans="1:10">
      <c r="A136" s="650" t="s">
        <v>827</v>
      </c>
      <c r="B136" s="623" t="s">
        <v>54</v>
      </c>
      <c r="C136" s="624">
        <v>6943075052</v>
      </c>
      <c r="D136" s="625">
        <v>24401754</v>
      </c>
      <c r="E136" s="625">
        <v>6967359.8059999999</v>
      </c>
      <c r="F136" s="661">
        <v>1.62286178909016</v>
      </c>
      <c r="G136" s="661">
        <v>24.739712143409299</v>
      </c>
      <c r="H136" s="625">
        <v>3109452.1430000002</v>
      </c>
      <c r="I136" s="630">
        <f t="shared" si="4"/>
        <v>0.44628844061164596</v>
      </c>
      <c r="J136" s="625">
        <v>27877.184000000001</v>
      </c>
    </row>
    <row r="137" spans="1:10">
      <c r="A137" s="650" t="s">
        <v>827</v>
      </c>
      <c r="B137" s="623" t="s">
        <v>55</v>
      </c>
      <c r="C137" s="624">
        <v>1576438934</v>
      </c>
      <c r="D137" s="625">
        <v>8739177</v>
      </c>
      <c r="E137" s="625">
        <v>1585007.611</v>
      </c>
      <c r="F137" s="661">
        <v>3.5002283657803801</v>
      </c>
      <c r="G137" s="661">
        <v>23.0805543431551</v>
      </c>
      <c r="H137" s="625">
        <v>1047288.222</v>
      </c>
      <c r="I137" s="630">
        <f t="shared" si="4"/>
        <v>0.66074649404317587</v>
      </c>
      <c r="J137" s="625">
        <v>12862.566000000001</v>
      </c>
    </row>
    <row r="138" spans="1:10">
      <c r="A138" s="650" t="s">
        <v>827</v>
      </c>
      <c r="B138" s="623" t="s">
        <v>56</v>
      </c>
      <c r="C138" s="624">
        <v>1256266124</v>
      </c>
      <c r="D138" s="625">
        <v>6192996</v>
      </c>
      <c r="E138" s="625">
        <v>1262249.78</v>
      </c>
      <c r="F138" s="661">
        <v>7.1689728478304797</v>
      </c>
      <c r="G138" s="661">
        <v>22.8026823660845</v>
      </c>
      <c r="H138" s="625">
        <v>1193095.73</v>
      </c>
      <c r="I138" s="630">
        <f t="shared" si="4"/>
        <v>0.94521365652367151</v>
      </c>
      <c r="J138" s="625">
        <v>20818.674999999999</v>
      </c>
    </row>
    <row r="139" spans="1:10">
      <c r="A139" s="650" t="s">
        <v>827</v>
      </c>
      <c r="B139" s="623" t="s">
        <v>824</v>
      </c>
      <c r="C139" s="624">
        <v>1631084312</v>
      </c>
      <c r="D139" s="625">
        <v>1930941</v>
      </c>
      <c r="E139" s="625">
        <v>1632977.753</v>
      </c>
      <c r="F139" s="661">
        <v>23.434443016566899</v>
      </c>
      <c r="G139" s="661">
        <v>24.311752519019201</v>
      </c>
      <c r="H139" s="625">
        <v>2285925.1349999998</v>
      </c>
      <c r="I139" s="630">
        <f t="shared" si="4"/>
        <v>1.399850751671569</v>
      </c>
      <c r="J139" s="625">
        <v>93692.186000000002</v>
      </c>
    </row>
    <row r="140" spans="1:10">
      <c r="A140" s="650" t="s">
        <v>827</v>
      </c>
      <c r="B140" s="623" t="s">
        <v>58</v>
      </c>
      <c r="C140" s="624">
        <v>175734110</v>
      </c>
      <c r="D140" s="625">
        <v>78511</v>
      </c>
      <c r="E140" s="625">
        <v>175812.62100000001</v>
      </c>
      <c r="F140" s="661">
        <v>100</v>
      </c>
      <c r="G140" s="661">
        <v>23.951759413222099</v>
      </c>
      <c r="H140" s="625">
        <v>32661.46</v>
      </c>
      <c r="I140" s="630">
        <f t="shared" si="4"/>
        <v>0.18577426247459217</v>
      </c>
      <c r="J140" s="625">
        <v>42110.21</v>
      </c>
    </row>
    <row r="141" spans="1:10">
      <c r="A141" s="663" t="s">
        <v>827</v>
      </c>
      <c r="B141" s="664" t="s">
        <v>59</v>
      </c>
      <c r="C141" s="665">
        <v>158094192</v>
      </c>
      <c r="D141" s="667">
        <v>11850622</v>
      </c>
      <c r="E141" s="667">
        <v>169944.81400000001</v>
      </c>
      <c r="F141" s="668">
        <v>100</v>
      </c>
      <c r="G141" s="668">
        <v>22.7038349049004</v>
      </c>
      <c r="H141" s="667">
        <v>327539.78000000003</v>
      </c>
      <c r="I141" s="670">
        <f t="shared" si="4"/>
        <v>1.9273302449817622</v>
      </c>
      <c r="J141" s="667">
        <v>38583.982000000004</v>
      </c>
    </row>
    <row r="142" spans="1:10" s="642" customFormat="1">
      <c r="A142" s="650" t="s">
        <v>827</v>
      </c>
      <c r="B142" s="672" t="s">
        <v>825</v>
      </c>
      <c r="C142" s="673">
        <f>SUM(C131:C141)</f>
        <v>121879976419</v>
      </c>
      <c r="D142" s="677">
        <f>SUM(D131:D141)</f>
        <v>13349571438</v>
      </c>
      <c r="E142" s="675">
        <f>SUM(E131:E141)</f>
        <v>135221612.57100001</v>
      </c>
      <c r="F142" s="658">
        <v>1.1499999999999999</v>
      </c>
      <c r="G142" s="658">
        <v>21.51</v>
      </c>
      <c r="H142" s="677">
        <f>SUM(H131:H141)</f>
        <v>28592175.008000001</v>
      </c>
      <c r="I142" s="679">
        <f t="shared" si="4"/>
        <v>0.21144678327946487</v>
      </c>
      <c r="J142" s="675">
        <f>SUM(J131:J141)</f>
        <v>365061.03600000002</v>
      </c>
    </row>
    <row r="143" spans="1:10">
      <c r="A143" s="643" t="s">
        <v>102</v>
      </c>
      <c r="B143" s="644" t="s">
        <v>49</v>
      </c>
      <c r="C143" s="645">
        <v>0</v>
      </c>
      <c r="D143" s="646">
        <v>0</v>
      </c>
      <c r="E143" s="647">
        <v>0</v>
      </c>
      <c r="F143" s="649"/>
      <c r="G143" s="649"/>
      <c r="H143" s="647">
        <v>0</v>
      </c>
      <c r="I143" s="649"/>
      <c r="J143" s="647">
        <v>0</v>
      </c>
    </row>
    <row r="144" spans="1:10">
      <c r="A144" s="650" t="s">
        <v>102</v>
      </c>
      <c r="B144" s="623" t="s">
        <v>50</v>
      </c>
      <c r="C144" s="624">
        <v>516656290</v>
      </c>
      <c r="D144" s="651">
        <v>528664678</v>
      </c>
      <c r="E144" s="625">
        <v>1042490.9680000001</v>
      </c>
      <c r="F144" s="652">
        <v>0.20796924141040307</v>
      </c>
      <c r="G144" s="652">
        <v>49.975871114936425</v>
      </c>
      <c r="H144" s="625">
        <v>229620.63500000001</v>
      </c>
      <c r="I144" s="630">
        <f t="shared" ref="I144:I155" si="5">+H144/E144</f>
        <v>0.22026151021770771</v>
      </c>
      <c r="J144" s="625">
        <v>1084.0340000000001</v>
      </c>
    </row>
    <row r="145" spans="1:10">
      <c r="A145" s="650" t="s">
        <v>102</v>
      </c>
      <c r="B145" s="623" t="s">
        <v>51</v>
      </c>
      <c r="C145" s="624">
        <v>1118798549</v>
      </c>
      <c r="D145" s="651">
        <v>287034892</v>
      </c>
      <c r="E145" s="625">
        <v>1403250.4409999999</v>
      </c>
      <c r="F145" s="652">
        <v>0.37369052475292897</v>
      </c>
      <c r="G145" s="652">
        <v>50.34806232144625</v>
      </c>
      <c r="H145" s="625">
        <v>450754.29700000002</v>
      </c>
      <c r="I145" s="630">
        <f t="shared" si="5"/>
        <v>0.32122156090596238</v>
      </c>
      <c r="J145" s="625">
        <v>2642.252</v>
      </c>
    </row>
    <row r="146" spans="1:10">
      <c r="A146" s="650" t="s">
        <v>102</v>
      </c>
      <c r="B146" s="623" t="s">
        <v>52</v>
      </c>
      <c r="C146" s="624">
        <v>936379504</v>
      </c>
      <c r="D146" s="651">
        <v>65171295</v>
      </c>
      <c r="E146" s="625">
        <v>1000361.799</v>
      </c>
      <c r="F146" s="652">
        <v>0.61253021398533902</v>
      </c>
      <c r="G146" s="652">
        <v>50.400141298006822</v>
      </c>
      <c r="H146" s="625">
        <v>428411.32300000003</v>
      </c>
      <c r="I146" s="630">
        <f t="shared" si="5"/>
        <v>0.42825638026987478</v>
      </c>
      <c r="J146" s="625">
        <v>3090.7089999999998</v>
      </c>
    </row>
    <row r="147" spans="1:10">
      <c r="A147" s="650" t="s">
        <v>102</v>
      </c>
      <c r="B147" s="623" t="s">
        <v>53</v>
      </c>
      <c r="C147" s="624">
        <v>920017605</v>
      </c>
      <c r="D147" s="651">
        <v>51517547</v>
      </c>
      <c r="E147" s="625">
        <v>970053.14199999999</v>
      </c>
      <c r="F147" s="652">
        <v>0.94431016972819415</v>
      </c>
      <c r="G147" s="652">
        <v>50.73701206611144</v>
      </c>
      <c r="H147" s="625">
        <v>515001.92700000003</v>
      </c>
      <c r="I147" s="630">
        <f t="shared" si="5"/>
        <v>0.53090073595163922</v>
      </c>
      <c r="J147" s="625">
        <v>4644.683</v>
      </c>
    </row>
    <row r="148" spans="1:10">
      <c r="A148" s="650" t="s">
        <v>102</v>
      </c>
      <c r="B148" s="623" t="s">
        <v>54</v>
      </c>
      <c r="C148" s="624">
        <v>380459360</v>
      </c>
      <c r="D148" s="651">
        <v>15025412</v>
      </c>
      <c r="E148" s="625">
        <v>394662.772</v>
      </c>
      <c r="F148" s="652">
        <v>1.6767360560302882</v>
      </c>
      <c r="G148" s="652">
        <v>49.943227920705034</v>
      </c>
      <c r="H148" s="625">
        <v>254330.897</v>
      </c>
      <c r="I148" s="630">
        <f t="shared" si="5"/>
        <v>0.64442586188494111</v>
      </c>
      <c r="J148" s="625">
        <v>3308.2240000000002</v>
      </c>
    </row>
    <row r="149" spans="1:10">
      <c r="A149" s="650" t="s">
        <v>102</v>
      </c>
      <c r="B149" s="623" t="s">
        <v>55</v>
      </c>
      <c r="C149" s="624">
        <v>150303117</v>
      </c>
      <c r="D149" s="651">
        <v>3573801</v>
      </c>
      <c r="E149" s="625">
        <v>153625.91800000001</v>
      </c>
      <c r="F149" s="652">
        <v>3.5141371912697297</v>
      </c>
      <c r="G149" s="652">
        <v>50.105208373193634</v>
      </c>
      <c r="H149" s="625">
        <v>115573.00899999999</v>
      </c>
      <c r="I149" s="630">
        <f t="shared" si="5"/>
        <v>0.75230150292739006</v>
      </c>
      <c r="J149" s="625">
        <v>2698.86</v>
      </c>
    </row>
    <row r="150" spans="1:10">
      <c r="A150" s="650" t="s">
        <v>102</v>
      </c>
      <c r="B150" s="623" t="s">
        <v>56</v>
      </c>
      <c r="C150" s="624">
        <v>65261621</v>
      </c>
      <c r="D150" s="651">
        <v>1890399</v>
      </c>
      <c r="E150" s="625">
        <v>66739.520000000004</v>
      </c>
      <c r="F150" s="652">
        <v>7.1318199755679172</v>
      </c>
      <c r="G150" s="652">
        <v>49.536897958288812</v>
      </c>
      <c r="H150" s="625">
        <v>54319.673000000003</v>
      </c>
      <c r="I150" s="630">
        <f t="shared" si="5"/>
        <v>0.81390565889595845</v>
      </c>
      <c r="J150" s="625">
        <v>2360.6950000000002</v>
      </c>
    </row>
    <row r="151" spans="1:10">
      <c r="A151" s="650" t="s">
        <v>102</v>
      </c>
      <c r="B151" s="623" t="s">
        <v>824</v>
      </c>
      <c r="C151" s="624">
        <v>77425215</v>
      </c>
      <c r="D151" s="651">
        <v>2113814</v>
      </c>
      <c r="E151" s="625">
        <v>79269.52900000001</v>
      </c>
      <c r="F151" s="652">
        <v>23.126758282647298</v>
      </c>
      <c r="G151" s="652">
        <v>49.511638918152194</v>
      </c>
      <c r="H151" s="625">
        <v>93190.685999999987</v>
      </c>
      <c r="I151" s="630">
        <f t="shared" si="5"/>
        <v>1.1756180107995844</v>
      </c>
      <c r="J151" s="625">
        <v>9095.8220000000001</v>
      </c>
    </row>
    <row r="152" spans="1:10">
      <c r="A152" s="650" t="s">
        <v>102</v>
      </c>
      <c r="B152" s="623" t="s">
        <v>58</v>
      </c>
      <c r="C152" s="624">
        <v>10532468</v>
      </c>
      <c r="D152" s="651">
        <v>83898</v>
      </c>
      <c r="E152" s="625">
        <v>10616.366</v>
      </c>
      <c r="F152" s="652">
        <v>100</v>
      </c>
      <c r="G152" s="652">
        <v>51.304664891922521</v>
      </c>
      <c r="H152" s="625">
        <v>36.058</v>
      </c>
      <c r="I152" s="630">
        <f t="shared" si="5"/>
        <v>3.3964541162201829E-3</v>
      </c>
      <c r="J152" s="625">
        <v>5446.6989999999996</v>
      </c>
    </row>
    <row r="153" spans="1:10">
      <c r="A153" s="663" t="s">
        <v>102</v>
      </c>
      <c r="B153" s="664" t="s">
        <v>59</v>
      </c>
      <c r="C153" s="665">
        <v>37207760</v>
      </c>
      <c r="D153" s="666">
        <v>110353</v>
      </c>
      <c r="E153" s="667">
        <v>37279.613000000005</v>
      </c>
      <c r="F153" s="680">
        <v>100</v>
      </c>
      <c r="G153" s="680">
        <v>87.177900698214771</v>
      </c>
      <c r="H153" s="667">
        <v>12002.653</v>
      </c>
      <c r="I153" s="670">
        <f t="shared" si="5"/>
        <v>0.3219629184455321</v>
      </c>
      <c r="J153" s="667">
        <v>32496.179</v>
      </c>
    </row>
    <row r="154" spans="1:10" s="642" customFormat="1">
      <c r="A154" s="650" t="s">
        <v>102</v>
      </c>
      <c r="B154" s="672" t="s">
        <v>825</v>
      </c>
      <c r="C154" s="673">
        <f>SUM(C143:C153)</f>
        <v>4213041489</v>
      </c>
      <c r="D154" s="674">
        <f>SUM(D143:D153)</f>
        <v>955186089</v>
      </c>
      <c r="E154" s="675">
        <f>SUM(E143:E153)</f>
        <v>5158350.067999999</v>
      </c>
      <c r="F154" s="658">
        <v>2.0499999999999998</v>
      </c>
      <c r="G154" s="658">
        <v>50.56</v>
      </c>
      <c r="H154" s="677">
        <f>SUM(H143:H153)</f>
        <v>2153241.1579999998</v>
      </c>
      <c r="I154" s="679">
        <f t="shared" si="5"/>
        <v>0.41742827253189058</v>
      </c>
      <c r="J154" s="675">
        <f>SUM(J143:J153)</f>
        <v>66868.156999999992</v>
      </c>
    </row>
    <row r="155" spans="1:10">
      <c r="A155" s="672" t="s">
        <v>828</v>
      </c>
      <c r="B155" s="672"/>
      <c r="C155" s="681">
        <f>+C154+C142+C130+C118+C106+C94</f>
        <v>198153303008</v>
      </c>
      <c r="D155" s="682">
        <f>+D154+D142+D130+D118+D106+D94</f>
        <v>31720882596</v>
      </c>
      <c r="E155" s="683">
        <f>+E154+E142+E130+E118+E106+E94</f>
        <v>223506991.98000002</v>
      </c>
      <c r="F155" s="684">
        <v>2.71</v>
      </c>
      <c r="G155" s="684">
        <v>25.3</v>
      </c>
      <c r="H155" s="682">
        <f>+H154+H142+H130+H118+H106+H94</f>
        <v>88277664.912</v>
      </c>
      <c r="I155" s="630">
        <f t="shared" si="5"/>
        <v>0.39496601036937273</v>
      </c>
      <c r="J155" s="682">
        <f>+J154+J142+J130+J118+J106+J94</f>
        <v>1591665.8119999999</v>
      </c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91" fitToHeight="0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121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37"/>
  <sheetViews>
    <sheetView showGridLines="0" zoomScaleNormal="100" workbookViewId="0"/>
  </sheetViews>
  <sheetFormatPr baseColWidth="10" defaultColWidth="11" defaultRowHeight="12"/>
  <cols>
    <col min="1" max="1" width="12.5" style="161" customWidth="1"/>
    <col min="2" max="3" width="12.75" style="161" customWidth="1"/>
    <col min="4" max="4" width="3.75" style="161" customWidth="1"/>
    <col min="5" max="5" width="12.5" style="161" customWidth="1"/>
    <col min="6" max="7" width="12.75" style="161" customWidth="1"/>
    <col min="8" max="8" width="3.75" style="161" customWidth="1"/>
    <col min="9" max="9" width="12.5" style="161" customWidth="1"/>
    <col min="10" max="11" width="12.75" style="161" customWidth="1"/>
    <col min="12" max="16384" width="11" style="161"/>
  </cols>
  <sheetData>
    <row r="1" spans="1:11" ht="21">
      <c r="A1" s="685" t="s">
        <v>569</v>
      </c>
      <c r="C1" s="162"/>
      <c r="F1" s="267"/>
    </row>
    <row r="2" spans="1:11">
      <c r="A2" s="160"/>
      <c r="C2" s="162"/>
      <c r="F2" s="267"/>
    </row>
    <row r="3" spans="1:11" ht="12.75">
      <c r="A3" s="415" t="s">
        <v>564</v>
      </c>
      <c r="B3"/>
      <c r="C3"/>
      <c r="D3"/>
      <c r="E3" s="415" t="s">
        <v>102</v>
      </c>
      <c r="F3"/>
      <c r="G3"/>
      <c r="I3" s="415" t="s">
        <v>19</v>
      </c>
      <c r="J3"/>
      <c r="K3"/>
    </row>
    <row r="4" spans="1:11" ht="12.75">
      <c r="A4"/>
      <c r="B4"/>
      <c r="C4"/>
      <c r="D4"/>
      <c r="E4"/>
      <c r="F4"/>
      <c r="G4"/>
      <c r="I4"/>
      <c r="J4"/>
      <c r="K4"/>
    </row>
    <row r="5" spans="1:11" ht="24.75" thickBot="1">
      <c r="A5" s="412" t="s">
        <v>641</v>
      </c>
      <c r="B5" s="416" t="s">
        <v>643</v>
      </c>
      <c r="C5" s="416" t="s">
        <v>644</v>
      </c>
      <c r="D5"/>
      <c r="E5" s="412" t="s">
        <v>641</v>
      </c>
      <c r="F5" s="416" t="s">
        <v>643</v>
      </c>
      <c r="G5" s="416" t="s">
        <v>644</v>
      </c>
      <c r="I5" s="412" t="s">
        <v>641</v>
      </c>
      <c r="J5" s="416" t="s">
        <v>643</v>
      </c>
      <c r="K5" s="416" t="s">
        <v>644</v>
      </c>
    </row>
    <row r="6" spans="1:11" ht="14.1" customHeight="1" thickTop="1">
      <c r="A6" s="417">
        <v>2008</v>
      </c>
      <c r="B6" s="418">
        <v>7.9250000000000015E-3</v>
      </c>
      <c r="C6" s="418">
        <v>4.0499999999999998E-3</v>
      </c>
      <c r="D6" s="419"/>
      <c r="E6" s="417">
        <v>2008</v>
      </c>
      <c r="F6" s="418">
        <v>3.6441666666666664E-2</v>
      </c>
      <c r="G6" s="418">
        <v>1.9958333333333331E-2</v>
      </c>
      <c r="I6" s="417">
        <v>2008</v>
      </c>
      <c r="J6" s="418">
        <v>2.9149999999999995E-2</v>
      </c>
      <c r="K6" s="418">
        <v>1.7824999999999997E-2</v>
      </c>
    </row>
    <row r="7" spans="1:11" ht="14.1" customHeight="1">
      <c r="A7" s="417">
        <v>2009</v>
      </c>
      <c r="B7" s="418">
        <v>8.7666666666666657E-3</v>
      </c>
      <c r="C7" s="418">
        <v>4.3E-3</v>
      </c>
      <c r="D7" s="419"/>
      <c r="E7" s="417">
        <v>2009</v>
      </c>
      <c r="F7" s="418">
        <v>3.9050000000000001E-2</v>
      </c>
      <c r="G7" s="418">
        <v>2.5816666666666665E-2</v>
      </c>
      <c r="I7" s="417">
        <v>2009</v>
      </c>
      <c r="J7" s="418">
        <v>2.985833333333333E-2</v>
      </c>
      <c r="K7" s="418">
        <v>2.8208333333333332E-2</v>
      </c>
    </row>
    <row r="8" spans="1:11" ht="14.1" customHeight="1">
      <c r="A8" s="417">
        <v>2010</v>
      </c>
      <c r="B8" s="418">
        <v>1.0741666666666665E-2</v>
      </c>
      <c r="C8" s="418">
        <v>4.1583333333333333E-3</v>
      </c>
      <c r="D8" s="419"/>
      <c r="E8" s="417">
        <v>2010</v>
      </c>
      <c r="F8" s="418">
        <v>4.2916666666666665E-2</v>
      </c>
      <c r="G8" s="418">
        <v>2.6633333333333332E-2</v>
      </c>
      <c r="I8" s="417">
        <v>2010</v>
      </c>
      <c r="J8" s="418">
        <v>3.3791666666666664E-2</v>
      </c>
      <c r="K8" s="418">
        <v>2.7066666666666659E-2</v>
      </c>
    </row>
    <row r="9" spans="1:11" ht="14.1" customHeight="1">
      <c r="A9" s="417">
        <v>2011</v>
      </c>
      <c r="B9" s="418">
        <v>1.0491666666666668E-2</v>
      </c>
      <c r="C9" s="418">
        <v>3.2166666666666667E-3</v>
      </c>
      <c r="D9" s="419"/>
      <c r="E9" s="417">
        <v>2011</v>
      </c>
      <c r="F9" s="418">
        <v>3.7841666666666669E-2</v>
      </c>
      <c r="G9" s="418">
        <v>1.9066666666666666E-2</v>
      </c>
      <c r="I9" s="417">
        <v>2011</v>
      </c>
      <c r="J9" s="418">
        <v>3.6466666666666668E-2</v>
      </c>
      <c r="K9" s="418">
        <v>2.4041666666666666E-2</v>
      </c>
    </row>
    <row r="10" spans="1:11" ht="14.1" customHeight="1">
      <c r="A10" s="417">
        <v>2012</v>
      </c>
      <c r="B10" s="418">
        <v>9.6333333333333323E-3</v>
      </c>
      <c r="C10" s="418">
        <v>2.6083333333333327E-3</v>
      </c>
      <c r="D10" s="419"/>
      <c r="E10" s="417">
        <v>2012</v>
      </c>
      <c r="F10" s="418">
        <v>3.3816666666666668E-2</v>
      </c>
      <c r="G10" s="418">
        <v>1.4341666666666667E-2</v>
      </c>
      <c r="I10" s="417">
        <v>2012</v>
      </c>
      <c r="J10" s="418">
        <v>3.4374999999999996E-2</v>
      </c>
      <c r="K10" s="418">
        <v>1.9041666666666669E-2</v>
      </c>
    </row>
    <row r="11" spans="1:11" ht="14.1" customHeight="1">
      <c r="A11" s="417">
        <v>2013</v>
      </c>
      <c r="B11" s="418">
        <v>9.4083333333333345E-3</v>
      </c>
      <c r="C11" s="418">
        <v>2.3833333333333332E-3</v>
      </c>
      <c r="D11" s="419"/>
      <c r="E11" s="417">
        <v>2013</v>
      </c>
      <c r="F11" s="418">
        <v>3.1174999999999998E-2</v>
      </c>
      <c r="G11" s="418">
        <v>1.5675000000000005E-2</v>
      </c>
      <c r="I11" s="417">
        <v>2013</v>
      </c>
      <c r="J11" s="418">
        <v>3.3183333333333336E-2</v>
      </c>
      <c r="K11" s="418">
        <v>2.0874999999999994E-2</v>
      </c>
    </row>
    <row r="12" spans="1:11" ht="14.1" customHeight="1">
      <c r="A12" s="417">
        <v>2014</v>
      </c>
      <c r="B12" s="418">
        <v>9.2750000000000003E-3</v>
      </c>
      <c r="C12" s="418">
        <v>2.3583333333333334E-3</v>
      </c>
      <c r="D12" s="419"/>
      <c r="E12" s="417">
        <v>2014</v>
      </c>
      <c r="F12" s="418">
        <v>3.0108333333333334E-2</v>
      </c>
      <c r="G12" s="418">
        <v>1.5316666666666666E-2</v>
      </c>
      <c r="I12" s="417">
        <v>2014</v>
      </c>
      <c r="J12" s="418">
        <v>3.2199999999999999E-2</v>
      </c>
      <c r="K12" s="418">
        <v>2.1158333333333335E-2</v>
      </c>
    </row>
    <row r="13" spans="1:11" ht="14.1" customHeight="1">
      <c r="A13" s="417">
        <v>2015</v>
      </c>
      <c r="B13" s="418">
        <v>9.166666666666665E-3</v>
      </c>
      <c r="C13" s="418">
        <v>2.4083333333333331E-3</v>
      </c>
      <c r="D13" s="419"/>
      <c r="E13" s="417">
        <v>2015</v>
      </c>
      <c r="F13" s="418">
        <v>2.7591666666666667E-2</v>
      </c>
      <c r="G13" s="418">
        <v>1.3183333333333332E-2</v>
      </c>
      <c r="I13" s="417">
        <v>2015</v>
      </c>
      <c r="J13" s="418">
        <v>3.1041666666666665E-2</v>
      </c>
      <c r="K13" s="418">
        <v>1.9775000000000001E-2</v>
      </c>
    </row>
    <row r="14" spans="1:11" ht="14.1" customHeight="1">
      <c r="A14" s="417">
        <v>2016</v>
      </c>
      <c r="B14" s="418">
        <v>8.3000000000000001E-3</v>
      </c>
      <c r="C14" s="418">
        <v>1.7500000000000005E-3</v>
      </c>
      <c r="D14" s="419"/>
      <c r="E14" s="417">
        <v>2016</v>
      </c>
      <c r="F14" s="418">
        <v>2.3908333333333334E-2</v>
      </c>
      <c r="G14" s="418">
        <v>8.4250000000000019E-3</v>
      </c>
      <c r="I14" s="417">
        <v>2016</v>
      </c>
      <c r="J14" s="418">
        <v>2.9966666666666666E-2</v>
      </c>
      <c r="K14" s="418">
        <v>1.7258333333333334E-2</v>
      </c>
    </row>
    <row r="15" spans="1:11" ht="14.1" customHeight="1">
      <c r="A15" s="417">
        <v>2017</v>
      </c>
      <c r="B15" s="418">
        <v>8.0000000000000002E-3</v>
      </c>
      <c r="C15" s="418">
        <v>2.0999999999999999E-3</v>
      </c>
      <c r="D15" s="419"/>
      <c r="E15" s="417">
        <v>2017</v>
      </c>
      <c r="F15" s="418">
        <v>2.1841666666666665E-2</v>
      </c>
      <c r="G15" s="418">
        <v>1.0141666666666665E-2</v>
      </c>
      <c r="I15" s="417">
        <v>2017</v>
      </c>
      <c r="J15" s="418">
        <v>2.900833333333333E-2</v>
      </c>
      <c r="K15" s="418">
        <v>1.8008333333333331E-2</v>
      </c>
    </row>
    <row r="16" spans="1:11" ht="14.1" customHeight="1">
      <c r="A16" s="417">
        <v>2018</v>
      </c>
      <c r="B16" s="418">
        <v>8.0833333333333347E-3</v>
      </c>
      <c r="C16" s="418">
        <v>2.4499999999999999E-3</v>
      </c>
      <c r="D16" s="419"/>
      <c r="E16" s="417">
        <v>2018</v>
      </c>
      <c r="F16" s="418">
        <v>2.2333333333333334E-2</v>
      </c>
      <c r="G16" s="418">
        <v>1.2200000000000001E-2</v>
      </c>
      <c r="I16" s="417">
        <v>2018</v>
      </c>
      <c r="J16" s="418">
        <v>2.9341666666666669E-2</v>
      </c>
      <c r="K16" s="418">
        <v>1.5283333333333335E-2</v>
      </c>
    </row>
    <row r="17" spans="1:11" ht="14.1" customHeight="1">
      <c r="A17" s="420" t="s">
        <v>642</v>
      </c>
      <c r="B17" s="421">
        <v>9.0719696969696964E-3</v>
      </c>
      <c r="C17" s="421">
        <v>2.8893939393939412E-3</v>
      </c>
      <c r="D17" s="422"/>
      <c r="E17" s="420" t="s">
        <v>642</v>
      </c>
      <c r="F17" s="421">
        <v>3.1547727272727276E-2</v>
      </c>
      <c r="G17" s="421">
        <v>1.6432575757575757E-2</v>
      </c>
      <c r="I17" s="420" t="s">
        <v>642</v>
      </c>
      <c r="J17" s="421">
        <v>3.1671212121212121E-2</v>
      </c>
      <c r="K17" s="421">
        <v>2.077651515151516E-2</v>
      </c>
    </row>
    <row r="18" spans="1:11">
      <c r="I18" s="163"/>
      <c r="J18" s="163"/>
      <c r="K18" s="165"/>
    </row>
    <row r="19" spans="1:11" ht="12.75">
      <c r="A19"/>
      <c r="I19" s="359"/>
      <c r="J19"/>
      <c r="K19"/>
    </row>
    <row r="21" spans="1:11" ht="21">
      <c r="A21" s="685" t="s">
        <v>646</v>
      </c>
    </row>
    <row r="23" spans="1:11" ht="12.75">
      <c r="A23" s="415" t="s">
        <v>564</v>
      </c>
      <c r="B23"/>
      <c r="C23"/>
      <c r="D23"/>
      <c r="E23" s="415" t="s">
        <v>102</v>
      </c>
      <c r="F23"/>
      <c r="G23"/>
      <c r="I23" s="415" t="s">
        <v>19</v>
      </c>
      <c r="J23"/>
      <c r="K23"/>
    </row>
    <row r="24" spans="1:11" ht="12.75">
      <c r="A24"/>
      <c r="B24"/>
      <c r="C24"/>
      <c r="D24"/>
      <c r="E24"/>
      <c r="F24"/>
      <c r="G24"/>
      <c r="I24"/>
      <c r="J24"/>
      <c r="K24"/>
    </row>
    <row r="25" spans="1:11" ht="24.75" thickBot="1">
      <c r="A25" s="412" t="s">
        <v>641</v>
      </c>
      <c r="B25" s="416" t="s">
        <v>643</v>
      </c>
      <c r="C25" s="416" t="s">
        <v>644</v>
      </c>
      <c r="D25"/>
      <c r="E25" s="412" t="s">
        <v>641</v>
      </c>
      <c r="F25" s="416" t="s">
        <v>643</v>
      </c>
      <c r="G25" s="416" t="s">
        <v>644</v>
      </c>
      <c r="I25" s="412" t="s">
        <v>641</v>
      </c>
      <c r="J25" s="416" t="s">
        <v>643</v>
      </c>
      <c r="K25" s="416" t="s">
        <v>644</v>
      </c>
    </row>
    <row r="26" spans="1:11" ht="14.1" customHeight="1" thickTop="1">
      <c r="A26" s="417">
        <v>2008</v>
      </c>
      <c r="B26" s="418">
        <v>9.3833333333333338E-3</v>
      </c>
      <c r="C26" s="418">
        <v>5.3750000000000004E-3</v>
      </c>
      <c r="D26" s="419"/>
      <c r="E26" s="417">
        <v>2008</v>
      </c>
      <c r="F26" s="418">
        <v>3.1049999999999994E-2</v>
      </c>
      <c r="G26" s="418">
        <v>9.5000000000000015E-3</v>
      </c>
      <c r="I26" s="417">
        <v>2008</v>
      </c>
      <c r="J26" s="418">
        <v>2.6008333333333338E-2</v>
      </c>
      <c r="K26" s="418">
        <v>2.7275000000000004E-2</v>
      </c>
    </row>
    <row r="27" spans="1:11" ht="14.1" customHeight="1">
      <c r="A27" s="417">
        <v>2009</v>
      </c>
      <c r="B27" s="418">
        <v>1.0791666666666666E-2</v>
      </c>
      <c r="C27" s="418">
        <v>6.1166666666666661E-3</v>
      </c>
      <c r="D27" s="419"/>
      <c r="E27" s="417">
        <v>2009</v>
      </c>
      <c r="F27" s="418">
        <v>3.5808333333333338E-2</v>
      </c>
      <c r="G27" s="418">
        <v>3.9491666666666668E-2</v>
      </c>
      <c r="I27" s="417">
        <v>2009</v>
      </c>
      <c r="J27" s="418">
        <v>2.6633333333333332E-2</v>
      </c>
      <c r="K27" s="418">
        <v>3.4275E-2</v>
      </c>
    </row>
    <row r="28" spans="1:11" ht="14.1" customHeight="1">
      <c r="A28" s="417">
        <v>2010</v>
      </c>
      <c r="B28" s="418">
        <v>1.3066666666666666E-2</v>
      </c>
      <c r="C28" s="418">
        <v>6.0666666666666655E-3</v>
      </c>
      <c r="D28" s="419"/>
      <c r="E28" s="417">
        <v>2010</v>
      </c>
      <c r="F28" s="418">
        <v>4.1033333333333331E-2</v>
      </c>
      <c r="G28" s="418">
        <v>1.2724999999999995E-2</v>
      </c>
      <c r="I28" s="417">
        <v>2010</v>
      </c>
      <c r="J28" s="418">
        <v>2.9141666666666666E-2</v>
      </c>
      <c r="K28" s="418">
        <v>1.3975000000000001E-2</v>
      </c>
    </row>
    <row r="29" spans="1:11" ht="14.1" customHeight="1">
      <c r="A29" s="417">
        <v>2011</v>
      </c>
      <c r="B29" s="418">
        <v>1.2716666666666668E-2</v>
      </c>
      <c r="C29" s="418">
        <v>4.783333333333333E-3</v>
      </c>
      <c r="D29" s="419"/>
      <c r="E29" s="417">
        <v>2011</v>
      </c>
      <c r="F29" s="418">
        <v>4.0875000000000002E-2</v>
      </c>
      <c r="G29" s="418">
        <v>1.1108333333333331E-2</v>
      </c>
      <c r="I29" s="417">
        <v>2011</v>
      </c>
      <c r="J29" s="418">
        <v>2.9383333333333334E-2</v>
      </c>
      <c r="K29" s="418">
        <v>1.2541666666666665E-2</v>
      </c>
    </row>
    <row r="30" spans="1:11" ht="14.1" customHeight="1">
      <c r="A30" s="417">
        <v>2012</v>
      </c>
      <c r="B30" s="418">
        <v>1.1274999999999999E-2</v>
      </c>
      <c r="C30" s="418">
        <v>3.8083333333333333E-3</v>
      </c>
      <c r="D30" s="419"/>
      <c r="E30" s="417">
        <v>2012</v>
      </c>
      <c r="F30" s="418">
        <v>3.7175000000000007E-2</v>
      </c>
      <c r="G30" s="418">
        <v>9.6333333333333323E-3</v>
      </c>
      <c r="I30" s="417">
        <v>2012</v>
      </c>
      <c r="J30" s="418">
        <v>2.6458333333333337E-2</v>
      </c>
      <c r="K30" s="418">
        <v>1.7124999999999998E-2</v>
      </c>
    </row>
    <row r="31" spans="1:11" ht="14.1" customHeight="1">
      <c r="A31" s="417">
        <v>2013</v>
      </c>
      <c r="B31" s="418">
        <v>1.0791666666666666E-2</v>
      </c>
      <c r="C31" s="418">
        <v>2.8333333333333331E-3</v>
      </c>
      <c r="D31" s="419"/>
      <c r="E31" s="417">
        <v>2013</v>
      </c>
      <c r="F31" s="418">
        <v>3.4141666666666674E-2</v>
      </c>
      <c r="G31" s="418">
        <v>7.9583333333333329E-3</v>
      </c>
      <c r="I31" s="417">
        <v>2013</v>
      </c>
      <c r="J31" s="418">
        <v>2.6275000000000003E-2</v>
      </c>
      <c r="K31" s="418">
        <v>1.2783333333333334E-2</v>
      </c>
    </row>
    <row r="32" spans="1:11" ht="14.1" customHeight="1">
      <c r="A32" s="417">
        <v>2014</v>
      </c>
      <c r="B32" s="418">
        <v>1.0758333333333333E-2</v>
      </c>
      <c r="C32" s="418">
        <v>3.7500000000000012E-3</v>
      </c>
      <c r="D32" s="419"/>
      <c r="E32" s="417">
        <v>2014</v>
      </c>
      <c r="F32" s="418">
        <v>3.3774999999999993E-2</v>
      </c>
      <c r="G32" s="418">
        <v>1.2191666666666668E-2</v>
      </c>
      <c r="I32" s="417">
        <v>2014</v>
      </c>
      <c r="J32" s="418">
        <v>2.3833333333333331E-2</v>
      </c>
      <c r="K32" s="418">
        <v>1.7441666666666664E-2</v>
      </c>
    </row>
    <row r="33" spans="1:11" ht="14.1" customHeight="1">
      <c r="A33" s="417">
        <v>2015</v>
      </c>
      <c r="B33" s="418">
        <v>1.0666666666666666E-2</v>
      </c>
      <c r="C33" s="418">
        <v>2.725E-3</v>
      </c>
      <c r="D33" s="419"/>
      <c r="E33" s="417">
        <v>2015</v>
      </c>
      <c r="F33" s="418">
        <v>2.9149999999999995E-2</v>
      </c>
      <c r="G33" s="418">
        <v>1.0116666666666668E-2</v>
      </c>
      <c r="I33" s="417">
        <v>2015</v>
      </c>
      <c r="J33" s="418">
        <v>2.2000000000000002E-2</v>
      </c>
      <c r="K33" s="418">
        <v>8.2083333333333331E-3</v>
      </c>
    </row>
    <row r="34" spans="1:11" ht="14.1" customHeight="1">
      <c r="A34" s="417">
        <v>2016</v>
      </c>
      <c r="B34" s="418">
        <v>9.4083333333333328E-3</v>
      </c>
      <c r="C34" s="418">
        <v>2.4166666666666672E-3</v>
      </c>
      <c r="D34" s="419"/>
      <c r="E34" s="417">
        <v>2016</v>
      </c>
      <c r="F34" s="418">
        <v>2.8891666666666663E-2</v>
      </c>
      <c r="G34" s="418">
        <v>4.6749999999999995E-3</v>
      </c>
      <c r="I34" s="417">
        <v>2016</v>
      </c>
      <c r="J34" s="418">
        <v>2.0858333333333336E-2</v>
      </c>
      <c r="K34" s="418">
        <v>1.6375000000000001E-2</v>
      </c>
    </row>
    <row r="35" spans="1:11" ht="14.1" customHeight="1">
      <c r="A35" s="417">
        <v>2017</v>
      </c>
      <c r="B35" s="418">
        <v>8.9333333333333331E-3</v>
      </c>
      <c r="C35" s="418">
        <v>2.2000000000000001E-3</v>
      </c>
      <c r="D35" s="419"/>
      <c r="E35" s="417">
        <v>2017</v>
      </c>
      <c r="F35" s="418">
        <v>2.6566666666666669E-2</v>
      </c>
      <c r="G35" s="418">
        <v>1.0391666666666665E-2</v>
      </c>
      <c r="I35" s="417">
        <v>2017</v>
      </c>
      <c r="J35" s="418">
        <v>2.1150000000000002E-2</v>
      </c>
      <c r="K35" s="418">
        <v>1.4566666666666665E-2</v>
      </c>
    </row>
    <row r="36" spans="1:11" ht="14.1" customHeight="1">
      <c r="A36" s="417">
        <v>2018</v>
      </c>
      <c r="B36" s="418">
        <v>9.1249999999999994E-3</v>
      </c>
      <c r="C36" s="418">
        <v>2.5666666666666663E-3</v>
      </c>
      <c r="D36" s="419"/>
      <c r="E36" s="417">
        <v>2018</v>
      </c>
      <c r="F36" s="418">
        <v>2.5883333333333338E-2</v>
      </c>
      <c r="G36" s="418">
        <v>7.3999999999999995E-3</v>
      </c>
      <c r="I36" s="417">
        <v>2018</v>
      </c>
      <c r="J36" s="418">
        <v>2.0974999999999997E-2</v>
      </c>
      <c r="K36" s="418">
        <v>1.9008333333333332E-2</v>
      </c>
    </row>
    <row r="37" spans="1:11" ht="14.1" customHeight="1">
      <c r="A37" s="420" t="s">
        <v>642</v>
      </c>
      <c r="B37" s="421">
        <v>1.0628787878787878E-2</v>
      </c>
      <c r="C37" s="421">
        <v>3.8765151515151503E-3</v>
      </c>
      <c r="D37" s="422"/>
      <c r="E37" s="420" t="s">
        <v>642</v>
      </c>
      <c r="F37" s="421">
        <v>3.3122727272727283E-2</v>
      </c>
      <c r="G37" s="421">
        <v>1.2290151515151514E-2</v>
      </c>
      <c r="I37" s="420" t="s">
        <v>642</v>
      </c>
      <c r="J37" s="421">
        <v>2.4792424242424244E-2</v>
      </c>
      <c r="K37" s="421">
        <v>1.7597727272727272E-2</v>
      </c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36" max="16383" man="1"/>
  </rowBreaks>
  <colBreaks count="1" manualBreakCount="1">
    <brk id="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44"/>
  <sheetViews>
    <sheetView showGridLines="0" zoomScaleNormal="100" workbookViewId="0"/>
  </sheetViews>
  <sheetFormatPr baseColWidth="10" defaultColWidth="11" defaultRowHeight="12"/>
  <cols>
    <col min="1" max="1" width="31.75" style="161" customWidth="1"/>
    <col min="2" max="5" width="14.875" style="161" customWidth="1"/>
    <col min="6" max="16384" width="11" style="161"/>
  </cols>
  <sheetData>
    <row r="1" spans="1:5" ht="21">
      <c r="A1" s="685" t="s">
        <v>567</v>
      </c>
      <c r="B1" s="162"/>
      <c r="C1" s="162"/>
    </row>
    <row r="3" spans="1:5" ht="12.75" customHeight="1">
      <c r="A3" s="164"/>
      <c r="B3" s="369"/>
      <c r="C3" s="165"/>
      <c r="D3" s="165"/>
    </row>
    <row r="4" spans="1:5" ht="12" customHeight="1">
      <c r="A4" s="370"/>
      <c r="B4" s="371" t="s">
        <v>562</v>
      </c>
      <c r="C4" s="371" t="s">
        <v>563</v>
      </c>
      <c r="D4" s="371" t="s">
        <v>562</v>
      </c>
      <c r="E4" s="371" t="s">
        <v>563</v>
      </c>
    </row>
    <row r="5" spans="1:5" ht="12.75" thickBot="1">
      <c r="A5" s="372" t="s">
        <v>564</v>
      </c>
      <c r="B5" s="372">
        <v>2018</v>
      </c>
      <c r="C5" s="373">
        <v>2018</v>
      </c>
      <c r="D5" s="373" t="s">
        <v>829</v>
      </c>
      <c r="E5" s="373" t="s">
        <v>829</v>
      </c>
    </row>
    <row r="6" spans="1:5" ht="14.1" customHeight="1" thickTop="1">
      <c r="A6" s="374" t="s">
        <v>49</v>
      </c>
      <c r="B6" s="396">
        <v>0</v>
      </c>
      <c r="C6" s="397">
        <v>0</v>
      </c>
      <c r="D6" s="396">
        <v>0</v>
      </c>
      <c r="E6" s="397">
        <v>0</v>
      </c>
    </row>
    <row r="7" spans="1:5" ht="14.1" customHeight="1">
      <c r="A7" s="374" t="s">
        <v>50</v>
      </c>
      <c r="B7" s="423">
        <v>2.0000000000000005E-3</v>
      </c>
      <c r="C7" s="423">
        <v>1.6666666666666667E-5</v>
      </c>
      <c r="D7" s="423">
        <v>2.0651515151515138E-3</v>
      </c>
      <c r="E7" s="423">
        <v>1.68181818181818E-4</v>
      </c>
    </row>
    <row r="8" spans="1:5" ht="14.1" customHeight="1">
      <c r="A8" s="375" t="s">
        <v>51</v>
      </c>
      <c r="B8" s="423">
        <v>3.5999999999999995E-3</v>
      </c>
      <c r="C8" s="423">
        <v>2.9999999999999997E-4</v>
      </c>
      <c r="D8" s="423">
        <v>3.5999999999999951E-3</v>
      </c>
      <c r="E8" s="423">
        <v>5.7045454545454543E-4</v>
      </c>
    </row>
    <row r="9" spans="1:5" ht="14.1" customHeight="1">
      <c r="A9" s="375" t="s">
        <v>52</v>
      </c>
      <c r="B9" s="423">
        <v>6.1000000000000004E-3</v>
      </c>
      <c r="C9" s="423">
        <v>6.5833333333333336E-4</v>
      </c>
      <c r="D9" s="423">
        <v>6.1272727272727191E-3</v>
      </c>
      <c r="E9" s="423">
        <v>9.2803030303030402E-4</v>
      </c>
    </row>
    <row r="10" spans="1:5" ht="14.1" customHeight="1">
      <c r="A10" s="374" t="s">
        <v>53</v>
      </c>
      <c r="B10" s="423">
        <v>9.4166666666666687E-3</v>
      </c>
      <c r="C10" s="423">
        <v>1.5833333333333335E-3</v>
      </c>
      <c r="D10" s="423">
        <v>9.500000000000005E-3</v>
      </c>
      <c r="E10" s="423">
        <v>2.1946969696969697E-3</v>
      </c>
    </row>
    <row r="11" spans="1:5" ht="14.1" customHeight="1">
      <c r="A11" s="375" t="s">
        <v>54</v>
      </c>
      <c r="B11" s="423">
        <v>1.6408333333333334E-2</v>
      </c>
      <c r="C11" s="423">
        <v>4.8333333333333327E-3</v>
      </c>
      <c r="D11" s="423">
        <v>1.6693939393939383E-2</v>
      </c>
      <c r="E11" s="423">
        <v>5.1356060606060601E-3</v>
      </c>
    </row>
    <row r="12" spans="1:5" ht="14.1" customHeight="1">
      <c r="A12" s="375" t="s">
        <v>55</v>
      </c>
      <c r="B12" s="398">
        <v>3.505833333333333E-2</v>
      </c>
      <c r="C12" s="423">
        <v>1.355E-2</v>
      </c>
      <c r="D12" s="423">
        <v>3.4856818181818183E-2</v>
      </c>
      <c r="E12" s="423">
        <v>1.2884090909090911E-2</v>
      </c>
    </row>
    <row r="13" spans="1:5" ht="14.1" customHeight="1">
      <c r="A13" s="374" t="s">
        <v>56</v>
      </c>
      <c r="B13" s="423">
        <v>7.1141666666666672E-2</v>
      </c>
      <c r="C13" s="423">
        <v>3.0958333333333334E-2</v>
      </c>
      <c r="D13" s="423">
        <v>7.0228030303030306E-2</v>
      </c>
      <c r="E13" s="423">
        <v>2.9274242424242411E-2</v>
      </c>
    </row>
    <row r="14" spans="1:5" ht="14.1" customHeight="1">
      <c r="A14" s="375" t="s">
        <v>57</v>
      </c>
      <c r="B14" s="423">
        <v>0.22837499999999999</v>
      </c>
      <c r="C14" s="423">
        <v>0.12440833333333334</v>
      </c>
      <c r="D14" s="423">
        <v>0.22275000000000003</v>
      </c>
      <c r="E14" s="423">
        <v>0.10693939393939393</v>
      </c>
    </row>
    <row r="15" spans="1:5" ht="14.1" customHeight="1">
      <c r="A15" s="686" t="s">
        <v>594</v>
      </c>
      <c r="B15" s="687">
        <v>8.0999999999999996E-3</v>
      </c>
      <c r="C15" s="688">
        <v>2.5000000000000001E-3</v>
      </c>
      <c r="D15" s="689">
        <v>9.1000000000000004E-3</v>
      </c>
      <c r="E15" s="689">
        <v>2.8999999999999998E-3</v>
      </c>
    </row>
    <row r="18" spans="1:5">
      <c r="B18" s="371" t="s">
        <v>562</v>
      </c>
      <c r="C18" s="371" t="s">
        <v>563</v>
      </c>
      <c r="D18" s="371" t="s">
        <v>562</v>
      </c>
      <c r="E18" s="371" t="s">
        <v>563</v>
      </c>
    </row>
    <row r="19" spans="1:5" ht="12.75" thickBot="1">
      <c r="A19" s="372" t="s">
        <v>102</v>
      </c>
      <c r="B19" s="372">
        <v>2018</v>
      </c>
      <c r="C19" s="373">
        <v>2018</v>
      </c>
      <c r="D19" s="373" t="s">
        <v>829</v>
      </c>
      <c r="E19" s="373" t="s">
        <v>829</v>
      </c>
    </row>
    <row r="20" spans="1:5" ht="14.1" customHeight="1" thickTop="1">
      <c r="A20" s="375" t="s">
        <v>49</v>
      </c>
      <c r="B20" s="398">
        <v>0</v>
      </c>
      <c r="C20" s="397">
        <v>0</v>
      </c>
      <c r="D20" s="399">
        <v>0</v>
      </c>
      <c r="E20" s="399">
        <v>0</v>
      </c>
    </row>
    <row r="21" spans="1:5" ht="14.1" customHeight="1">
      <c r="A21" s="375" t="s">
        <v>50</v>
      </c>
      <c r="B21" s="398">
        <v>0</v>
      </c>
      <c r="C21" s="397">
        <v>0</v>
      </c>
      <c r="D21" s="423">
        <v>2.4651162790697684E-3</v>
      </c>
      <c r="E21" s="423">
        <v>0</v>
      </c>
    </row>
    <row r="22" spans="1:5" ht="14.1" customHeight="1">
      <c r="A22" s="375" t="s">
        <v>51</v>
      </c>
      <c r="B22" s="423">
        <v>4.0833333333333338E-3</v>
      </c>
      <c r="C22" s="423">
        <v>0</v>
      </c>
      <c r="D22" s="423">
        <v>4.1045454545454527E-3</v>
      </c>
      <c r="E22" s="423">
        <v>1.1439393939393941E-4</v>
      </c>
    </row>
    <row r="23" spans="1:5" ht="14.1" customHeight="1">
      <c r="A23" s="375" t="s">
        <v>52</v>
      </c>
      <c r="B23" s="423">
        <v>6.0749999999999997E-3</v>
      </c>
      <c r="C23" s="423">
        <v>1.5666666666666667E-3</v>
      </c>
      <c r="D23" s="423">
        <v>6.1446969696969649E-3</v>
      </c>
      <c r="E23" s="423">
        <v>8.4015151515151511E-4</v>
      </c>
    </row>
    <row r="24" spans="1:5" ht="14.1" customHeight="1">
      <c r="A24" s="374" t="s">
        <v>53</v>
      </c>
      <c r="B24" s="423">
        <v>9.6083333333333316E-3</v>
      </c>
      <c r="C24" s="423">
        <v>1.7166666666666669E-3</v>
      </c>
      <c r="D24" s="423">
        <v>9.6893939393939647E-3</v>
      </c>
      <c r="E24" s="423">
        <v>2.2477272727272741E-3</v>
      </c>
    </row>
    <row r="25" spans="1:5" ht="14.1" customHeight="1">
      <c r="A25" s="375" t="s">
        <v>54</v>
      </c>
      <c r="B25" s="423">
        <v>1.7508333333333338E-2</v>
      </c>
      <c r="C25" s="423">
        <v>1.1716666666666665E-2</v>
      </c>
      <c r="D25" s="423">
        <v>1.7622727272727304E-2</v>
      </c>
      <c r="E25" s="423">
        <v>7.9333333333333304E-3</v>
      </c>
    </row>
    <row r="26" spans="1:5" ht="14.1" customHeight="1">
      <c r="A26" s="375" t="s">
        <v>55</v>
      </c>
      <c r="B26" s="423">
        <v>3.5033333333333333E-2</v>
      </c>
      <c r="C26" s="423">
        <v>2.3358333333333332E-2</v>
      </c>
      <c r="D26" s="423">
        <v>3.4864393939393959E-2</v>
      </c>
      <c r="E26" s="423">
        <v>1.8559848484848488E-2</v>
      </c>
    </row>
    <row r="27" spans="1:5" ht="14.1" customHeight="1">
      <c r="A27" s="374" t="s">
        <v>56</v>
      </c>
      <c r="B27" s="423">
        <v>7.0724999999999996E-2</v>
      </c>
      <c r="C27" s="423">
        <v>5.3066666666666658E-2</v>
      </c>
      <c r="D27" s="423">
        <v>6.9602272727272749E-2</v>
      </c>
      <c r="E27" s="423">
        <v>3.8839393939393951E-2</v>
      </c>
    </row>
    <row r="28" spans="1:5" ht="14.1" customHeight="1">
      <c r="A28" s="375" t="s">
        <v>57</v>
      </c>
      <c r="B28" s="423">
        <v>0.23958333333333334</v>
      </c>
      <c r="C28" s="423">
        <v>0.14757500000000001</v>
      </c>
      <c r="D28" s="423">
        <v>0.22526060606060611</v>
      </c>
      <c r="E28" s="423">
        <v>0.13416212121212123</v>
      </c>
    </row>
    <row r="29" spans="1:5" ht="14.1" customHeight="1">
      <c r="A29" s="690" t="s">
        <v>128</v>
      </c>
      <c r="B29" s="687">
        <v>2.23E-2</v>
      </c>
      <c r="C29" s="688">
        <v>1.2200000000000001E-2</v>
      </c>
      <c r="D29" s="689">
        <v>3.15E-2</v>
      </c>
      <c r="E29" s="689">
        <v>1.6400000000000001E-2</v>
      </c>
    </row>
    <row r="33" spans="1:5">
      <c r="B33" s="371" t="s">
        <v>562</v>
      </c>
      <c r="C33" s="371" t="s">
        <v>563</v>
      </c>
      <c r="D33" s="371" t="s">
        <v>562</v>
      </c>
      <c r="E33" s="371" t="s">
        <v>563</v>
      </c>
    </row>
    <row r="34" spans="1:5" ht="12.75" thickBot="1">
      <c r="A34" s="372" t="s">
        <v>19</v>
      </c>
      <c r="B34" s="372">
        <v>2018</v>
      </c>
      <c r="C34" s="373">
        <v>2018</v>
      </c>
      <c r="D34" s="373" t="s">
        <v>829</v>
      </c>
      <c r="E34" s="373" t="s">
        <v>829</v>
      </c>
    </row>
    <row r="35" spans="1:5" ht="14.1" customHeight="1" thickTop="1">
      <c r="A35" s="374" t="s">
        <v>49</v>
      </c>
      <c r="B35" s="423">
        <v>8.9999999999999998E-4</v>
      </c>
      <c r="C35" s="423">
        <v>0</v>
      </c>
      <c r="D35" s="423">
        <v>7.9999999999999993E-4</v>
      </c>
      <c r="E35" s="423">
        <v>0</v>
      </c>
    </row>
    <row r="36" spans="1:5" ht="14.1" customHeight="1">
      <c r="A36" s="374" t="s">
        <v>50</v>
      </c>
      <c r="B36" s="423">
        <v>2.241666666666667E-3</v>
      </c>
      <c r="C36" s="423">
        <v>0</v>
      </c>
      <c r="D36" s="423">
        <v>2.243939393939394E-3</v>
      </c>
      <c r="E36" s="423">
        <v>1.7954545454545453E-4</v>
      </c>
    </row>
    <row r="37" spans="1:5" ht="14.1" customHeight="1">
      <c r="A37" s="375" t="s">
        <v>51</v>
      </c>
      <c r="B37" s="423">
        <v>3.6750000000000007E-3</v>
      </c>
      <c r="C37" s="423">
        <v>1.325E-3</v>
      </c>
      <c r="D37" s="423">
        <v>3.6992424242424174E-3</v>
      </c>
      <c r="E37" s="423">
        <v>9.9848484848484857E-4</v>
      </c>
    </row>
    <row r="38" spans="1:5" ht="14.1" customHeight="1">
      <c r="A38" s="375" t="s">
        <v>52</v>
      </c>
      <c r="B38" s="423">
        <v>6.1916666666666656E-3</v>
      </c>
      <c r="C38" s="423">
        <v>2.0833333333333333E-3</v>
      </c>
      <c r="D38" s="423">
        <v>6.1825757575757487E-3</v>
      </c>
      <c r="E38" s="423">
        <v>2.5348484848484848E-3</v>
      </c>
    </row>
    <row r="39" spans="1:5" ht="14.1" customHeight="1">
      <c r="A39" s="374" t="s">
        <v>53</v>
      </c>
      <c r="B39" s="423">
        <v>9.8416666666666687E-3</v>
      </c>
      <c r="C39" s="423">
        <v>3.4999999999999996E-3</v>
      </c>
      <c r="D39" s="423">
        <v>9.7530303030303189E-3</v>
      </c>
      <c r="E39" s="423">
        <v>5.8272727272727243E-3</v>
      </c>
    </row>
    <row r="40" spans="1:5" ht="14.1" customHeight="1">
      <c r="A40" s="375" t="s">
        <v>54</v>
      </c>
      <c r="B40" s="423">
        <v>1.7666666666666667E-2</v>
      </c>
      <c r="C40" s="423">
        <v>9.9833333333333354E-3</v>
      </c>
      <c r="D40" s="423">
        <v>1.7759848484848503E-2</v>
      </c>
      <c r="E40" s="423">
        <v>1.1109848484848479E-2</v>
      </c>
    </row>
    <row r="41" spans="1:5" ht="14.1" customHeight="1">
      <c r="A41" s="375" t="s">
        <v>55</v>
      </c>
      <c r="B41" s="423">
        <v>3.5525000000000001E-2</v>
      </c>
      <c r="C41" s="423">
        <v>1.6883333333333334E-2</v>
      </c>
      <c r="D41" s="423">
        <v>3.5458333333333321E-2</v>
      </c>
      <c r="E41" s="423">
        <v>2.2121969696969696E-2</v>
      </c>
    </row>
    <row r="42" spans="1:5" ht="14.1" customHeight="1">
      <c r="A42" s="374" t="s">
        <v>56</v>
      </c>
      <c r="B42" s="423">
        <v>7.0649999999999991E-2</v>
      </c>
      <c r="C42" s="423">
        <v>2.6566666666666669E-2</v>
      </c>
      <c r="D42" s="423">
        <v>7.0331060606060564E-2</v>
      </c>
      <c r="E42" s="423">
        <v>3.7996212121212125E-2</v>
      </c>
    </row>
    <row r="43" spans="1:5" ht="14.1" customHeight="1">
      <c r="A43" s="375" t="s">
        <v>57</v>
      </c>
      <c r="B43" s="423">
        <v>0.15504166666666666</v>
      </c>
      <c r="C43" s="423">
        <v>0.10360833333333332</v>
      </c>
      <c r="D43" s="423">
        <v>0.16041969696969688</v>
      </c>
      <c r="E43" s="423">
        <v>0.12395303030303031</v>
      </c>
    </row>
    <row r="44" spans="1:5" ht="14.1" customHeight="1">
      <c r="A44" s="690" t="s">
        <v>37</v>
      </c>
      <c r="B44" s="687">
        <v>2.93E-2</v>
      </c>
      <c r="C44" s="688">
        <v>1.5299999999999999E-2</v>
      </c>
      <c r="D44" s="689">
        <v>3.1699999999999999E-2</v>
      </c>
      <c r="E44" s="689">
        <v>2.0799999999999999E-2</v>
      </c>
    </row>
  </sheetData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Header>&amp;R&amp;"Calibri"&amp;12&amp;KFF9100F O R T R O L I G&amp;1#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J57"/>
  <sheetViews>
    <sheetView topLeftCell="A3" zoomScaleNormal="100" workbookViewId="0">
      <selection activeCell="B53" sqref="B53:B55"/>
    </sheetView>
  </sheetViews>
  <sheetFormatPr baseColWidth="10" defaultColWidth="11" defaultRowHeight="12"/>
  <cols>
    <col min="1" max="1" width="25.625" style="18" customWidth="1"/>
    <col min="2" max="4" width="10.625" style="18" customWidth="1"/>
    <col min="5" max="5" width="15.625" style="18" customWidth="1"/>
    <col min="6" max="6" width="10.625" style="18" customWidth="1"/>
    <col min="7" max="7" width="10.875" style="18" customWidth="1"/>
    <col min="8" max="16384" width="11" style="18"/>
  </cols>
  <sheetData>
    <row r="1" spans="1:6" ht="21">
      <c r="A1" s="685" t="s">
        <v>139</v>
      </c>
    </row>
    <row r="2" spans="1:6">
      <c r="A2" s="67" t="s">
        <v>119</v>
      </c>
    </row>
    <row r="3" spans="1:6" s="226" customFormat="1">
      <c r="A3" s="67"/>
    </row>
    <row r="4" spans="1:6" s="266" customFormat="1">
      <c r="A4" s="76" t="s">
        <v>118</v>
      </c>
      <c r="B4" s="267"/>
      <c r="C4" s="267"/>
      <c r="D4" s="267"/>
      <c r="E4" s="267"/>
      <c r="F4" s="267"/>
    </row>
    <row r="5" spans="1:6" s="266" customFormat="1" ht="12.75" thickBot="1">
      <c r="A5" s="77" t="s">
        <v>907</v>
      </c>
      <c r="B5" s="78" t="s">
        <v>0</v>
      </c>
      <c r="C5" s="78" t="s">
        <v>1</v>
      </c>
      <c r="D5" s="78" t="s">
        <v>2</v>
      </c>
      <c r="E5" s="79" t="s">
        <v>115</v>
      </c>
      <c r="F5" s="267"/>
    </row>
    <row r="6" spans="1:6" s="266" customFormat="1">
      <c r="A6" s="80" t="s">
        <v>3</v>
      </c>
      <c r="B6" s="80"/>
      <c r="C6" s="80"/>
      <c r="D6" s="80"/>
      <c r="E6" s="80"/>
      <c r="F6" s="267"/>
    </row>
    <row r="7" spans="1:6" s="266" customFormat="1">
      <c r="A7" s="67" t="s">
        <v>86</v>
      </c>
      <c r="B7" s="72">
        <v>150</v>
      </c>
      <c r="C7" s="72">
        <v>97205</v>
      </c>
      <c r="D7" s="81">
        <v>1</v>
      </c>
      <c r="E7" s="82" t="s">
        <v>4</v>
      </c>
      <c r="F7" s="267"/>
    </row>
    <row r="8" spans="1:6" s="266" customFormat="1">
      <c r="A8" s="15" t="s">
        <v>733</v>
      </c>
      <c r="B8" s="72">
        <v>6700</v>
      </c>
      <c r="C8" s="72">
        <v>340725</v>
      </c>
      <c r="D8" s="81">
        <v>1</v>
      </c>
      <c r="E8" s="82" t="s">
        <v>4</v>
      </c>
      <c r="F8" s="267"/>
    </row>
    <row r="9" spans="1:6" s="266" customFormat="1">
      <c r="A9" s="15" t="s">
        <v>108</v>
      </c>
      <c r="B9" s="72">
        <v>6000</v>
      </c>
      <c r="C9" s="72">
        <v>29018</v>
      </c>
      <c r="D9" s="81">
        <v>1</v>
      </c>
      <c r="E9" s="82" t="s">
        <v>4</v>
      </c>
      <c r="F9" s="267"/>
    </row>
    <row r="10" spans="1:6" s="266" customFormat="1">
      <c r="A10" s="15" t="s">
        <v>573</v>
      </c>
      <c r="B10" s="243">
        <f>9000+4000</f>
        <v>13000</v>
      </c>
      <c r="C10" s="72">
        <v>120125</v>
      </c>
      <c r="D10" s="81">
        <v>1</v>
      </c>
      <c r="E10" s="82" t="s">
        <v>4</v>
      </c>
      <c r="F10" s="267"/>
    </row>
    <row r="11" spans="1:6" s="266" customFormat="1">
      <c r="A11" s="15" t="s">
        <v>123</v>
      </c>
      <c r="B11" s="72">
        <v>90000</v>
      </c>
      <c r="C11" s="72">
        <v>131050</v>
      </c>
      <c r="D11" s="81">
        <v>1</v>
      </c>
      <c r="E11" s="82" t="s">
        <v>4</v>
      </c>
      <c r="F11" s="267"/>
    </row>
    <row r="12" spans="1:6" s="267" customFormat="1">
      <c r="A12" s="15" t="s">
        <v>168</v>
      </c>
      <c r="B12" s="72">
        <v>8000</v>
      </c>
      <c r="C12" s="72">
        <v>433016</v>
      </c>
      <c r="D12" s="81">
        <v>1</v>
      </c>
      <c r="E12" s="82" t="s">
        <v>4</v>
      </c>
    </row>
    <row r="13" spans="1:6" s="266" customFormat="1">
      <c r="A13" s="15" t="s">
        <v>574</v>
      </c>
      <c r="B13" s="243">
        <v>6000000</v>
      </c>
      <c r="C13" s="72">
        <v>6000150</v>
      </c>
      <c r="D13" s="81">
        <v>1</v>
      </c>
      <c r="E13" s="82" t="s">
        <v>4</v>
      </c>
      <c r="F13" s="267"/>
    </row>
    <row r="14" spans="1:6" s="267" customFormat="1">
      <c r="A14" s="15" t="s">
        <v>737</v>
      </c>
      <c r="B14" s="243">
        <v>3000000</v>
      </c>
      <c r="C14" s="72">
        <v>3000</v>
      </c>
      <c r="D14" s="81">
        <v>1</v>
      </c>
      <c r="E14" s="82" t="s">
        <v>4</v>
      </c>
    </row>
    <row r="15" spans="1:6" s="267" customFormat="1">
      <c r="A15" s="15" t="s">
        <v>713</v>
      </c>
      <c r="B15" s="469">
        <v>3005646926</v>
      </c>
      <c r="C15" s="72">
        <v>160820</v>
      </c>
      <c r="D15" s="488">
        <v>1</v>
      </c>
      <c r="E15" s="82" t="s">
        <v>4</v>
      </c>
    </row>
    <row r="16" spans="1:6" s="266" customFormat="1">
      <c r="A16" s="84" t="s">
        <v>5</v>
      </c>
      <c r="B16" s="85"/>
      <c r="C16" s="85">
        <f>SUM(C7:C15)</f>
        <v>7315109</v>
      </c>
      <c r="D16" s="86"/>
      <c r="E16" s="87"/>
      <c r="F16" s="267"/>
    </row>
    <row r="17" spans="1:10" s="266" customFormat="1">
      <c r="A17" s="67"/>
      <c r="B17" s="267"/>
      <c r="C17" s="267"/>
      <c r="D17" s="267"/>
      <c r="E17" s="267"/>
      <c r="F17" s="267"/>
    </row>
    <row r="18" spans="1:10" s="226" customFormat="1">
      <c r="A18" s="76" t="s">
        <v>118</v>
      </c>
      <c r="B18" s="22"/>
      <c r="C18" s="22"/>
      <c r="D18" s="22"/>
      <c r="E18" s="22"/>
      <c r="F18" s="267"/>
    </row>
    <row r="19" spans="1:10" s="226" customFormat="1" ht="12.75" thickBot="1">
      <c r="A19" s="77" t="s">
        <v>864</v>
      </c>
      <c r="B19" s="78" t="s">
        <v>0</v>
      </c>
      <c r="C19" s="78" t="s">
        <v>1</v>
      </c>
      <c r="D19" s="78" t="s">
        <v>2</v>
      </c>
      <c r="E19" s="79" t="s">
        <v>115</v>
      </c>
      <c r="F19" s="267"/>
    </row>
    <row r="20" spans="1:10" s="226" customFormat="1">
      <c r="A20" s="80" t="s">
        <v>3</v>
      </c>
      <c r="B20" s="80"/>
      <c r="C20" s="80"/>
      <c r="D20" s="80"/>
      <c r="E20" s="80"/>
      <c r="F20" s="267"/>
    </row>
    <row r="21" spans="1:10" s="226" customFormat="1" ht="12" customHeight="1">
      <c r="A21" s="67" t="s">
        <v>86</v>
      </c>
      <c r="B21" s="72">
        <v>150</v>
      </c>
      <c r="C21" s="72">
        <v>97205</v>
      </c>
      <c r="D21" s="81">
        <v>1</v>
      </c>
      <c r="E21" s="82" t="s">
        <v>4</v>
      </c>
      <c r="F21" s="267"/>
    </row>
    <row r="22" spans="1:10" s="226" customFormat="1" ht="12" customHeight="1">
      <c r="A22" s="15" t="s">
        <v>733</v>
      </c>
      <c r="B22" s="72">
        <v>6700</v>
      </c>
      <c r="C22" s="72">
        <v>340725</v>
      </c>
      <c r="D22" s="81">
        <v>1</v>
      </c>
      <c r="E22" s="82" t="s">
        <v>4</v>
      </c>
      <c r="F22" s="267"/>
    </row>
    <row r="23" spans="1:10" s="226" customFormat="1">
      <c r="A23" s="15" t="s">
        <v>108</v>
      </c>
      <c r="B23" s="72">
        <v>6000</v>
      </c>
      <c r="C23" s="72">
        <v>29018</v>
      </c>
      <c r="D23" s="81">
        <v>1</v>
      </c>
      <c r="E23" s="82" t="s">
        <v>4</v>
      </c>
      <c r="F23" s="267"/>
    </row>
    <row r="24" spans="1:10" s="226" customFormat="1">
      <c r="A24" s="15" t="s">
        <v>573</v>
      </c>
      <c r="B24" s="243">
        <f>9000+4000</f>
        <v>13000</v>
      </c>
      <c r="C24" s="72">
        <v>120125</v>
      </c>
      <c r="D24" s="81">
        <v>1</v>
      </c>
      <c r="E24" s="82" t="s">
        <v>4</v>
      </c>
      <c r="F24" s="267"/>
    </row>
    <row r="25" spans="1:10" s="226" customFormat="1">
      <c r="A25" s="15" t="s">
        <v>123</v>
      </c>
      <c r="B25" s="72">
        <v>90000</v>
      </c>
      <c r="C25" s="72">
        <v>131050</v>
      </c>
      <c r="D25" s="81">
        <v>1</v>
      </c>
      <c r="E25" s="82" t="s">
        <v>4</v>
      </c>
      <c r="F25" s="267"/>
    </row>
    <row r="26" spans="1:10" s="267" customFormat="1">
      <c r="A26" s="15" t="s">
        <v>168</v>
      </c>
      <c r="B26" s="72">
        <v>8000</v>
      </c>
      <c r="C26" s="72">
        <v>433016</v>
      </c>
      <c r="D26" s="81">
        <v>1</v>
      </c>
      <c r="E26" s="82" t="s">
        <v>4</v>
      </c>
    </row>
    <row r="27" spans="1:10" s="267" customFormat="1">
      <c r="A27" s="15" t="s">
        <v>574</v>
      </c>
      <c r="B27" s="243">
        <v>6000000</v>
      </c>
      <c r="C27" s="72">
        <v>6000150</v>
      </c>
      <c r="D27" s="81">
        <v>1</v>
      </c>
      <c r="E27" s="82" t="s">
        <v>4</v>
      </c>
    </row>
    <row r="28" spans="1:10" s="226" customFormat="1">
      <c r="A28" s="15" t="s">
        <v>737</v>
      </c>
      <c r="B28" s="243">
        <v>3000000</v>
      </c>
      <c r="C28" s="72">
        <v>3000</v>
      </c>
      <c r="D28" s="81">
        <v>1</v>
      </c>
      <c r="E28" s="82" t="s">
        <v>4</v>
      </c>
      <c r="F28" s="267"/>
    </row>
    <row r="29" spans="1:10" s="226" customFormat="1">
      <c r="A29" s="15" t="s">
        <v>713</v>
      </c>
      <c r="B29" s="469">
        <v>3005646926</v>
      </c>
      <c r="C29" s="72">
        <v>160820</v>
      </c>
      <c r="D29" s="488">
        <v>1</v>
      </c>
      <c r="E29" s="82" t="s">
        <v>4</v>
      </c>
      <c r="F29" s="267"/>
    </row>
    <row r="30" spans="1:10" s="246" customFormat="1">
      <c r="A30" s="84" t="s">
        <v>5</v>
      </c>
      <c r="B30" s="85"/>
      <c r="C30" s="85">
        <f>SUM(C21:C29)</f>
        <v>7315109</v>
      </c>
      <c r="D30" s="86"/>
      <c r="E30" s="87"/>
      <c r="F30" s="267"/>
    </row>
    <row r="31" spans="1:10" ht="12" hidden="1" customHeight="1">
      <c r="A31" s="15"/>
      <c r="B31" s="71"/>
      <c r="C31" s="71"/>
      <c r="D31" s="81"/>
      <c r="E31" s="15"/>
      <c r="F31" s="15"/>
    </row>
    <row r="32" spans="1:10" ht="12" hidden="1" customHeight="1">
      <c r="A32" s="15"/>
      <c r="B32" s="71"/>
      <c r="C32" s="71"/>
      <c r="D32" s="81"/>
      <c r="E32" s="15"/>
      <c r="F32" s="15"/>
      <c r="J32" s="15"/>
    </row>
    <row r="33" spans="1:6" ht="12" hidden="1" customHeight="1">
      <c r="A33" s="267"/>
      <c r="B33" s="267"/>
      <c r="C33" s="267"/>
      <c r="D33" s="267"/>
      <c r="E33" s="267"/>
      <c r="F33" s="15"/>
    </row>
    <row r="34" spans="1:6">
      <c r="A34" s="267"/>
      <c r="B34" s="267"/>
      <c r="C34" s="267"/>
      <c r="D34" s="267"/>
      <c r="E34" s="267"/>
      <c r="F34" s="15"/>
    </row>
    <row r="35" spans="1:6">
      <c r="A35" s="15" t="s">
        <v>6</v>
      </c>
      <c r="B35" s="71"/>
      <c r="C35" s="71"/>
      <c r="D35" s="81"/>
      <c r="E35" s="15"/>
      <c r="F35" s="15"/>
    </row>
    <row r="36" spans="1:6" s="267" customFormat="1">
      <c r="A36" s="15"/>
      <c r="B36" s="71"/>
      <c r="C36" s="71"/>
      <c r="D36" s="81"/>
      <c r="E36" s="15"/>
      <c r="F36" s="15"/>
    </row>
    <row r="37" spans="1:6" s="267" customFormat="1">
      <c r="A37" s="15"/>
      <c r="B37" s="71"/>
      <c r="C37" s="71"/>
      <c r="D37" s="81"/>
      <c r="E37" s="15"/>
      <c r="F37" s="15"/>
    </row>
    <row r="38" spans="1:6" s="267" customFormat="1">
      <c r="A38" s="15"/>
      <c r="B38" s="71"/>
      <c r="C38" s="71"/>
      <c r="D38" s="81"/>
      <c r="E38" s="15"/>
      <c r="F38" s="15"/>
    </row>
    <row r="39" spans="1:6">
      <c r="A39" s="267"/>
      <c r="B39" s="267"/>
      <c r="C39" s="71"/>
      <c r="D39" s="81"/>
      <c r="E39" s="15"/>
      <c r="F39" s="15"/>
    </row>
    <row r="40" spans="1:6">
      <c r="A40" s="14" t="s">
        <v>110</v>
      </c>
      <c r="B40" s="71"/>
      <c r="C40" s="71"/>
      <c r="D40" s="81"/>
      <c r="E40" s="15"/>
      <c r="F40" s="15"/>
    </row>
    <row r="41" spans="1:6" s="267" customFormat="1">
      <c r="D41" s="81"/>
      <c r="E41" s="15"/>
      <c r="F41" s="15"/>
    </row>
    <row r="42" spans="1:6" s="267" customFormat="1">
      <c r="B42" s="842" t="s">
        <v>207</v>
      </c>
      <c r="C42" s="842"/>
      <c r="D42" s="81"/>
      <c r="E42" s="15"/>
      <c r="F42" s="15"/>
    </row>
    <row r="43" spans="1:6" ht="13.5" customHeight="1" thickBot="1">
      <c r="A43" s="1" t="s">
        <v>103</v>
      </c>
      <c r="B43" s="491">
        <v>43921</v>
      </c>
      <c r="C43" s="17">
        <v>43830</v>
      </c>
      <c r="D43" s="81"/>
      <c r="E43" s="15"/>
      <c r="F43" s="15"/>
    </row>
    <row r="44" spans="1:6">
      <c r="A44" s="267" t="s">
        <v>15</v>
      </c>
      <c r="B44" s="721">
        <v>25</v>
      </c>
      <c r="C44" s="797">
        <v>25</v>
      </c>
      <c r="D44" s="81"/>
      <c r="E44" s="15"/>
      <c r="F44" s="15"/>
    </row>
    <row r="45" spans="1:6">
      <c r="A45" s="15" t="s">
        <v>197</v>
      </c>
      <c r="B45" s="492">
        <v>125</v>
      </c>
      <c r="C45" s="19">
        <v>125</v>
      </c>
      <c r="D45" s="81"/>
      <c r="E45" s="15"/>
      <c r="F45" s="15"/>
    </row>
    <row r="46" spans="1:6">
      <c r="A46" s="277" t="s">
        <v>111</v>
      </c>
      <c r="B46" s="722">
        <v>19.75</v>
      </c>
      <c r="C46" s="379">
        <v>19.75</v>
      </c>
      <c r="D46" s="267"/>
      <c r="F46" s="267"/>
    </row>
    <row r="47" spans="1:6">
      <c r="A47" s="15"/>
      <c r="B47" s="71"/>
      <c r="C47" s="71"/>
      <c r="D47" s="15"/>
      <c r="E47" s="15"/>
      <c r="F47" s="15"/>
    </row>
    <row r="48" spans="1:6" s="267" customFormat="1">
      <c r="A48" s="15"/>
      <c r="B48" s="71"/>
      <c r="C48" s="71"/>
      <c r="D48" s="81"/>
      <c r="E48" s="15"/>
      <c r="F48" s="15"/>
    </row>
    <row r="49" spans="1:7">
      <c r="A49" s="14" t="s">
        <v>582</v>
      </c>
      <c r="B49" s="71"/>
      <c r="C49" s="71"/>
      <c r="D49" s="81"/>
      <c r="E49" s="15"/>
      <c r="F49" s="15"/>
    </row>
    <row r="50" spans="1:7">
      <c r="A50" s="267"/>
      <c r="D50" s="81"/>
      <c r="E50" s="15"/>
      <c r="F50" s="15"/>
    </row>
    <row r="51" spans="1:7" ht="12.75">
      <c r="A51" s="267"/>
      <c r="B51" s="840" t="s">
        <v>697</v>
      </c>
      <c r="C51" s="841"/>
      <c r="D51" s="267"/>
      <c r="E51" s="267"/>
      <c r="F51" s="267"/>
      <c r="G51" s="267"/>
    </row>
    <row r="52" spans="1:7" ht="12.75" thickBot="1">
      <c r="A52" s="1" t="s">
        <v>103</v>
      </c>
      <c r="B52" s="2">
        <v>43921</v>
      </c>
      <c r="C52" s="3">
        <v>43830</v>
      </c>
      <c r="D52" s="267"/>
      <c r="E52" s="267"/>
      <c r="F52" s="267"/>
      <c r="G52" s="267"/>
    </row>
    <row r="53" spans="1:7">
      <c r="A53" s="267" t="s">
        <v>15</v>
      </c>
      <c r="B53" s="694">
        <v>5860</v>
      </c>
      <c r="C53" s="824">
        <v>5876</v>
      </c>
      <c r="D53" s="267"/>
      <c r="E53" s="267"/>
      <c r="F53" s="267"/>
      <c r="G53" s="267"/>
    </row>
    <row r="54" spans="1:7">
      <c r="A54" s="15" t="s">
        <v>197</v>
      </c>
      <c r="B54" s="694">
        <v>24863</v>
      </c>
      <c r="C54" s="824">
        <v>18616</v>
      </c>
      <c r="D54" s="267"/>
      <c r="E54" s="267"/>
      <c r="F54" s="267"/>
      <c r="G54" s="267"/>
    </row>
    <row r="55" spans="1:7">
      <c r="A55" s="277" t="s">
        <v>111</v>
      </c>
      <c r="B55" s="720">
        <v>23.57</v>
      </c>
      <c r="C55" s="508">
        <v>31.56</v>
      </c>
      <c r="D55" s="267"/>
      <c r="E55" s="267"/>
      <c r="F55" s="267"/>
      <c r="G55" s="267"/>
    </row>
    <row r="56" spans="1:7">
      <c r="A56" s="267"/>
      <c r="B56" s="267"/>
      <c r="C56" s="267"/>
      <c r="D56" s="267"/>
      <c r="E56" s="267"/>
      <c r="F56" s="267"/>
      <c r="G56" s="267"/>
    </row>
    <row r="57" spans="1:7">
      <c r="A57" s="267"/>
      <c r="B57" s="267"/>
      <c r="C57" s="267"/>
      <c r="D57" s="267"/>
      <c r="E57" s="267"/>
      <c r="F57" s="267"/>
    </row>
  </sheetData>
  <mergeCells count="2">
    <mergeCell ref="B51:C51"/>
    <mergeCell ref="B42:C42"/>
  </mergeCells>
  <pageMargins left="0.74803149606299213" right="0.74803149606299213" top="0.98425196850393704" bottom="0.98425196850393704" header="0.51181102362204722" footer="0.51181102362204722"/>
  <pageSetup paperSize="9" scale="80" fitToHeight="2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25"/>
  <sheetViews>
    <sheetView showGridLines="0" zoomScaleNormal="100" workbookViewId="0"/>
  </sheetViews>
  <sheetFormatPr baseColWidth="10" defaultColWidth="11" defaultRowHeight="12"/>
  <cols>
    <col min="1" max="1" width="32.75" style="161" bestFit="1" customWidth="1"/>
    <col min="2" max="2" width="11.875" style="161" bestFit="1" customWidth="1"/>
    <col min="3" max="3" width="11.125" style="161" bestFit="1" customWidth="1"/>
    <col min="4" max="4" width="11.875" style="161" bestFit="1" customWidth="1"/>
    <col min="5" max="5" width="11.125" style="161" bestFit="1" customWidth="1"/>
    <col min="6" max="8" width="11" style="161"/>
    <col min="9" max="9" width="23.125" style="161" customWidth="1"/>
    <col min="10" max="16384" width="11" style="161"/>
  </cols>
  <sheetData>
    <row r="1" spans="1:16" ht="21">
      <c r="A1" s="685" t="s">
        <v>572</v>
      </c>
      <c r="B1" s="162"/>
      <c r="C1" s="162"/>
      <c r="E1" s="267"/>
      <c r="G1" s="267"/>
    </row>
    <row r="2" spans="1:16">
      <c r="E2" s="267"/>
      <c r="G2" s="267"/>
      <c r="I2" s="691"/>
      <c r="J2" s="691"/>
      <c r="K2" s="691"/>
      <c r="L2" s="691"/>
      <c r="M2" s="691"/>
      <c r="N2" s="691"/>
      <c r="O2" s="691"/>
      <c r="P2" s="691"/>
    </row>
    <row r="3" spans="1:16" ht="12.75" customHeight="1">
      <c r="A3" s="164"/>
      <c r="B3" s="167"/>
      <c r="C3" s="165"/>
      <c r="D3" s="165"/>
      <c r="I3" s="691"/>
      <c r="J3" s="691"/>
      <c r="K3" s="691"/>
      <c r="L3" s="691"/>
      <c r="M3" s="691"/>
      <c r="N3" s="691"/>
      <c r="O3" s="691"/>
      <c r="P3" s="691"/>
    </row>
    <row r="4" spans="1:16" ht="12" customHeight="1">
      <c r="B4" s="362" t="s">
        <v>565</v>
      </c>
      <c r="C4" s="362" t="s">
        <v>566</v>
      </c>
      <c r="D4" s="362" t="s">
        <v>565</v>
      </c>
      <c r="E4" s="362" t="s">
        <v>566</v>
      </c>
      <c r="I4" s="691"/>
      <c r="J4" s="691"/>
      <c r="K4" s="691"/>
      <c r="L4" s="691"/>
      <c r="M4" s="691"/>
      <c r="N4" s="691"/>
      <c r="O4" s="691"/>
      <c r="P4" s="691"/>
    </row>
    <row r="5" spans="1:16" ht="12" customHeight="1" thickBot="1">
      <c r="A5" s="361" t="s">
        <v>561</v>
      </c>
      <c r="B5" s="361">
        <v>2017</v>
      </c>
      <c r="C5" s="360">
        <v>2017</v>
      </c>
      <c r="D5" s="360" t="s">
        <v>830</v>
      </c>
      <c r="E5" s="360" t="s">
        <v>830</v>
      </c>
      <c r="I5" s="691"/>
      <c r="J5" s="691"/>
      <c r="K5" s="691"/>
      <c r="L5" s="691"/>
      <c r="M5" s="691"/>
      <c r="N5" s="691"/>
      <c r="O5" s="691"/>
      <c r="P5" s="691"/>
    </row>
    <row r="6" spans="1:16" ht="12.95" customHeight="1" thickTop="1">
      <c r="A6" s="363" t="s">
        <v>564</v>
      </c>
      <c r="B6" s="364">
        <v>0.26900000000000002</v>
      </c>
      <c r="C6" s="365">
        <v>6.0000000000000001E-3</v>
      </c>
      <c r="D6" s="364">
        <v>0.316</v>
      </c>
      <c r="E6" s="365">
        <v>5.5E-2</v>
      </c>
      <c r="I6" s="691"/>
      <c r="J6" s="691"/>
      <c r="K6" s="691"/>
      <c r="L6" s="691"/>
      <c r="M6" s="691"/>
      <c r="N6" s="691"/>
      <c r="O6" s="691"/>
      <c r="P6" s="691"/>
    </row>
    <row r="7" spans="1:16" ht="12.95" customHeight="1">
      <c r="A7" s="366" t="s">
        <v>102</v>
      </c>
      <c r="B7" s="367">
        <v>0.53600000000000003</v>
      </c>
      <c r="C7" s="365">
        <v>0.33700000000000002</v>
      </c>
      <c r="D7" s="368">
        <v>0.54800000000000004</v>
      </c>
      <c r="E7" s="368">
        <v>0.32</v>
      </c>
      <c r="I7" s="691"/>
      <c r="J7" s="691"/>
      <c r="K7" s="691"/>
      <c r="L7" s="691"/>
      <c r="M7" s="691"/>
      <c r="N7" s="691"/>
      <c r="O7" s="691"/>
      <c r="P7" s="691"/>
    </row>
    <row r="8" spans="1:16" ht="12.95" customHeight="1">
      <c r="A8" s="366" t="s">
        <v>19</v>
      </c>
      <c r="B8" s="367">
        <v>0.439</v>
      </c>
      <c r="C8" s="365">
        <v>0.27700000000000002</v>
      </c>
      <c r="D8" s="368">
        <v>0.52100000000000002</v>
      </c>
      <c r="E8" s="368">
        <v>0.28199999999999997</v>
      </c>
      <c r="I8" s="691"/>
      <c r="J8" s="691"/>
      <c r="K8" s="691"/>
      <c r="L8" s="691"/>
      <c r="M8" s="691"/>
      <c r="N8" s="691"/>
      <c r="O8" s="691"/>
      <c r="P8" s="691"/>
    </row>
    <row r="10" spans="1:16">
      <c r="A10" s="161" t="s">
        <v>831</v>
      </c>
    </row>
    <row r="13" spans="1:16" ht="21">
      <c r="A13" s="685" t="s">
        <v>645</v>
      </c>
      <c r="B13" s="162"/>
      <c r="C13" s="162"/>
      <c r="E13" s="267"/>
    </row>
    <row r="14" spans="1:16">
      <c r="E14" s="267"/>
    </row>
    <row r="15" spans="1:16">
      <c r="A15" s="164"/>
      <c r="B15" s="167"/>
      <c r="C15" s="165"/>
      <c r="D15" s="165"/>
    </row>
    <row r="16" spans="1:16">
      <c r="B16" s="362" t="s">
        <v>565</v>
      </c>
      <c r="C16" s="362" t="s">
        <v>566</v>
      </c>
      <c r="D16" s="362" t="s">
        <v>565</v>
      </c>
      <c r="E16" s="362" t="s">
        <v>566</v>
      </c>
    </row>
    <row r="17" spans="1:5" ht="12.75" thickBot="1">
      <c r="A17" s="361" t="s">
        <v>561</v>
      </c>
      <c r="B17" s="361">
        <v>2017</v>
      </c>
      <c r="C17" s="360">
        <v>2017</v>
      </c>
      <c r="D17" s="360" t="s">
        <v>830</v>
      </c>
      <c r="E17" s="360" t="s">
        <v>830</v>
      </c>
    </row>
    <row r="18" spans="1:5" ht="12.95" customHeight="1" thickTop="1">
      <c r="A18" s="363" t="s">
        <v>564</v>
      </c>
      <c r="B18" s="364">
        <v>0.28599999999999998</v>
      </c>
      <c r="C18" s="365">
        <v>6.0000000000000001E-3</v>
      </c>
      <c r="D18" s="364">
        <v>0.32600000000000001</v>
      </c>
      <c r="E18" s="365">
        <v>3.5000000000000003E-2</v>
      </c>
    </row>
    <row r="19" spans="1:5" ht="12.95" customHeight="1">
      <c r="A19" s="366" t="s">
        <v>102</v>
      </c>
      <c r="B19" s="367">
        <v>0.40200000000000002</v>
      </c>
      <c r="C19" s="365">
        <v>0.375</v>
      </c>
      <c r="D19" s="368">
        <v>0.53300000000000003</v>
      </c>
      <c r="E19" s="368">
        <v>0.26400000000000001</v>
      </c>
    </row>
    <row r="20" spans="1:5" ht="12.95" customHeight="1">
      <c r="A20" s="366" t="s">
        <v>19</v>
      </c>
      <c r="B20" s="367">
        <v>0.438</v>
      </c>
      <c r="C20" s="365">
        <v>0.26900000000000002</v>
      </c>
      <c r="D20" s="368">
        <v>0.46300000000000002</v>
      </c>
      <c r="E20" s="368">
        <v>0.21099999999999999</v>
      </c>
    </row>
    <row r="22" spans="1:5">
      <c r="A22" s="161" t="s">
        <v>832</v>
      </c>
    </row>
    <row r="24" spans="1:5">
      <c r="A24" s="161" t="s">
        <v>833</v>
      </c>
    </row>
    <row r="25" spans="1:5">
      <c r="A25" s="161" t="s">
        <v>834</v>
      </c>
    </row>
  </sheetData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3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8"/>
  <sheetViews>
    <sheetView showGridLines="0" workbookViewId="0">
      <selection activeCell="A44" sqref="A44"/>
    </sheetView>
  </sheetViews>
  <sheetFormatPr baseColWidth="10" defaultColWidth="11" defaultRowHeight="12"/>
  <cols>
    <col min="1" max="3" width="11" style="26"/>
    <col min="4" max="4" width="5.125" style="26" customWidth="1"/>
    <col min="5" max="16384" width="11" style="26"/>
  </cols>
  <sheetData>
    <row r="1" spans="1:7" ht="21">
      <c r="A1" s="685" t="s">
        <v>650</v>
      </c>
      <c r="B1" s="161"/>
      <c r="C1" s="162"/>
      <c r="D1" s="161"/>
      <c r="E1" s="161"/>
    </row>
    <row r="2" spans="1:7">
      <c r="A2" s="161"/>
      <c r="B2" s="161"/>
      <c r="C2" s="161"/>
      <c r="D2" s="161"/>
      <c r="E2" s="161"/>
    </row>
    <row r="3" spans="1:7">
      <c r="A3" s="427" t="s">
        <v>647</v>
      </c>
      <c r="E3" s="427" t="s">
        <v>19</v>
      </c>
    </row>
    <row r="5" spans="1:7" ht="12.75" thickBot="1">
      <c r="A5" s="428" t="s">
        <v>641</v>
      </c>
      <c r="B5" s="430" t="s">
        <v>648</v>
      </c>
      <c r="C5" s="430" t="s">
        <v>649</v>
      </c>
      <c r="E5" s="428" t="s">
        <v>641</v>
      </c>
      <c r="F5" s="430" t="s">
        <v>648</v>
      </c>
      <c r="G5" s="430" t="s">
        <v>649</v>
      </c>
    </row>
    <row r="6" spans="1:7" ht="13.5" customHeight="1" thickTop="1">
      <c r="A6" s="417">
        <v>2016</v>
      </c>
      <c r="B6" s="429">
        <v>2.7804258962259511E-3</v>
      </c>
      <c r="C6" s="429">
        <v>2.3979226676012013E-4</v>
      </c>
      <c r="E6" s="417">
        <v>2016</v>
      </c>
      <c r="F6" s="429">
        <v>1.1059053007654591E-2</v>
      </c>
      <c r="G6" s="429">
        <v>7.7910302770359437E-3</v>
      </c>
    </row>
    <row r="7" spans="1:7" ht="13.5" customHeight="1">
      <c r="A7" s="417">
        <v>2017</v>
      </c>
      <c r="B7" s="429">
        <v>2.5566634336990899E-3</v>
      </c>
      <c r="C7" s="429">
        <v>4.360074040469622E-4</v>
      </c>
      <c r="E7" s="417">
        <v>2017</v>
      </c>
      <c r="F7" s="429">
        <v>1.3838391011895233E-2</v>
      </c>
      <c r="G7" s="429">
        <v>6.8096381966356711E-3</v>
      </c>
    </row>
    <row r="8" spans="1:7" ht="13.5" customHeight="1">
      <c r="A8" s="417">
        <v>2018</v>
      </c>
      <c r="B8" s="429">
        <v>2.9115202344628661E-3</v>
      </c>
      <c r="C8" s="429">
        <v>1.3470011389609529E-4</v>
      </c>
      <c r="E8" s="417">
        <v>2018</v>
      </c>
      <c r="F8" s="429">
        <v>1.586020933411059E-2</v>
      </c>
      <c r="G8" s="429">
        <v>4.5037239781314979E-3</v>
      </c>
    </row>
  </sheetData>
  <pageMargins left="0.7" right="0.7" top="0.75" bottom="0.75" header="0.3" footer="0.3"/>
  <pageSetup paperSize="9" orientation="portrait" verticalDpi="0" r:id="rId1"/>
  <headerFooter>
    <oddHeader>&amp;R&amp;"Calibri"&amp;12&amp;KFF9100F O R T R O L I G&amp;1#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17">
    <pageSetUpPr fitToPage="1"/>
  </sheetPr>
  <dimension ref="A1:M30"/>
  <sheetViews>
    <sheetView showGridLines="0" zoomScaleNormal="100" workbookViewId="0">
      <selection activeCell="F45" sqref="F45"/>
    </sheetView>
  </sheetViews>
  <sheetFormatPr baseColWidth="10" defaultColWidth="11" defaultRowHeight="12"/>
  <cols>
    <col min="1" max="1" width="21.25" style="18" customWidth="1"/>
    <col min="2" max="2" width="9.875" style="18" customWidth="1"/>
    <col min="3" max="3" width="14.125" style="18" customWidth="1"/>
    <col min="4" max="4" width="11.125" style="18" customWidth="1"/>
    <col min="5" max="5" width="2.125" style="18" customWidth="1"/>
    <col min="6" max="6" width="15.125" style="18" customWidth="1"/>
    <col min="7" max="7" width="11.125" style="18" customWidth="1"/>
    <col min="8" max="8" width="2.125" style="18" customWidth="1"/>
    <col min="9" max="9" width="15.625" style="18" customWidth="1"/>
    <col min="10" max="11" width="16.125" style="18" customWidth="1"/>
    <col min="12" max="12" width="11" style="18" customWidth="1"/>
    <col min="13" max="16384" width="11" style="18"/>
  </cols>
  <sheetData>
    <row r="1" spans="1:13" ht="21">
      <c r="A1" s="685" t="s">
        <v>592</v>
      </c>
      <c r="F1" s="15"/>
      <c r="G1" s="15"/>
      <c r="H1" s="15"/>
      <c r="I1" s="15"/>
    </row>
    <row r="3" spans="1:13">
      <c r="A3" s="168"/>
    </row>
    <row r="4" spans="1:13" ht="12.75">
      <c r="A4" s="169"/>
      <c r="C4" s="858">
        <v>2019</v>
      </c>
      <c r="D4" s="859"/>
      <c r="E4" s="170"/>
      <c r="F4" s="860">
        <v>2018</v>
      </c>
      <c r="G4" s="859"/>
    </row>
    <row r="5" spans="1:13" ht="39" thickBot="1">
      <c r="A5" s="857" t="s">
        <v>121</v>
      </c>
      <c r="B5" s="857"/>
      <c r="C5" s="79" t="s">
        <v>120</v>
      </c>
      <c r="D5" s="155" t="s">
        <v>150</v>
      </c>
      <c r="E5" s="155"/>
      <c r="F5" s="171" t="s">
        <v>120</v>
      </c>
      <c r="G5" s="172" t="s">
        <v>151</v>
      </c>
      <c r="H5" s="1"/>
      <c r="L5" s="173"/>
      <c r="M5" s="173"/>
    </row>
    <row r="6" spans="1:13" s="267" customFormat="1">
      <c r="A6" s="400" t="s">
        <v>595</v>
      </c>
      <c r="B6" s="400"/>
      <c r="C6" s="61"/>
      <c r="D6" s="401"/>
      <c r="E6" s="401"/>
      <c r="F6" s="391"/>
      <c r="G6" s="392"/>
      <c r="H6" s="15"/>
      <c r="L6" s="173"/>
      <c r="M6" s="173"/>
    </row>
    <row r="7" spans="1:13" s="267" customFormat="1">
      <c r="A7" s="57" t="s">
        <v>84</v>
      </c>
      <c r="B7" s="57"/>
      <c r="C7" s="156">
        <v>47563.557000000001</v>
      </c>
      <c r="D7" s="174">
        <f>26947.955/C7</f>
        <v>0.56656727754822878</v>
      </c>
      <c r="E7" s="392"/>
      <c r="F7" s="156">
        <v>42698.741999999998</v>
      </c>
      <c r="G7" s="174">
        <f>23859.693/F7</f>
        <v>0.55879147446545385</v>
      </c>
      <c r="H7" s="15"/>
      <c r="L7" s="173"/>
      <c r="M7" s="173"/>
    </row>
    <row r="8" spans="1:13" s="267" customFormat="1">
      <c r="A8" s="57" t="s">
        <v>225</v>
      </c>
      <c r="B8" s="57"/>
      <c r="C8" s="156">
        <f>33509.81+1.961</f>
        <v>33511.771000000001</v>
      </c>
      <c r="D8" s="174">
        <f>5567.404/C8</f>
        <v>0.16613278958011501</v>
      </c>
      <c r="E8" s="392"/>
      <c r="F8" s="156">
        <f>30240.353+0.673</f>
        <v>30241.025999999998</v>
      </c>
      <c r="G8" s="174">
        <f>5190.564/F8</f>
        <v>0.17163981142703294</v>
      </c>
      <c r="H8" s="15"/>
      <c r="L8" s="173"/>
      <c r="M8" s="173"/>
    </row>
    <row r="9" spans="1:13" s="267" customFormat="1">
      <c r="A9" s="393" t="s">
        <v>83</v>
      </c>
      <c r="B9" s="393"/>
      <c r="C9" s="395">
        <v>8385.6740000000009</v>
      </c>
      <c r="D9" s="394">
        <f>694.666/C9</f>
        <v>8.2839614323189759E-2</v>
      </c>
      <c r="E9" s="395"/>
      <c r="F9" s="395">
        <v>10587.543</v>
      </c>
      <c r="G9" s="394">
        <f>618.064/F9</f>
        <v>5.8376527963097766E-2</v>
      </c>
      <c r="H9" s="21"/>
      <c r="L9" s="173"/>
      <c r="M9" s="173"/>
    </row>
    <row r="10" spans="1:13">
      <c r="A10" s="100" t="s">
        <v>20</v>
      </c>
      <c r="B10" s="59"/>
      <c r="C10" s="59"/>
      <c r="D10" s="59"/>
      <c r="E10" s="59"/>
      <c r="F10" s="59"/>
      <c r="G10" s="59"/>
      <c r="L10" s="175"/>
    </row>
    <row r="11" spans="1:13">
      <c r="A11" s="64" t="s">
        <v>74</v>
      </c>
      <c r="B11" s="64"/>
      <c r="C11" s="156">
        <v>144185.87599999999</v>
      </c>
      <c r="D11" s="174">
        <f>126542.419/C11</f>
        <v>0.87763394384065752</v>
      </c>
      <c r="E11" s="174"/>
      <c r="F11" s="156">
        <v>135229.54699999999</v>
      </c>
      <c r="G11" s="174">
        <f>118956.212/F11</f>
        <v>0.87966139530142773</v>
      </c>
      <c r="L11" s="175"/>
    </row>
    <row r="12" spans="1:13">
      <c r="A12" s="64" t="s">
        <v>45</v>
      </c>
      <c r="B12" s="59"/>
      <c r="C12" s="156">
        <v>5995.1049999999996</v>
      </c>
      <c r="D12" s="174">
        <f>5111.716/C12</f>
        <v>0.8526482855596359</v>
      </c>
      <c r="E12" s="174"/>
      <c r="F12" s="156">
        <v>5949.77</v>
      </c>
      <c r="G12" s="174">
        <f>5061.319/F12</f>
        <v>0.85067473196442889</v>
      </c>
      <c r="L12" s="175"/>
    </row>
    <row r="13" spans="1:13" ht="12" customHeight="1">
      <c r="A13" s="64" t="s">
        <v>75</v>
      </c>
      <c r="B13" s="59"/>
      <c r="C13" s="156">
        <f>374.729+5426.351</f>
        <v>5801.08</v>
      </c>
      <c r="D13" s="174">
        <f>(14.716+268.793)/C13</f>
        <v>4.8871761809869886E-2</v>
      </c>
      <c r="E13" s="166" t="s">
        <v>77</v>
      </c>
      <c r="F13" s="156">
        <f>370.355+4797.872</f>
        <v>5168.2270000000008</v>
      </c>
      <c r="G13" s="174">
        <f>(22.013+228.242)/F13</f>
        <v>4.842182822078054E-2</v>
      </c>
      <c r="H13" s="166" t="s">
        <v>77</v>
      </c>
      <c r="L13" s="175"/>
    </row>
    <row r="14" spans="1:13">
      <c r="A14" s="101" t="s">
        <v>73</v>
      </c>
      <c r="B14" s="176"/>
      <c r="C14" s="531">
        <f>SUM(C7:C13)</f>
        <v>245443.06299999999</v>
      </c>
      <c r="D14" s="177"/>
      <c r="E14" s="177"/>
      <c r="F14" s="177">
        <f>SUM(F7:F13)</f>
        <v>229874.85500000001</v>
      </c>
      <c r="G14" s="177"/>
      <c r="H14" s="178"/>
      <c r="L14" s="70"/>
    </row>
    <row r="15" spans="1:13" ht="13.5" customHeight="1">
      <c r="A15" s="179"/>
      <c r="B15" s="179"/>
      <c r="C15" s="180"/>
      <c r="D15" s="181"/>
      <c r="E15" s="181"/>
      <c r="F15" s="181"/>
      <c r="G15" s="181"/>
      <c r="H15" s="181"/>
      <c r="I15" s="181"/>
      <c r="J15" s="181"/>
      <c r="K15" s="181"/>
    </row>
    <row r="17" spans="1:9" ht="14.25">
      <c r="A17" s="267" t="s">
        <v>804</v>
      </c>
      <c r="B17" s="267"/>
      <c r="C17" s="267"/>
      <c r="D17" s="267"/>
      <c r="E17" s="267"/>
      <c r="F17" s="267"/>
      <c r="G17" s="267"/>
      <c r="H17" s="267"/>
      <c r="I17" s="267"/>
    </row>
    <row r="18" spans="1:9" ht="14.25">
      <c r="A18" s="267" t="s">
        <v>805</v>
      </c>
      <c r="B18" s="267"/>
      <c r="C18" s="267"/>
      <c r="D18" s="267"/>
      <c r="E18" s="267"/>
      <c r="F18" s="267"/>
      <c r="G18" s="267"/>
      <c r="H18" s="267"/>
      <c r="I18" s="267"/>
    </row>
    <row r="19" spans="1:9">
      <c r="A19" s="267" t="s">
        <v>76</v>
      </c>
      <c r="B19" s="267"/>
      <c r="C19" s="267"/>
      <c r="D19" s="267"/>
      <c r="E19" s="267"/>
      <c r="F19" s="267"/>
      <c r="G19" s="267"/>
      <c r="H19" s="267"/>
      <c r="I19" s="267"/>
    </row>
    <row r="20" spans="1:9">
      <c r="A20" s="267"/>
      <c r="B20" s="267"/>
      <c r="C20" s="267"/>
      <c r="D20" s="267"/>
      <c r="E20" s="267"/>
      <c r="F20" s="267"/>
      <c r="G20" s="267"/>
      <c r="H20" s="267"/>
      <c r="I20" s="267"/>
    </row>
    <row r="21" spans="1:9">
      <c r="A21" s="267" t="s">
        <v>589</v>
      </c>
      <c r="B21" s="267"/>
      <c r="C21" s="267"/>
      <c r="D21" s="267"/>
      <c r="E21" s="267"/>
      <c r="F21" s="267"/>
      <c r="G21" s="267"/>
      <c r="H21" s="267"/>
      <c r="I21" s="267"/>
    </row>
    <row r="30" spans="1:9">
      <c r="F30" s="267"/>
    </row>
  </sheetData>
  <mergeCells count="3">
    <mergeCell ref="A5:B5"/>
    <mergeCell ref="C4:D4"/>
    <mergeCell ref="F4:G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47" max="16383" man="1"/>
  </rowBreaks>
  <colBreaks count="1" manualBreakCount="1">
    <brk id="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15">
    <pageSetUpPr fitToPage="1"/>
  </sheetPr>
  <dimension ref="A1:K29"/>
  <sheetViews>
    <sheetView zoomScaleNormal="100" workbookViewId="0">
      <selection activeCell="F45" sqref="F45"/>
    </sheetView>
  </sheetViews>
  <sheetFormatPr baseColWidth="10" defaultColWidth="11" defaultRowHeight="12"/>
  <cols>
    <col min="1" max="1" width="20" style="18" customWidth="1"/>
    <col min="2" max="2" width="14.75" style="18" customWidth="1"/>
    <col min="3" max="3" width="10.25" style="18" customWidth="1"/>
    <col min="4" max="4" width="11.875" style="18" customWidth="1"/>
    <col min="5" max="5" width="10.375" style="18" customWidth="1"/>
    <col min="6" max="6" width="11.875" style="18" customWidth="1"/>
    <col min="7" max="7" width="9.875" style="18" bestFit="1" customWidth="1"/>
    <col min="8" max="8" width="11.375" style="18" customWidth="1"/>
    <col min="9" max="9" width="9.375" style="18" customWidth="1"/>
    <col min="10" max="16384" width="11" style="18"/>
  </cols>
  <sheetData>
    <row r="1" spans="1:11" ht="21">
      <c r="A1" s="685" t="s">
        <v>146</v>
      </c>
      <c r="B1" s="158"/>
      <c r="C1" s="158"/>
      <c r="D1" s="158"/>
      <c r="E1" s="158"/>
      <c r="F1" s="158"/>
      <c r="G1" s="158"/>
      <c r="H1" s="158"/>
      <c r="I1" s="158"/>
    </row>
    <row r="2" spans="1:11">
      <c r="B2" s="15"/>
      <c r="C2" s="15"/>
      <c r="D2" s="15"/>
      <c r="E2" s="15"/>
      <c r="F2" s="15"/>
      <c r="G2" s="15"/>
      <c r="H2" s="15"/>
      <c r="I2" s="15"/>
    </row>
    <row r="3" spans="1:11" ht="24.75" thickBot="1">
      <c r="A3" s="865" t="s">
        <v>103</v>
      </c>
      <c r="B3" s="865"/>
      <c r="C3" s="182" t="s">
        <v>870</v>
      </c>
      <c r="D3" s="145" t="s">
        <v>871</v>
      </c>
      <c r="E3" s="565" t="s">
        <v>735</v>
      </c>
      <c r="F3" s="566" t="s">
        <v>734</v>
      </c>
      <c r="G3" s="565" t="s">
        <v>711</v>
      </c>
      <c r="H3" s="566" t="s">
        <v>710</v>
      </c>
      <c r="I3" s="565" t="s">
        <v>640</v>
      </c>
    </row>
    <row r="4" spans="1:11" ht="12" customHeight="1">
      <c r="A4" s="866" t="s">
        <v>60</v>
      </c>
      <c r="B4" s="866"/>
      <c r="C4" s="144">
        <f>SUM(C5:C7)</f>
        <v>155982.06099999999</v>
      </c>
      <c r="D4" s="532">
        <f>(C4-E4)/E4</f>
        <v>6.5833130756194944E-2</v>
      </c>
      <c r="E4" s="146">
        <v>146347.54399999999</v>
      </c>
      <c r="F4" s="251">
        <f>(E4-G4)/G4</f>
        <v>2.9913069163106189E-2</v>
      </c>
      <c r="G4" s="146">
        <v>142096.98699999999</v>
      </c>
      <c r="H4" s="251">
        <f>(G4-I4)/I4</f>
        <v>2.7885787242661376E-2</v>
      </c>
      <c r="I4" s="146">
        <v>138242</v>
      </c>
      <c r="K4" s="22"/>
    </row>
    <row r="5" spans="1:11" ht="12" customHeight="1">
      <c r="A5" s="867" t="s">
        <v>61</v>
      </c>
      <c r="B5" s="868"/>
      <c r="C5" s="181">
        <v>5995.1049999999996</v>
      </c>
      <c r="D5" s="532">
        <f t="shared" ref="D5:F8" si="0">(C5-E5)/E5</f>
        <v>7.6196222711128539E-3</v>
      </c>
      <c r="E5" s="153">
        <v>5949.77</v>
      </c>
      <c r="F5" s="251">
        <f t="shared" si="0"/>
        <v>4.2758486121384567E-3</v>
      </c>
      <c r="G5" s="153">
        <v>5924.4380000000001</v>
      </c>
      <c r="H5" s="251">
        <f>(G5-I5)/I5</f>
        <v>6.4971777817724272E-2</v>
      </c>
      <c r="I5" s="153">
        <v>5563</v>
      </c>
      <c r="K5" s="22"/>
    </row>
    <row r="6" spans="1:11" ht="12" customHeight="1">
      <c r="A6" s="867" t="s">
        <v>124</v>
      </c>
      <c r="B6" s="868"/>
      <c r="C6" s="181">
        <v>144185.87599999999</v>
      </c>
      <c r="D6" s="532">
        <f>(C6-E6)/E6</f>
        <v>6.6230562763032838E-2</v>
      </c>
      <c r="E6" s="153">
        <v>135229.54699999999</v>
      </c>
      <c r="F6" s="251">
        <f>(E6-G6)/G6</f>
        <v>2.7816932779392067E-2</v>
      </c>
      <c r="G6" s="153">
        <v>131569.682</v>
      </c>
      <c r="H6" s="251">
        <f>(G6-I6)/I6</f>
        <v>2.7783756337247004E-2</v>
      </c>
      <c r="I6" s="153">
        <v>128013</v>
      </c>
    </row>
    <row r="7" spans="1:11" ht="12" customHeight="1">
      <c r="A7" s="867" t="s">
        <v>125</v>
      </c>
      <c r="B7" s="868"/>
      <c r="C7" s="181">
        <v>5801.08</v>
      </c>
      <c r="D7" s="532">
        <f t="shared" si="0"/>
        <v>0.12245069730876741</v>
      </c>
      <c r="E7" s="153">
        <v>5168.2270000000008</v>
      </c>
      <c r="F7" s="251">
        <f t="shared" si="0"/>
        <v>0.12282779406834926</v>
      </c>
      <c r="G7" s="153">
        <v>4602.8670000000002</v>
      </c>
      <c r="H7" s="251">
        <f>(G7-I7)/I7</f>
        <v>-1.3530432918988386E-2</v>
      </c>
      <c r="I7" s="153">
        <v>4666</v>
      </c>
    </row>
    <row r="8" spans="1:11" ht="12" customHeight="1">
      <c r="A8" s="869" t="s">
        <v>84</v>
      </c>
      <c r="B8" s="869"/>
      <c r="C8" s="181">
        <v>47563.557000000001</v>
      </c>
      <c r="D8" s="532">
        <f t="shared" si="0"/>
        <v>0.11393345031101859</v>
      </c>
      <c r="E8" s="153">
        <v>42698.741999999998</v>
      </c>
      <c r="F8" s="251">
        <f t="shared" si="0"/>
        <v>0.1623915983453372</v>
      </c>
      <c r="G8" s="153">
        <v>36733.525999999998</v>
      </c>
      <c r="H8" s="251">
        <f>(G8-I8)/I8</f>
        <v>8.8787894955243293E-2</v>
      </c>
      <c r="I8" s="153">
        <v>33738</v>
      </c>
    </row>
    <row r="9" spans="1:11" s="267" customFormat="1" ht="12" customHeight="1">
      <c r="A9" s="289" t="s">
        <v>712</v>
      </c>
      <c r="B9" s="289"/>
      <c r="C9" s="181">
        <v>33511.771000000001</v>
      </c>
      <c r="D9" s="532">
        <f>(C9-E9)/E9</f>
        <v>0.10815588730355917</v>
      </c>
      <c r="E9" s="153">
        <v>30241.025999999998</v>
      </c>
      <c r="F9" s="251">
        <f>(E9-G9)/G9</f>
        <v>0.12402362123889514</v>
      </c>
      <c r="G9" s="153">
        <v>26904.261999999999</v>
      </c>
      <c r="H9" s="251">
        <f t="shared" ref="H9:H10" si="1">(G9-I9)/I9</f>
        <v>-1.6405439988301143E-2</v>
      </c>
      <c r="I9" s="153">
        <v>27353</v>
      </c>
    </row>
    <row r="10" spans="1:11">
      <c r="A10" s="866" t="s">
        <v>126</v>
      </c>
      <c r="B10" s="866"/>
      <c r="C10" s="183">
        <v>8385.6740000000009</v>
      </c>
      <c r="D10" s="532">
        <f>(C10-E10)/E10</f>
        <v>-0.20796789207845473</v>
      </c>
      <c r="E10" s="252">
        <v>10587.543</v>
      </c>
      <c r="F10" s="251">
        <f>(E10-G10)/G10</f>
        <v>7.0856910632587339E-2</v>
      </c>
      <c r="G10" s="252">
        <v>9886.982</v>
      </c>
      <c r="H10" s="251">
        <f t="shared" si="1"/>
        <v>-0.1256648390519986</v>
      </c>
      <c r="I10" s="252">
        <v>11308</v>
      </c>
    </row>
    <row r="11" spans="1:11">
      <c r="A11" s="84" t="s">
        <v>5</v>
      </c>
      <c r="B11" s="178"/>
      <c r="C11" s="159">
        <f>C4+C8+C9+C10</f>
        <v>245443.06299999999</v>
      </c>
      <c r="D11" s="184">
        <f>(C11-E11)/E11</f>
        <v>6.7724710473444402E-2</v>
      </c>
      <c r="E11" s="567">
        <f>E4+E8+E9+E10</f>
        <v>229874.85499999998</v>
      </c>
      <c r="F11" s="568">
        <f>(E11-G11)/G11</f>
        <v>6.6102318236837432E-2</v>
      </c>
      <c r="G11" s="567">
        <f>G4+G8+G9+G10</f>
        <v>215621.75699999995</v>
      </c>
      <c r="H11" s="568">
        <f>(G11-I11)/I11</f>
        <v>2.3645714746891412E-2</v>
      </c>
      <c r="I11" s="567">
        <f>I4+I8+I9+I10</f>
        <v>210641</v>
      </c>
    </row>
    <row r="12" spans="1:11">
      <c r="A12" s="56"/>
      <c r="B12" s="56"/>
      <c r="C12" s="56"/>
      <c r="D12" s="56"/>
      <c r="E12" s="180"/>
      <c r="F12" s="56"/>
      <c r="G12" s="185"/>
      <c r="H12" s="186"/>
      <c r="I12" s="185"/>
    </row>
    <row r="13" spans="1:11">
      <c r="A13" s="863"/>
      <c r="B13" s="864"/>
      <c r="C13" s="864"/>
      <c r="D13" s="864"/>
      <c r="E13" s="864"/>
      <c r="F13" s="864"/>
      <c r="G13" s="864"/>
      <c r="H13" s="864"/>
      <c r="I13" s="864"/>
    </row>
    <row r="14" spans="1:11">
      <c r="A14" s="291"/>
      <c r="B14" s="291"/>
      <c r="C14" s="291"/>
      <c r="D14" s="291"/>
      <c r="E14" s="291"/>
      <c r="F14" s="291"/>
      <c r="G14" s="291"/>
      <c r="H14" s="291"/>
      <c r="I14" s="291"/>
    </row>
    <row r="16" spans="1:11">
      <c r="A16" s="861"/>
      <c r="B16" s="862"/>
      <c r="C16" s="862"/>
      <c r="D16" s="862"/>
      <c r="E16" s="862"/>
      <c r="F16" s="862"/>
      <c r="G16" s="862"/>
      <c r="H16" s="862"/>
      <c r="I16" s="862"/>
    </row>
    <row r="17" spans="3:9">
      <c r="C17" s="201"/>
      <c r="D17" s="141"/>
      <c r="E17" s="201"/>
      <c r="F17" s="141"/>
      <c r="G17" s="201"/>
      <c r="H17" s="141"/>
      <c r="I17" s="201"/>
    </row>
    <row r="18" spans="3:9">
      <c r="C18" s="201"/>
      <c r="D18" s="141"/>
      <c r="E18" s="201"/>
      <c r="F18" s="141"/>
      <c r="G18" s="201"/>
      <c r="H18" s="141"/>
      <c r="I18" s="201"/>
    </row>
    <row r="19" spans="3:9">
      <c r="C19" s="201"/>
      <c r="D19" s="141"/>
      <c r="E19" s="201"/>
      <c r="F19" s="141"/>
      <c r="G19" s="201"/>
      <c r="H19" s="141"/>
      <c r="I19" s="201"/>
    </row>
    <row r="20" spans="3:9">
      <c r="C20" s="201"/>
      <c r="D20" s="141"/>
      <c r="E20" s="201"/>
      <c r="F20" s="141"/>
      <c r="G20" s="201"/>
      <c r="H20" s="141"/>
      <c r="I20" s="201"/>
    </row>
    <row r="26" spans="3:9">
      <c r="G26" s="267"/>
    </row>
    <row r="27" spans="3:9">
      <c r="G27" s="267"/>
    </row>
    <row r="28" spans="3:9">
      <c r="G28" s="267"/>
    </row>
    <row r="29" spans="3:9">
      <c r="G29" s="267"/>
    </row>
  </sheetData>
  <mergeCells count="9">
    <mergeCell ref="A16:I16"/>
    <mergeCell ref="A13:I13"/>
    <mergeCell ref="A3:B3"/>
    <mergeCell ref="A4:B4"/>
    <mergeCell ref="A5:B5"/>
    <mergeCell ref="A6:B6"/>
    <mergeCell ref="A7:B7"/>
    <mergeCell ref="A8:B8"/>
    <mergeCell ref="A10:B10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9" fitToHeight="0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37" max="16383" man="1"/>
  </rowBreaks>
  <colBreaks count="1" manualBreakCount="1">
    <brk id="1" max="1048575" man="1"/>
  </colBreaks>
  <ignoredErrors>
    <ignoredError sqref="C12 C4" formulaRange="1"/>
    <ignoredError sqref="D12:I12" formula="1" formulaRange="1"/>
    <ignoredError sqref="D11:E11 D7 G11" 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20">
    <pageSetUpPr fitToPage="1"/>
  </sheetPr>
  <dimension ref="A1:I28"/>
  <sheetViews>
    <sheetView zoomScaleNormal="100" workbookViewId="0">
      <selection activeCell="F45" sqref="F45"/>
    </sheetView>
  </sheetViews>
  <sheetFormatPr baseColWidth="10" defaultColWidth="11" defaultRowHeight="12"/>
  <cols>
    <col min="1" max="1" width="39.75" style="18" customWidth="1"/>
    <col min="2" max="2" width="33.875" style="18" bestFit="1" customWidth="1"/>
    <col min="3" max="4" width="10" style="18" customWidth="1"/>
    <col min="5" max="5" width="11" style="18" customWidth="1"/>
    <col min="6" max="16384" width="11" style="18"/>
  </cols>
  <sheetData>
    <row r="1" spans="1:9" ht="21">
      <c r="A1" s="685" t="s">
        <v>835</v>
      </c>
      <c r="B1" s="187"/>
      <c r="C1" s="158"/>
      <c r="D1" s="15"/>
    </row>
    <row r="2" spans="1:9">
      <c r="A2" s="15"/>
      <c r="B2" s="15"/>
      <c r="C2" s="15"/>
      <c r="D2" s="15"/>
    </row>
    <row r="3" spans="1:9">
      <c r="A3" s="15"/>
      <c r="B3" s="15"/>
    </row>
    <row r="4" spans="1:9" ht="12.75" thickBot="1">
      <c r="A4" s="1"/>
      <c r="B4" s="77" t="s">
        <v>66</v>
      </c>
      <c r="C4" s="2">
        <v>43830</v>
      </c>
      <c r="D4" s="2">
        <v>43465</v>
      </c>
    </row>
    <row r="5" spans="1:9" s="267" customFormat="1">
      <c r="A5" s="188" t="s">
        <v>596</v>
      </c>
      <c r="B5" s="189" t="s">
        <v>638</v>
      </c>
      <c r="C5" s="502">
        <v>44</v>
      </c>
      <c r="D5" s="502">
        <v>39</v>
      </c>
      <c r="G5" s="189"/>
      <c r="H5" s="19"/>
      <c r="I5" s="19"/>
    </row>
    <row r="6" spans="1:9" s="267" customFormat="1">
      <c r="A6" s="188"/>
      <c r="B6" s="189" t="s">
        <v>752</v>
      </c>
      <c r="C6" s="502">
        <v>24</v>
      </c>
      <c r="D6" s="502">
        <v>21</v>
      </c>
      <c r="G6" s="189"/>
      <c r="H6" s="19"/>
      <c r="I6" s="19"/>
    </row>
    <row r="7" spans="1:9" s="267" customFormat="1">
      <c r="A7" s="188"/>
      <c r="B7" s="267" t="s">
        <v>206</v>
      </c>
      <c r="C7" s="503">
        <v>44</v>
      </c>
      <c r="D7" s="503">
        <v>33</v>
      </c>
      <c r="G7" s="189"/>
      <c r="H7" s="19"/>
      <c r="I7" s="19"/>
    </row>
    <row r="8" spans="1:9" s="267" customFormat="1">
      <c r="B8" s="189" t="s">
        <v>714</v>
      </c>
      <c r="C8" s="502">
        <v>19</v>
      </c>
      <c r="D8" s="502">
        <v>19</v>
      </c>
      <c r="G8" s="189"/>
      <c r="H8" s="19"/>
      <c r="I8" s="19"/>
    </row>
    <row r="9" spans="1:9" s="267" customFormat="1">
      <c r="A9" s="15"/>
      <c r="B9" s="15" t="s">
        <v>715</v>
      </c>
      <c r="C9" s="502">
        <v>24</v>
      </c>
      <c r="D9" s="502">
        <v>24</v>
      </c>
      <c r="G9" s="15"/>
      <c r="H9" s="19"/>
      <c r="I9" s="19"/>
    </row>
    <row r="10" spans="1:9" s="267" customFormat="1">
      <c r="A10" s="15"/>
      <c r="B10" s="189" t="s">
        <v>713</v>
      </c>
      <c r="C10" s="502">
        <v>0</v>
      </c>
      <c r="D10" s="502">
        <v>38</v>
      </c>
      <c r="H10" s="278"/>
      <c r="I10" s="278"/>
    </row>
    <row r="11" spans="1:9" s="267" customFormat="1">
      <c r="B11" s="189" t="s">
        <v>716</v>
      </c>
      <c r="C11" s="502">
        <v>45</v>
      </c>
      <c r="D11" s="502">
        <v>28</v>
      </c>
      <c r="G11" s="189"/>
      <c r="H11" s="19"/>
      <c r="I11" s="19"/>
    </row>
    <row r="12" spans="1:9" s="267" customFormat="1">
      <c r="B12" s="267" t="s">
        <v>753</v>
      </c>
      <c r="C12" s="503">
        <v>47</v>
      </c>
      <c r="D12" s="503">
        <v>47</v>
      </c>
      <c r="G12" s="189"/>
      <c r="H12" s="19"/>
      <c r="I12" s="19"/>
    </row>
    <row r="13" spans="1:9">
      <c r="A13" s="188"/>
      <c r="B13" s="190" t="s">
        <v>68</v>
      </c>
      <c r="C13" s="504">
        <v>109</v>
      </c>
      <c r="D13" s="504">
        <v>102</v>
      </c>
      <c r="G13" s="190"/>
      <c r="H13" s="279"/>
      <c r="I13" s="279"/>
    </row>
    <row r="14" spans="1:9">
      <c r="A14" s="191" t="s">
        <v>81</v>
      </c>
      <c r="B14" s="192"/>
      <c r="C14" s="505">
        <f>SUM(C5:C13)</f>
        <v>356</v>
      </c>
      <c r="D14" s="505">
        <f>SUM(D5:D13)</f>
        <v>351</v>
      </c>
      <c r="F14" s="502"/>
      <c r="G14" s="189"/>
      <c r="H14" s="19"/>
      <c r="I14" s="19"/>
    </row>
    <row r="15" spans="1:9">
      <c r="A15" s="188" t="s">
        <v>69</v>
      </c>
      <c r="B15" s="89" t="s">
        <v>717</v>
      </c>
      <c r="C15" s="503">
        <v>20</v>
      </c>
      <c r="D15" s="503">
        <v>20</v>
      </c>
    </row>
    <row r="16" spans="1:9" s="267" customFormat="1">
      <c r="A16" s="188"/>
      <c r="B16" s="15" t="s">
        <v>585</v>
      </c>
      <c r="C16" s="503">
        <v>95</v>
      </c>
      <c r="D16" s="503">
        <v>77</v>
      </c>
    </row>
    <row r="17" spans="1:6" s="267" customFormat="1">
      <c r="A17" s="188"/>
      <c r="B17" s="15" t="s">
        <v>70</v>
      </c>
      <c r="C17" s="546">
        <v>11</v>
      </c>
      <c r="D17" s="504">
        <v>8</v>
      </c>
    </row>
    <row r="18" spans="1:6">
      <c r="A18" s="191" t="s">
        <v>101</v>
      </c>
      <c r="B18" s="178"/>
      <c r="C18" s="506">
        <f>SUM(C15:C17)</f>
        <v>126</v>
      </c>
      <c r="D18" s="506">
        <f>SUM(D15:D17)</f>
        <v>105</v>
      </c>
    </row>
    <row r="19" spans="1:6" s="267" customFormat="1">
      <c r="A19" s="387" t="s">
        <v>73</v>
      </c>
      <c r="B19" s="388"/>
      <c r="C19" s="507">
        <f>C14+C18</f>
        <v>482</v>
      </c>
      <c r="D19" s="569">
        <f>D14+D18</f>
        <v>456</v>
      </c>
    </row>
    <row r="20" spans="1:6" s="267" customFormat="1" ht="11.25" customHeight="1">
      <c r="A20" s="386"/>
      <c r="B20" s="15"/>
      <c r="C20" s="154"/>
      <c r="D20" s="154"/>
    </row>
    <row r="21" spans="1:6">
      <c r="A21" s="193"/>
      <c r="C21" s="70"/>
      <c r="D21" s="70"/>
      <c r="F21" s="22"/>
    </row>
    <row r="22" spans="1:6">
      <c r="A22" s="543"/>
      <c r="B22" s="542"/>
      <c r="C22" s="56"/>
      <c r="D22" s="56"/>
    </row>
    <row r="28" spans="1:6">
      <c r="A28" s="15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73" fitToHeight="0" orientation="portrait" r:id="rId1"/>
  <headerFooter alignWithMargins="0">
    <oddHeader>&amp;R&amp;"Calibri"&amp;12&amp;KFF9100F O R T R O L I G&amp;1#</oddHeader>
    <oddFooter>&amp;R&amp;A</oddFooter>
  </headerFooter>
  <ignoredErrors>
    <ignoredError sqref="C14:D14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21">
    <pageSetUpPr fitToPage="1"/>
  </sheetPr>
  <dimension ref="A1:G15"/>
  <sheetViews>
    <sheetView zoomScaleNormal="100" workbookViewId="0">
      <selection activeCell="F45" sqref="F45"/>
    </sheetView>
  </sheetViews>
  <sheetFormatPr baseColWidth="10" defaultColWidth="11" defaultRowHeight="12"/>
  <cols>
    <col min="1" max="1" width="38.75" style="18" bestFit="1" customWidth="1"/>
    <col min="2" max="2" width="6.75" style="18" customWidth="1"/>
    <col min="3" max="3" width="6.625" style="18" customWidth="1"/>
    <col min="4" max="4" width="10.25" style="18" customWidth="1"/>
    <col min="5" max="5" width="8.5" style="18" customWidth="1"/>
    <col min="6" max="6" width="11.5" style="18" customWidth="1"/>
    <col min="7" max="16384" width="11" style="18"/>
  </cols>
  <sheetData>
    <row r="1" spans="1:7" ht="21">
      <c r="A1" s="685" t="s">
        <v>535</v>
      </c>
      <c r="B1" s="187"/>
      <c r="C1" s="158"/>
    </row>
    <row r="2" spans="1:7">
      <c r="A2" s="15" t="s">
        <v>117</v>
      </c>
      <c r="B2" s="157"/>
      <c r="C2" s="15"/>
    </row>
    <row r="3" spans="1:7">
      <c r="A3" s="194"/>
      <c r="B3" s="157"/>
      <c r="C3" s="15"/>
    </row>
    <row r="4" spans="1:7" ht="60.75" customHeight="1" thickBot="1">
      <c r="A4" s="62">
        <v>2019</v>
      </c>
      <c r="B4" s="103" t="s">
        <v>106</v>
      </c>
      <c r="C4" s="103" t="s">
        <v>107</v>
      </c>
      <c r="D4" s="103" t="s">
        <v>210</v>
      </c>
      <c r="E4" s="103" t="s">
        <v>211</v>
      </c>
      <c r="F4" s="103" t="s">
        <v>71</v>
      </c>
    </row>
    <row r="5" spans="1:7">
      <c r="A5" s="90" t="s">
        <v>67</v>
      </c>
      <c r="B5" s="151">
        <v>356</v>
      </c>
      <c r="C5" s="151">
        <v>356</v>
      </c>
      <c r="D5" s="151">
        <v>-3</v>
      </c>
      <c r="E5" s="476">
        <v>85</v>
      </c>
      <c r="F5" s="195">
        <v>0</v>
      </c>
      <c r="G5" s="267"/>
    </row>
    <row r="6" spans="1:7">
      <c r="A6" s="90" t="s">
        <v>639</v>
      </c>
      <c r="B6" s="151">
        <v>126</v>
      </c>
      <c r="C6" s="151">
        <v>126</v>
      </c>
      <c r="D6" s="196">
        <v>2</v>
      </c>
      <c r="E6" s="196">
        <v>77</v>
      </c>
      <c r="F6" s="196">
        <v>0</v>
      </c>
    </row>
    <row r="7" spans="1:7">
      <c r="A7" s="73" t="s">
        <v>5</v>
      </c>
      <c r="B7" s="140">
        <f>SUM(B5:B6)</f>
        <v>482</v>
      </c>
      <c r="C7" s="140">
        <f>SUM(C5:C6)</f>
        <v>482</v>
      </c>
      <c r="D7" s="265">
        <f>SUM(D5:D6)</f>
        <v>-1</v>
      </c>
      <c r="E7" s="265">
        <f>SUM(E5:E6)</f>
        <v>162</v>
      </c>
      <c r="F7" s="265">
        <f>SUM(F5:F6)</f>
        <v>0</v>
      </c>
    </row>
    <row r="8" spans="1:7" s="267" customFormat="1">
      <c r="A8" s="80"/>
      <c r="B8" s="139"/>
      <c r="C8" s="139"/>
      <c r="D8" s="152"/>
      <c r="E8" s="152"/>
      <c r="F8" s="152"/>
    </row>
    <row r="9" spans="1:7" s="267" customFormat="1">
      <c r="A9" s="80"/>
      <c r="B9" s="139"/>
      <c r="C9" s="139"/>
      <c r="D9" s="152"/>
      <c r="E9" s="152"/>
      <c r="F9" s="152"/>
    </row>
    <row r="10" spans="1:7" ht="60.75" thickBot="1">
      <c r="A10" s="750">
        <v>2018</v>
      </c>
      <c r="B10" s="263" t="s">
        <v>106</v>
      </c>
      <c r="C10" s="263" t="s">
        <v>107</v>
      </c>
      <c r="D10" s="263" t="s">
        <v>210</v>
      </c>
      <c r="E10" s="263" t="s">
        <v>211</v>
      </c>
      <c r="F10" s="263" t="s">
        <v>71</v>
      </c>
    </row>
    <row r="11" spans="1:7">
      <c r="A11" s="90" t="s">
        <v>67</v>
      </c>
      <c r="B11" s="151">
        <v>351</v>
      </c>
      <c r="C11" s="151">
        <v>351</v>
      </c>
      <c r="D11" s="151">
        <v>0</v>
      </c>
      <c r="E11" s="476">
        <v>53</v>
      </c>
      <c r="F11" s="195">
        <v>0</v>
      </c>
    </row>
    <row r="12" spans="1:7">
      <c r="A12" s="90" t="s">
        <v>639</v>
      </c>
      <c r="B12" s="151">
        <v>105</v>
      </c>
      <c r="C12" s="151">
        <v>105</v>
      </c>
      <c r="D12" s="196">
        <v>4</v>
      </c>
      <c r="E12" s="196">
        <f>-17+77</f>
        <v>60</v>
      </c>
      <c r="F12" s="196">
        <v>0</v>
      </c>
    </row>
    <row r="13" spans="1:7">
      <c r="A13" s="570" t="s">
        <v>5</v>
      </c>
      <c r="B13" s="561">
        <f>SUM(B11:B12)</f>
        <v>456</v>
      </c>
      <c r="C13" s="561">
        <f>SUM(C11:C12)</f>
        <v>456</v>
      </c>
      <c r="D13" s="571">
        <f>SUM(D11:D12)</f>
        <v>4</v>
      </c>
      <c r="E13" s="571">
        <f>SUM(E11:E12)</f>
        <v>113</v>
      </c>
      <c r="F13" s="571">
        <f>SUM(F11:F12)</f>
        <v>0</v>
      </c>
    </row>
    <row r="14" spans="1:7">
      <c r="A14" s="80"/>
      <c r="B14" s="139"/>
      <c r="C14" s="139"/>
      <c r="D14" s="152"/>
      <c r="E14" s="152"/>
      <c r="F14" s="152"/>
    </row>
    <row r="15" spans="1:7">
      <c r="A15" s="193"/>
      <c r="B15" s="139"/>
      <c r="C15" s="139"/>
      <c r="D15" s="152"/>
      <c r="E15" s="152"/>
      <c r="F15" s="152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92" fitToHeight="0" orientation="portrait" r:id="rId1"/>
  <headerFooter alignWithMargins="0">
    <oddHeader>&amp;R&amp;"Calibri"&amp;12&amp;KFF9100F O R T R O L I G&amp;1#</oddHeader>
    <oddFooter>&amp;R&amp;A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22">
    <pageSetUpPr fitToPage="1"/>
  </sheetPr>
  <dimension ref="A1:D8"/>
  <sheetViews>
    <sheetView zoomScaleNormal="100" workbookViewId="0">
      <selection activeCell="F45" sqref="F45"/>
    </sheetView>
  </sheetViews>
  <sheetFormatPr baseColWidth="10" defaultColWidth="11" defaultRowHeight="12"/>
  <cols>
    <col min="1" max="1" width="36" style="18" customWidth="1"/>
    <col min="2" max="2" width="12.625" style="18" customWidth="1"/>
    <col min="3" max="16384" width="11" style="18"/>
  </cols>
  <sheetData>
    <row r="1" spans="1:4" ht="21">
      <c r="A1" s="685" t="s">
        <v>148</v>
      </c>
      <c r="B1" s="157"/>
      <c r="C1" s="15"/>
      <c r="D1" s="15"/>
    </row>
    <row r="2" spans="1:4">
      <c r="A2" s="157"/>
      <c r="B2" s="157"/>
      <c r="C2" s="15"/>
      <c r="D2" s="15"/>
    </row>
    <row r="3" spans="1:4" ht="24.75" thickBot="1">
      <c r="A3" s="215" t="s">
        <v>103</v>
      </c>
      <c r="B3" s="197" t="s">
        <v>736</v>
      </c>
      <c r="C3" s="389" t="s">
        <v>736</v>
      </c>
      <c r="D3" s="15"/>
    </row>
    <row r="4" spans="1:4">
      <c r="A4" s="15" t="s">
        <v>46</v>
      </c>
      <c r="B4" s="152">
        <v>482</v>
      </c>
      <c r="C4" s="151">
        <v>456</v>
      </c>
      <c r="D4" s="89"/>
    </row>
    <row r="5" spans="1:4">
      <c r="A5" s="15" t="s">
        <v>47</v>
      </c>
      <c r="B5" s="152">
        <v>0</v>
      </c>
      <c r="C5" s="151">
        <v>0</v>
      </c>
      <c r="D5" s="89"/>
    </row>
    <row r="6" spans="1:4">
      <c r="A6" s="15" t="s">
        <v>29</v>
      </c>
      <c r="B6" s="152">
        <v>0</v>
      </c>
      <c r="C6" s="151">
        <v>0</v>
      </c>
      <c r="D6" s="89"/>
    </row>
    <row r="7" spans="1:4">
      <c r="A7" s="84" t="s">
        <v>5</v>
      </c>
      <c r="B7" s="541">
        <f>SUM(B4:B6)</f>
        <v>482</v>
      </c>
      <c r="C7" s="198">
        <f>SUM(C4:C6)</f>
        <v>456</v>
      </c>
      <c r="D7" s="89"/>
    </row>
    <row r="8" spans="1:4">
      <c r="D8" s="89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93" fitToHeight="0" orientation="portrait" r:id="rId1"/>
  <headerFooter alignWithMargins="0">
    <oddHeader>&amp;R&amp;"Calibri"&amp;12&amp;KFF9100F O R T R O L I G&amp;1#</oddHeader>
    <oddFooter>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24">
    <pageSetUpPr fitToPage="1"/>
  </sheetPr>
  <dimension ref="A1:E10"/>
  <sheetViews>
    <sheetView zoomScaleNormal="100" workbookViewId="0">
      <selection activeCell="F45" sqref="F45"/>
    </sheetView>
  </sheetViews>
  <sheetFormatPr baseColWidth="10" defaultColWidth="11" defaultRowHeight="12"/>
  <cols>
    <col min="1" max="1" width="4.625" style="18" customWidth="1"/>
    <col min="2" max="2" width="29.125" style="18" customWidth="1"/>
    <col min="3" max="5" width="11.625" style="18" customWidth="1"/>
    <col min="6" max="16384" width="11" style="18"/>
  </cols>
  <sheetData>
    <row r="1" spans="1:5" ht="21">
      <c r="A1" s="685" t="s">
        <v>212</v>
      </c>
    </row>
    <row r="3" spans="1:5" ht="26.25">
      <c r="A3" s="871" t="s">
        <v>103</v>
      </c>
      <c r="B3" s="871"/>
      <c r="C3" s="873" t="s">
        <v>72</v>
      </c>
      <c r="D3" s="282" t="s">
        <v>873</v>
      </c>
      <c r="E3" s="283" t="s">
        <v>872</v>
      </c>
    </row>
    <row r="4" spans="1:5" ht="12.75" thickBot="1">
      <c r="A4" s="872"/>
      <c r="B4" s="872"/>
      <c r="C4" s="874"/>
      <c r="D4" s="199"/>
      <c r="E4" s="200"/>
    </row>
    <row r="5" spans="1:5" ht="14.25">
      <c r="A5" s="870" t="s">
        <v>213</v>
      </c>
      <c r="B5" s="870"/>
      <c r="C5" s="19">
        <v>237502</v>
      </c>
      <c r="D5" s="19">
        <v>1297</v>
      </c>
      <c r="E5" s="267">
        <v>1427</v>
      </c>
    </row>
    <row r="6" spans="1:5" s="267" customFormat="1">
      <c r="A6" s="280" t="s">
        <v>208</v>
      </c>
      <c r="B6" s="280"/>
      <c r="C6" s="753"/>
      <c r="D6" s="754">
        <v>487</v>
      </c>
      <c r="E6" s="146">
        <v>892</v>
      </c>
    </row>
    <row r="7" spans="1:5" ht="12.75" customHeight="1">
      <c r="A7" s="191" t="s">
        <v>114</v>
      </c>
      <c r="B7" s="101"/>
      <c r="C7" s="202">
        <f>SUM(C5:C6)</f>
        <v>237502</v>
      </c>
      <c r="D7" s="202">
        <f>SUM(D5:D6)</f>
        <v>1784</v>
      </c>
      <c r="E7" s="203">
        <f>SUM(E5:E6)</f>
        <v>2319</v>
      </c>
    </row>
    <row r="10" spans="1:5" ht="14.25">
      <c r="A10" s="281" t="s">
        <v>224</v>
      </c>
      <c r="B10" s="281"/>
      <c r="C10" s="281"/>
      <c r="D10" s="281"/>
    </row>
  </sheetData>
  <mergeCells count="3">
    <mergeCell ref="A5:B5"/>
    <mergeCell ref="A3:B4"/>
    <mergeCell ref="C3:C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24" max="16383" man="1"/>
  </rowBreaks>
  <colBreaks count="1" manualBreakCount="1">
    <brk id="1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14">
    <pageSetUpPr fitToPage="1"/>
  </sheetPr>
  <dimension ref="A1:L43"/>
  <sheetViews>
    <sheetView showGridLines="0" zoomScaleNormal="100" workbookViewId="0">
      <selection activeCell="F45" sqref="F45"/>
    </sheetView>
  </sheetViews>
  <sheetFormatPr baseColWidth="10" defaultColWidth="11" defaultRowHeight="12"/>
  <cols>
    <col min="1" max="1" width="42.5" style="18" customWidth="1"/>
    <col min="2" max="2" width="26.5" style="18" customWidth="1"/>
    <col min="3" max="4" width="10" style="18" customWidth="1"/>
    <col min="5" max="5" width="21" style="18" customWidth="1"/>
    <col min="6" max="16384" width="11" style="18"/>
  </cols>
  <sheetData>
    <row r="1" spans="1:12" ht="21">
      <c r="A1" s="685" t="s">
        <v>836</v>
      </c>
      <c r="B1" s="258"/>
      <c r="C1" s="258"/>
      <c r="D1" s="259"/>
      <c r="E1" s="259"/>
      <c r="F1" s="260"/>
      <c r="G1" s="261"/>
      <c r="H1" s="261"/>
    </row>
    <row r="2" spans="1:12" ht="21">
      <c r="A2" s="685" t="s">
        <v>837</v>
      </c>
      <c r="B2" s="258"/>
      <c r="C2" s="258"/>
      <c r="D2" s="259"/>
      <c r="E2" s="259"/>
      <c r="F2" s="260"/>
      <c r="G2" s="261"/>
      <c r="H2" s="261"/>
    </row>
    <row r="3" spans="1:12" ht="12.75">
      <c r="A3" s="259"/>
      <c r="B3" s="875"/>
      <c r="C3" s="875"/>
      <c r="D3" s="261"/>
      <c r="E3" s="254"/>
      <c r="F3" s="253"/>
      <c r="G3" s="253"/>
      <c r="H3" s="253"/>
      <c r="I3" s="253"/>
      <c r="J3" s="134"/>
      <c r="K3" s="134"/>
      <c r="L3" s="134"/>
    </row>
    <row r="4" spans="1:12" ht="13.5" thickBot="1">
      <c r="A4" s="296"/>
      <c r="B4" s="204">
        <v>43830</v>
      </c>
      <c r="C4" s="205">
        <v>43465</v>
      </c>
      <c r="D4" s="261"/>
    </row>
    <row r="5" spans="1:12" ht="12.75">
      <c r="A5" s="206" t="s">
        <v>169</v>
      </c>
      <c r="B5" s="499">
        <v>-41</v>
      </c>
      <c r="C5" s="755">
        <v>-42</v>
      </c>
      <c r="D5" s="261"/>
    </row>
    <row r="6" spans="1:12" ht="12.75">
      <c r="A6" s="206" t="s">
        <v>170</v>
      </c>
      <c r="B6" s="499">
        <v>-36</v>
      </c>
      <c r="C6" s="755">
        <v>-24</v>
      </c>
      <c r="D6" s="261"/>
    </row>
    <row r="7" spans="1:12" ht="12.75">
      <c r="A7" s="206" t="s">
        <v>171</v>
      </c>
      <c r="B7" s="499">
        <v>-116</v>
      </c>
      <c r="C7" s="755">
        <v>-90</v>
      </c>
      <c r="D7" s="261"/>
    </row>
    <row r="8" spans="1:12" ht="12.75">
      <c r="A8" s="206" t="s">
        <v>172</v>
      </c>
      <c r="B8" s="499">
        <v>140</v>
      </c>
      <c r="C8" s="755">
        <v>129</v>
      </c>
      <c r="D8" s="261"/>
    </row>
    <row r="9" spans="1:12" ht="12.75">
      <c r="A9" s="206" t="s">
        <v>173</v>
      </c>
      <c r="B9" s="499">
        <v>1</v>
      </c>
      <c r="C9" s="755">
        <v>9</v>
      </c>
      <c r="D9" s="261"/>
    </row>
    <row r="10" spans="1:12" ht="12.75">
      <c r="A10" s="262" t="s">
        <v>174</v>
      </c>
      <c r="B10" s="501">
        <f>SUM(B5:B9)</f>
        <v>-52</v>
      </c>
      <c r="C10" s="756">
        <f>SUM(C5:C9)</f>
        <v>-18</v>
      </c>
      <c r="D10" s="261"/>
    </row>
    <row r="11" spans="1:12" ht="12.75">
      <c r="A11" s="206"/>
      <c r="B11" s="499"/>
      <c r="C11" s="755"/>
      <c r="D11" s="261"/>
    </row>
    <row r="12" spans="1:12" ht="12.75">
      <c r="A12" s="206"/>
      <c r="B12" s="499"/>
      <c r="C12" s="755"/>
      <c r="D12" s="261"/>
    </row>
    <row r="13" spans="1:12" ht="12.75">
      <c r="A13" s="206"/>
      <c r="B13" s="499"/>
      <c r="C13" s="755"/>
      <c r="D13" s="261"/>
    </row>
    <row r="14" spans="1:12" ht="12.75">
      <c r="A14" s="206" t="s">
        <v>175</v>
      </c>
      <c r="B14" s="499"/>
      <c r="C14" s="755"/>
      <c r="D14" s="261"/>
    </row>
    <row r="15" spans="1:12" ht="12.75">
      <c r="A15" s="206" t="s">
        <v>176</v>
      </c>
      <c r="B15" s="499">
        <v>-33</v>
      </c>
      <c r="C15" s="755">
        <v>-21</v>
      </c>
      <c r="D15" s="261"/>
    </row>
    <row r="16" spans="1:12" ht="12.75">
      <c r="A16" s="206" t="s">
        <v>177</v>
      </c>
      <c r="B16" s="499">
        <v>5</v>
      </c>
      <c r="C16" s="755">
        <v>3</v>
      </c>
      <c r="D16" s="261"/>
    </row>
    <row r="17" spans="1:4" ht="12.75">
      <c r="A17" s="206" t="s">
        <v>178</v>
      </c>
      <c r="B17" s="499">
        <v>2</v>
      </c>
      <c r="C17" s="755">
        <v>1</v>
      </c>
      <c r="D17" s="261"/>
    </row>
    <row r="18" spans="1:4" ht="12.75">
      <c r="A18" s="206" t="s">
        <v>179</v>
      </c>
      <c r="B18" s="499">
        <v>2</v>
      </c>
      <c r="C18" s="755">
        <v>-1</v>
      </c>
      <c r="D18" s="261"/>
    </row>
    <row r="19" spans="1:4" ht="12.75">
      <c r="A19" s="206" t="s">
        <v>180</v>
      </c>
      <c r="B19" s="499">
        <v>-3</v>
      </c>
      <c r="C19" s="755">
        <v>1</v>
      </c>
      <c r="D19" s="261"/>
    </row>
    <row r="20" spans="1:4" ht="12.75">
      <c r="A20" s="206" t="s">
        <v>181</v>
      </c>
      <c r="B20" s="499">
        <v>2</v>
      </c>
      <c r="C20" s="755">
        <v>4</v>
      </c>
      <c r="D20" s="261"/>
    </row>
    <row r="21" spans="1:4" ht="12.75">
      <c r="A21" s="206" t="s">
        <v>182</v>
      </c>
      <c r="B21" s="499">
        <v>-26</v>
      </c>
      <c r="C21" s="755">
        <v>-6</v>
      </c>
      <c r="D21" s="261"/>
    </row>
    <row r="22" spans="1:4" ht="12.75">
      <c r="A22" s="207" t="s">
        <v>183</v>
      </c>
      <c r="B22" s="500">
        <v>-1</v>
      </c>
      <c r="C22" s="757">
        <v>1</v>
      </c>
      <c r="D22" s="261"/>
    </row>
    <row r="23" spans="1:4" ht="12.75">
      <c r="A23" s="262" t="s">
        <v>174</v>
      </c>
      <c r="B23" s="501">
        <f t="shared" ref="B23" si="0">SUM(B15:B22)</f>
        <v>-52</v>
      </c>
      <c r="C23" s="756">
        <f t="shared" ref="C23" si="1">SUM(C15:C22)</f>
        <v>-18</v>
      </c>
      <c r="D23" s="261"/>
    </row>
    <row r="24" spans="1:4" ht="12.75">
      <c r="A24" s="206"/>
      <c r="B24" s="499"/>
      <c r="C24" s="755"/>
      <c r="D24" s="261"/>
    </row>
    <row r="25" spans="1:4" ht="12.75">
      <c r="A25" s="206"/>
      <c r="B25" s="499"/>
      <c r="C25" s="755"/>
      <c r="D25" s="261"/>
    </row>
    <row r="26" spans="1:4" ht="12.75">
      <c r="A26" s="206"/>
      <c r="B26" s="499"/>
      <c r="C26" s="755"/>
      <c r="D26" s="261"/>
    </row>
    <row r="27" spans="1:4" ht="12.75">
      <c r="A27" s="206" t="s">
        <v>175</v>
      </c>
      <c r="B27" s="499"/>
      <c r="C27" s="755"/>
      <c r="D27" s="261"/>
    </row>
    <row r="28" spans="1:4" ht="12.75">
      <c r="A28" s="206" t="s">
        <v>87</v>
      </c>
      <c r="B28" s="499">
        <v>-44</v>
      </c>
      <c r="C28" s="755">
        <v>0</v>
      </c>
      <c r="D28" s="261"/>
    </row>
    <row r="29" spans="1:4" ht="12.75">
      <c r="A29" s="206" t="s">
        <v>88</v>
      </c>
      <c r="B29" s="499">
        <v>3</v>
      </c>
      <c r="C29" s="755">
        <v>-13</v>
      </c>
      <c r="D29" s="261"/>
    </row>
    <row r="30" spans="1:4" ht="12.75">
      <c r="A30" s="206" t="s">
        <v>89</v>
      </c>
      <c r="B30" s="499">
        <v>-7</v>
      </c>
      <c r="C30" s="755">
        <v>0</v>
      </c>
      <c r="D30" s="261"/>
    </row>
    <row r="31" spans="1:4" ht="12.75">
      <c r="A31" s="206" t="s">
        <v>184</v>
      </c>
      <c r="B31" s="499">
        <v>-1</v>
      </c>
      <c r="C31" s="755">
        <v>-1</v>
      </c>
      <c r="D31" s="261"/>
    </row>
    <row r="32" spans="1:4" ht="12.75">
      <c r="A32" s="206" t="s">
        <v>29</v>
      </c>
      <c r="B32" s="499">
        <v>-3</v>
      </c>
      <c r="C32" s="755">
        <v>-4</v>
      </c>
      <c r="D32" s="261"/>
    </row>
    <row r="33" spans="1:9" ht="12.75">
      <c r="A33" s="262" t="s">
        <v>174</v>
      </c>
      <c r="B33" s="501">
        <f t="shared" ref="B33" si="2">SUM(B28:B32)</f>
        <v>-52</v>
      </c>
      <c r="C33" s="756">
        <f t="shared" ref="C33" si="3">SUM(C28:C32)</f>
        <v>-18</v>
      </c>
      <c r="D33" s="261"/>
    </row>
    <row r="35" spans="1:9">
      <c r="A35" s="206"/>
      <c r="I35" s="267"/>
    </row>
    <row r="36" spans="1:9" ht="12.75">
      <c r="A36" s="206" t="s">
        <v>185</v>
      </c>
      <c r="B36" s="206"/>
      <c r="C36" s="206"/>
      <c r="D36" s="206"/>
      <c r="E36" s="206"/>
      <c r="F36" s="257"/>
      <c r="G36" s="257"/>
      <c r="H36" s="257"/>
      <c r="I36" s="267"/>
    </row>
    <row r="37" spans="1:9" ht="12.75">
      <c r="A37" s="206" t="s">
        <v>186</v>
      </c>
      <c r="B37" s="206"/>
      <c r="C37" s="206"/>
      <c r="D37" s="206"/>
      <c r="E37" s="206"/>
      <c r="F37" s="257"/>
      <c r="G37" s="257"/>
      <c r="H37" s="257"/>
      <c r="I37" s="267"/>
    </row>
    <row r="38" spans="1:9" ht="12.75">
      <c r="A38" s="206" t="s">
        <v>718</v>
      </c>
      <c r="B38" s="206"/>
      <c r="C38" s="206"/>
      <c r="D38" s="206"/>
      <c r="E38" s="206"/>
      <c r="F38" s="257"/>
      <c r="G38" s="257"/>
      <c r="H38" s="257"/>
      <c r="I38" s="267"/>
    </row>
    <row r="39" spans="1:9" ht="12.75">
      <c r="A39" s="206"/>
      <c r="B39" s="206"/>
      <c r="C39" s="206"/>
      <c r="D39" s="206"/>
      <c r="E39" s="206"/>
      <c r="F39" s="257"/>
      <c r="G39" s="257"/>
      <c r="H39" s="257"/>
      <c r="I39" s="267"/>
    </row>
    <row r="40" spans="1:9" ht="12.75">
      <c r="A40" s="206" t="s">
        <v>719</v>
      </c>
      <c r="B40" s="206"/>
      <c r="C40" s="206"/>
      <c r="D40" s="206"/>
      <c r="E40" s="206"/>
      <c r="F40" s="257"/>
      <c r="G40" s="257"/>
      <c r="H40" s="257"/>
      <c r="I40" s="267"/>
    </row>
    <row r="41" spans="1:9" ht="12.75">
      <c r="A41" s="206" t="s">
        <v>720</v>
      </c>
      <c r="B41" s="206"/>
      <c r="C41" s="206"/>
      <c r="D41" s="206"/>
      <c r="E41" s="206"/>
      <c r="F41" s="257"/>
      <c r="G41" s="257"/>
      <c r="H41" s="257"/>
      <c r="I41" s="267"/>
    </row>
    <row r="42" spans="1:9" ht="12.75">
      <c r="A42" s="206"/>
      <c r="B42" s="206"/>
      <c r="C42" s="206"/>
      <c r="D42" s="206"/>
      <c r="E42" s="206"/>
      <c r="F42" s="257"/>
      <c r="G42" s="257"/>
      <c r="H42" s="257"/>
      <c r="I42" s="267"/>
    </row>
    <row r="43" spans="1:9">
      <c r="A43" s="206"/>
      <c r="B43" s="206"/>
      <c r="C43" s="206"/>
      <c r="D43" s="206"/>
      <c r="E43" s="206"/>
      <c r="I43" s="267"/>
    </row>
  </sheetData>
  <mergeCells count="1">
    <mergeCell ref="B3:C3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30" max="16383" man="1"/>
  </rowBreaks>
  <colBreaks count="1" manualBreakCount="1">
    <brk id="1" max="1048575" man="1"/>
  </colBreaks>
  <ignoredErrors>
    <ignoredError sqref="B10:C10" formulaRange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  <pageSetUpPr fitToPage="1"/>
  </sheetPr>
  <dimension ref="A1:X83"/>
  <sheetViews>
    <sheetView topLeftCell="H1" zoomScaleNormal="100" workbookViewId="0">
      <selection activeCell="C35" sqref="C35"/>
    </sheetView>
  </sheetViews>
  <sheetFormatPr baseColWidth="10" defaultColWidth="11" defaultRowHeight="12.75"/>
  <cols>
    <col min="1" max="1" width="4.375" style="292" customWidth="1"/>
    <col min="2" max="2" width="75.25" style="292" bestFit="1" customWidth="1"/>
    <col min="3" max="11" width="35.625" style="292" customWidth="1"/>
    <col min="12" max="12" width="3.75" style="292" customWidth="1"/>
    <col min="13" max="14" width="35.625" style="292" customWidth="1"/>
    <col min="15" max="15" width="3.75" style="292" customWidth="1"/>
    <col min="16" max="24" width="25.625" style="292" customWidth="1"/>
    <col min="25" max="16384" width="11" style="292"/>
  </cols>
  <sheetData>
    <row r="1" spans="1:24" ht="21">
      <c r="A1" s="685" t="s">
        <v>540</v>
      </c>
      <c r="C1" s="293"/>
      <c r="D1" s="293"/>
      <c r="E1" s="293"/>
      <c r="F1" s="293"/>
      <c r="G1" s="293"/>
      <c r="H1" s="293"/>
      <c r="I1" s="293"/>
      <c r="J1" s="293"/>
      <c r="K1" s="293"/>
    </row>
    <row r="2" spans="1:24">
      <c r="B2" s="293"/>
      <c r="C2" s="293"/>
      <c r="D2" s="293"/>
      <c r="E2" s="293"/>
      <c r="F2" s="293"/>
      <c r="G2" s="293"/>
      <c r="H2" s="293"/>
      <c r="I2" s="293"/>
      <c r="J2" s="293"/>
      <c r="K2" s="293"/>
    </row>
    <row r="3" spans="1:24">
      <c r="B3" s="295"/>
      <c r="C3" s="295"/>
      <c r="D3" s="295"/>
      <c r="E3" s="295"/>
      <c r="F3" s="295"/>
      <c r="G3" s="295"/>
      <c r="H3" s="295"/>
      <c r="I3" s="295"/>
      <c r="J3" s="295"/>
      <c r="K3" s="295"/>
      <c r="M3" s="833" t="s">
        <v>919</v>
      </c>
      <c r="N3" s="544"/>
      <c r="P3" s="711"/>
      <c r="Q3" s="711"/>
      <c r="R3" s="711"/>
      <c r="S3" s="711"/>
      <c r="T3" s="711"/>
      <c r="U3" s="719" t="s">
        <v>878</v>
      </c>
      <c r="V3" s="711"/>
      <c r="W3" s="711"/>
      <c r="X3" s="711"/>
    </row>
    <row r="4" spans="1:24" ht="13.5" thickBot="1">
      <c r="A4" s="339">
        <v>1</v>
      </c>
      <c r="B4" s="300" t="s">
        <v>226</v>
      </c>
      <c r="C4" s="301" t="s">
        <v>541</v>
      </c>
      <c r="D4" s="301" t="s">
        <v>541</v>
      </c>
      <c r="E4" s="301" t="s">
        <v>541</v>
      </c>
      <c r="F4" s="301" t="s">
        <v>541</v>
      </c>
      <c r="G4" s="301" t="s">
        <v>541</v>
      </c>
      <c r="H4" s="301" t="s">
        <v>541</v>
      </c>
      <c r="I4" s="301" t="s">
        <v>541</v>
      </c>
      <c r="J4" s="301" t="s">
        <v>541</v>
      </c>
      <c r="K4" s="301" t="s">
        <v>541</v>
      </c>
      <c r="M4" s="301" t="s">
        <v>542</v>
      </c>
      <c r="N4" s="301" t="s">
        <v>542</v>
      </c>
      <c r="P4" s="301" t="s">
        <v>552</v>
      </c>
      <c r="Q4" s="301" t="s">
        <v>552</v>
      </c>
      <c r="R4" s="301" t="s">
        <v>552</v>
      </c>
      <c r="S4" s="301" t="s">
        <v>552</v>
      </c>
      <c r="T4" s="301" t="s">
        <v>552</v>
      </c>
      <c r="U4" s="301" t="s">
        <v>552</v>
      </c>
      <c r="V4" s="301" t="s">
        <v>552</v>
      </c>
      <c r="W4" s="301" t="s">
        <v>552</v>
      </c>
      <c r="X4" s="301" t="s">
        <v>552</v>
      </c>
    </row>
    <row r="5" spans="1:24">
      <c r="A5" s="338">
        <v>2</v>
      </c>
      <c r="B5" s="297" t="s">
        <v>227</v>
      </c>
      <c r="C5" s="271" t="s">
        <v>601</v>
      </c>
      <c r="D5" s="271" t="s">
        <v>687</v>
      </c>
      <c r="E5" s="271" t="s">
        <v>700</v>
      </c>
      <c r="F5" s="271" t="s">
        <v>846</v>
      </c>
      <c r="G5" s="271" t="s">
        <v>688</v>
      </c>
      <c r="H5" s="271" t="s">
        <v>784</v>
      </c>
      <c r="I5" s="271" t="s">
        <v>811</v>
      </c>
      <c r="J5" s="337" t="s">
        <v>860</v>
      </c>
      <c r="K5" s="337" t="s">
        <v>879</v>
      </c>
      <c r="M5" s="337" t="s">
        <v>800</v>
      </c>
      <c r="N5" s="337" t="s">
        <v>877</v>
      </c>
      <c r="O5" s="707"/>
      <c r="P5" s="337" t="s">
        <v>580</v>
      </c>
      <c r="Q5" s="337" t="s">
        <v>581</v>
      </c>
      <c r="R5" s="337" t="s">
        <v>606</v>
      </c>
      <c r="S5" s="337" t="s">
        <v>724</v>
      </c>
      <c r="T5" s="337" t="s">
        <v>855</v>
      </c>
      <c r="U5" s="337" t="s">
        <v>791</v>
      </c>
      <c r="V5" s="337" t="s">
        <v>792</v>
      </c>
      <c r="W5" s="337" t="s">
        <v>793</v>
      </c>
      <c r="X5" s="337" t="s">
        <v>857</v>
      </c>
    </row>
    <row r="6" spans="1:24">
      <c r="A6" s="338">
        <v>3</v>
      </c>
      <c r="B6" s="297" t="s">
        <v>228</v>
      </c>
      <c r="C6" s="271" t="s">
        <v>229</v>
      </c>
      <c r="D6" s="271" t="s">
        <v>229</v>
      </c>
      <c r="E6" s="271" t="s">
        <v>229</v>
      </c>
      <c r="F6" s="271" t="s">
        <v>229</v>
      </c>
      <c r="G6" s="271" t="s">
        <v>229</v>
      </c>
      <c r="H6" s="271" t="s">
        <v>229</v>
      </c>
      <c r="I6" s="271" t="s">
        <v>229</v>
      </c>
      <c r="J6" s="337" t="s">
        <v>229</v>
      </c>
      <c r="K6" s="337" t="s">
        <v>229</v>
      </c>
      <c r="M6" s="707"/>
      <c r="N6" s="751"/>
      <c r="O6" s="707"/>
      <c r="P6" s="337" t="s">
        <v>685</v>
      </c>
      <c r="Q6" s="337" t="s">
        <v>685</v>
      </c>
      <c r="R6" s="337" t="s">
        <v>685</v>
      </c>
      <c r="S6" s="337" t="s">
        <v>685</v>
      </c>
      <c r="T6" s="337" t="s">
        <v>685</v>
      </c>
      <c r="U6" s="337" t="s">
        <v>685</v>
      </c>
      <c r="V6" s="337" t="s">
        <v>685</v>
      </c>
      <c r="W6" s="337" t="s">
        <v>685</v>
      </c>
      <c r="X6" s="337" t="s">
        <v>685</v>
      </c>
    </row>
    <row r="7" spans="1:24" ht="13.5" customHeight="1" thickBot="1">
      <c r="A7" s="339"/>
      <c r="B7" s="355" t="s">
        <v>230</v>
      </c>
      <c r="C7" s="299"/>
      <c r="D7" s="299"/>
      <c r="E7" s="299"/>
      <c r="F7" s="299"/>
      <c r="G7" s="299"/>
      <c r="H7" s="299"/>
      <c r="I7" s="299"/>
      <c r="J7" s="299"/>
      <c r="K7" s="299"/>
      <c r="M7" s="299"/>
      <c r="N7" s="299"/>
      <c r="O7" s="707"/>
      <c r="P7" s="352"/>
      <c r="Q7" s="352"/>
      <c r="R7" s="352"/>
      <c r="S7" s="352"/>
      <c r="T7" s="352"/>
      <c r="U7" s="354"/>
      <c r="V7" s="354"/>
      <c r="W7" s="354"/>
      <c r="X7" s="354"/>
    </row>
    <row r="8" spans="1:24">
      <c r="A8" s="338">
        <v>4</v>
      </c>
      <c r="B8" s="297" t="s">
        <v>231</v>
      </c>
      <c r="C8" s="271" t="s">
        <v>602</v>
      </c>
      <c r="D8" s="271" t="s">
        <v>602</v>
      </c>
      <c r="E8" s="271" t="s">
        <v>602</v>
      </c>
      <c r="F8" s="271" t="s">
        <v>602</v>
      </c>
      <c r="G8" s="271" t="s">
        <v>232</v>
      </c>
      <c r="H8" s="271" t="s">
        <v>232</v>
      </c>
      <c r="I8" s="271" t="s">
        <v>232</v>
      </c>
      <c r="J8" s="337" t="s">
        <v>232</v>
      </c>
      <c r="K8" s="337" t="s">
        <v>232</v>
      </c>
      <c r="M8" s="271" t="s">
        <v>232</v>
      </c>
      <c r="N8" s="271" t="s">
        <v>233</v>
      </c>
      <c r="O8" s="707"/>
      <c r="P8" s="337" t="s">
        <v>416</v>
      </c>
      <c r="Q8" s="337" t="s">
        <v>416</v>
      </c>
      <c r="R8" s="337" t="s">
        <v>416</v>
      </c>
      <c r="S8" s="337" t="s">
        <v>416</v>
      </c>
      <c r="T8" s="337" t="s">
        <v>416</v>
      </c>
      <c r="U8" s="337" t="s">
        <v>454</v>
      </c>
      <c r="V8" s="337" t="s">
        <v>454</v>
      </c>
      <c r="W8" s="337" t="s">
        <v>454</v>
      </c>
      <c r="X8" s="337" t="s">
        <v>454</v>
      </c>
    </row>
    <row r="9" spans="1:24">
      <c r="A9" s="338">
        <v>5</v>
      </c>
      <c r="B9" s="297" t="s">
        <v>234</v>
      </c>
      <c r="C9" s="271" t="s">
        <v>602</v>
      </c>
      <c r="D9" s="271" t="s">
        <v>602</v>
      </c>
      <c r="E9" s="271" t="s">
        <v>602</v>
      </c>
      <c r="F9" s="271" t="s">
        <v>602</v>
      </c>
      <c r="G9" s="271" t="s">
        <v>232</v>
      </c>
      <c r="H9" s="271" t="s">
        <v>232</v>
      </c>
      <c r="I9" s="271" t="s">
        <v>232</v>
      </c>
      <c r="J9" s="337" t="s">
        <v>232</v>
      </c>
      <c r="K9" s="337" t="s">
        <v>232</v>
      </c>
      <c r="M9" s="337" t="s">
        <v>560</v>
      </c>
      <c r="N9" s="271" t="s">
        <v>233</v>
      </c>
      <c r="O9" s="707"/>
      <c r="P9" s="337" t="s">
        <v>416</v>
      </c>
      <c r="Q9" s="337" t="s">
        <v>416</v>
      </c>
      <c r="R9" s="337" t="s">
        <v>416</v>
      </c>
      <c r="S9" s="337" t="s">
        <v>416</v>
      </c>
      <c r="T9" s="337" t="s">
        <v>416</v>
      </c>
      <c r="U9" s="337" t="s">
        <v>454</v>
      </c>
      <c r="V9" s="337" t="s">
        <v>454</v>
      </c>
      <c r="W9" s="337" t="s">
        <v>454</v>
      </c>
      <c r="X9" s="337" t="s">
        <v>454</v>
      </c>
    </row>
    <row r="10" spans="1:24">
      <c r="A10" s="338">
        <v>6</v>
      </c>
      <c r="B10" s="297" t="s">
        <v>235</v>
      </c>
      <c r="C10" s="271" t="s">
        <v>236</v>
      </c>
      <c r="D10" s="271" t="s">
        <v>236</v>
      </c>
      <c r="E10" s="271" t="s">
        <v>236</v>
      </c>
      <c r="F10" s="271" t="s">
        <v>236</v>
      </c>
      <c r="G10" s="271" t="s">
        <v>236</v>
      </c>
      <c r="H10" s="271" t="s">
        <v>236</v>
      </c>
      <c r="I10" s="271" t="s">
        <v>236</v>
      </c>
      <c r="J10" s="337" t="s">
        <v>236</v>
      </c>
      <c r="K10" s="337" t="s">
        <v>236</v>
      </c>
      <c r="M10" s="337" t="s">
        <v>559</v>
      </c>
      <c r="N10" s="337" t="s">
        <v>559</v>
      </c>
      <c r="P10" s="337" t="s">
        <v>559</v>
      </c>
      <c r="Q10" s="337" t="s">
        <v>559</v>
      </c>
      <c r="R10" s="337" t="s">
        <v>559</v>
      </c>
      <c r="S10" s="337" t="s">
        <v>559</v>
      </c>
      <c r="T10" s="337" t="s">
        <v>559</v>
      </c>
      <c r="U10" s="337" t="s">
        <v>559</v>
      </c>
      <c r="V10" s="337" t="s">
        <v>559</v>
      </c>
      <c r="W10" s="337" t="s">
        <v>559</v>
      </c>
      <c r="X10" s="337" t="s">
        <v>559</v>
      </c>
    </row>
    <row r="11" spans="1:24">
      <c r="A11" s="338">
        <v>7</v>
      </c>
      <c r="B11" s="89" t="s">
        <v>237</v>
      </c>
      <c r="C11" s="235"/>
      <c r="D11" s="235"/>
      <c r="E11" s="235"/>
      <c r="F11" s="235"/>
      <c r="G11" s="235"/>
      <c r="H11" s="235"/>
      <c r="I11" s="235"/>
      <c r="J11" s="357"/>
      <c r="K11" s="357"/>
      <c r="M11" s="337" t="s">
        <v>96</v>
      </c>
      <c r="N11" s="337" t="s">
        <v>518</v>
      </c>
      <c r="P11" s="337" t="s">
        <v>96</v>
      </c>
      <c r="Q11" s="337" t="s">
        <v>96</v>
      </c>
      <c r="R11" s="337" t="s">
        <v>96</v>
      </c>
      <c r="S11" s="337" t="s">
        <v>96</v>
      </c>
      <c r="T11" s="337" t="s">
        <v>96</v>
      </c>
      <c r="U11" s="337" t="s">
        <v>553</v>
      </c>
      <c r="V11" s="337" t="s">
        <v>553</v>
      </c>
      <c r="W11" s="337" t="s">
        <v>553</v>
      </c>
      <c r="X11" s="337" t="s">
        <v>553</v>
      </c>
    </row>
    <row r="12" spans="1:24">
      <c r="A12" s="338">
        <v>8</v>
      </c>
      <c r="B12" s="89" t="s">
        <v>238</v>
      </c>
      <c r="C12" s="271" t="s">
        <v>731</v>
      </c>
      <c r="D12" s="271" t="s">
        <v>686</v>
      </c>
      <c r="E12" s="271" t="s">
        <v>785</v>
      </c>
      <c r="F12" s="271" t="s">
        <v>701</v>
      </c>
      <c r="G12" s="271" t="s">
        <v>689</v>
      </c>
      <c r="H12" s="271" t="s">
        <v>786</v>
      </c>
      <c r="I12" s="271" t="s">
        <v>812</v>
      </c>
      <c r="J12" s="337" t="s">
        <v>861</v>
      </c>
      <c r="K12" s="337" t="s">
        <v>880</v>
      </c>
      <c r="M12" s="337">
        <v>225000000</v>
      </c>
      <c r="N12" s="337">
        <v>300000000</v>
      </c>
      <c r="P12" s="337">
        <v>300000000</v>
      </c>
      <c r="Q12" s="337">
        <v>180000000</v>
      </c>
      <c r="R12" s="337">
        <v>250000000</v>
      </c>
      <c r="S12" s="337">
        <v>100000000</v>
      </c>
      <c r="T12" s="337">
        <v>350000000</v>
      </c>
      <c r="U12" s="337">
        <v>250000000</v>
      </c>
      <c r="V12" s="337">
        <v>475000000</v>
      </c>
      <c r="W12" s="337">
        <v>400000000</v>
      </c>
      <c r="X12" s="337">
        <v>300000000</v>
      </c>
    </row>
    <row r="13" spans="1:24">
      <c r="A13" s="338">
        <v>9</v>
      </c>
      <c r="B13" s="89" t="s">
        <v>239</v>
      </c>
      <c r="C13" s="151" t="s">
        <v>603</v>
      </c>
      <c r="D13" s="271" t="s">
        <v>686</v>
      </c>
      <c r="E13" s="271" t="s">
        <v>785</v>
      </c>
      <c r="F13" s="271" t="s">
        <v>701</v>
      </c>
      <c r="G13" s="271" t="s">
        <v>689</v>
      </c>
      <c r="H13" s="271" t="s">
        <v>786</v>
      </c>
      <c r="I13" s="271" t="s">
        <v>812</v>
      </c>
      <c r="J13" s="337" t="s">
        <v>861</v>
      </c>
      <c r="K13" s="337" t="s">
        <v>880</v>
      </c>
      <c r="M13" s="337">
        <v>225000000</v>
      </c>
      <c r="N13" s="337">
        <v>300000000</v>
      </c>
      <c r="P13" s="337">
        <v>300000000</v>
      </c>
      <c r="Q13" s="337">
        <v>180000000</v>
      </c>
      <c r="R13" s="337">
        <v>250000000</v>
      </c>
      <c r="S13" s="337">
        <v>100000000</v>
      </c>
      <c r="T13" s="337">
        <v>350000000</v>
      </c>
      <c r="U13" s="337">
        <v>250000000</v>
      </c>
      <c r="V13" s="337">
        <v>475000000</v>
      </c>
      <c r="W13" s="337">
        <v>400000000</v>
      </c>
      <c r="X13" s="337">
        <v>300000000</v>
      </c>
    </row>
    <row r="14" spans="1:24">
      <c r="A14" s="338" t="s">
        <v>538</v>
      </c>
      <c r="B14" s="89" t="s">
        <v>240</v>
      </c>
      <c r="C14" s="271" t="s">
        <v>241</v>
      </c>
      <c r="D14" s="271" t="s">
        <v>241</v>
      </c>
      <c r="E14" s="271" t="s">
        <v>241</v>
      </c>
      <c r="F14" s="271" t="s">
        <v>241</v>
      </c>
      <c r="G14" s="271" t="s">
        <v>241</v>
      </c>
      <c r="H14" s="271" t="s">
        <v>241</v>
      </c>
      <c r="I14" s="271" t="s">
        <v>241</v>
      </c>
      <c r="J14" s="337" t="s">
        <v>241</v>
      </c>
      <c r="K14" s="337" t="s">
        <v>241</v>
      </c>
      <c r="M14" s="337">
        <v>100</v>
      </c>
      <c r="N14" s="337">
        <v>100</v>
      </c>
      <c r="P14" s="337">
        <v>100</v>
      </c>
      <c r="Q14" s="337">
        <v>100</v>
      </c>
      <c r="R14" s="337">
        <v>100</v>
      </c>
      <c r="S14" s="337">
        <v>100</v>
      </c>
      <c r="T14" s="337">
        <v>100</v>
      </c>
      <c r="U14" s="337">
        <v>100</v>
      </c>
      <c r="V14" s="337">
        <v>100</v>
      </c>
      <c r="W14" s="337">
        <v>100</v>
      </c>
      <c r="X14" s="337">
        <v>100</v>
      </c>
    </row>
    <row r="15" spans="1:24">
      <c r="A15" s="338" t="s">
        <v>539</v>
      </c>
      <c r="B15" s="89" t="s">
        <v>242</v>
      </c>
      <c r="C15" s="271" t="s">
        <v>243</v>
      </c>
      <c r="D15" s="271" t="s">
        <v>243</v>
      </c>
      <c r="E15" s="271" t="s">
        <v>243</v>
      </c>
      <c r="F15" s="271" t="s">
        <v>243</v>
      </c>
      <c r="G15" s="271" t="s">
        <v>243</v>
      </c>
      <c r="H15" s="271" t="s">
        <v>243</v>
      </c>
      <c r="I15" s="271" t="s">
        <v>243</v>
      </c>
      <c r="J15" s="337" t="s">
        <v>243</v>
      </c>
      <c r="K15" s="337" t="s">
        <v>243</v>
      </c>
      <c r="M15" s="337">
        <v>100</v>
      </c>
      <c r="N15" s="337">
        <v>100</v>
      </c>
      <c r="P15" s="337">
        <v>100</v>
      </c>
      <c r="Q15" s="337">
        <v>100</v>
      </c>
      <c r="R15" s="337">
        <v>100</v>
      </c>
      <c r="S15" s="337">
        <v>100</v>
      </c>
      <c r="T15" s="337">
        <v>100</v>
      </c>
      <c r="U15" s="337">
        <v>100</v>
      </c>
      <c r="V15" s="337">
        <v>100</v>
      </c>
      <c r="W15" s="337">
        <v>100</v>
      </c>
      <c r="X15" s="337">
        <v>100</v>
      </c>
    </row>
    <row r="16" spans="1:24">
      <c r="A16" s="338">
        <v>10</v>
      </c>
      <c r="B16" s="89" t="s">
        <v>244</v>
      </c>
      <c r="C16" s="271" t="s">
        <v>245</v>
      </c>
      <c r="D16" s="271" t="s">
        <v>245</v>
      </c>
      <c r="E16" s="271" t="s">
        <v>245</v>
      </c>
      <c r="F16" s="271" t="s">
        <v>245</v>
      </c>
      <c r="G16" s="337" t="s">
        <v>732</v>
      </c>
      <c r="H16" s="337" t="s">
        <v>732</v>
      </c>
      <c r="I16" s="337" t="s">
        <v>732</v>
      </c>
      <c r="J16" s="337" t="s">
        <v>732</v>
      </c>
      <c r="K16" s="337" t="s">
        <v>732</v>
      </c>
      <c r="M16" s="337" t="s">
        <v>549</v>
      </c>
      <c r="N16" s="337" t="s">
        <v>549</v>
      </c>
      <c r="P16" s="337" t="s">
        <v>523</v>
      </c>
      <c r="Q16" s="337" t="s">
        <v>523</v>
      </c>
      <c r="R16" s="337" t="s">
        <v>523</v>
      </c>
      <c r="S16" s="337" t="s">
        <v>523</v>
      </c>
      <c r="T16" s="337" t="s">
        <v>523</v>
      </c>
      <c r="U16" s="337" t="s">
        <v>549</v>
      </c>
      <c r="V16" s="337" t="s">
        <v>549</v>
      </c>
      <c r="W16" s="337" t="s">
        <v>549</v>
      </c>
      <c r="X16" s="337" t="s">
        <v>549</v>
      </c>
    </row>
    <row r="17" spans="1:24">
      <c r="A17" s="338">
        <v>11</v>
      </c>
      <c r="B17" s="89" t="s">
        <v>246</v>
      </c>
      <c r="C17" s="356">
        <v>42359</v>
      </c>
      <c r="D17" s="356">
        <v>42864</v>
      </c>
      <c r="E17" s="356">
        <v>42970</v>
      </c>
      <c r="F17" s="356">
        <v>43364</v>
      </c>
      <c r="G17" s="356">
        <v>42915</v>
      </c>
      <c r="H17" s="356">
        <v>43377</v>
      </c>
      <c r="I17" s="356">
        <v>43536</v>
      </c>
      <c r="J17" s="346">
        <v>43621</v>
      </c>
      <c r="K17" s="346">
        <v>43761</v>
      </c>
      <c r="M17" s="346">
        <v>43398</v>
      </c>
      <c r="N17" s="346">
        <v>43817</v>
      </c>
      <c r="P17" s="346">
        <v>42270</v>
      </c>
      <c r="Q17" s="346">
        <v>42276</v>
      </c>
      <c r="R17" s="346">
        <v>42531</v>
      </c>
      <c r="S17" s="346">
        <v>43070</v>
      </c>
      <c r="T17" s="346">
        <v>43585</v>
      </c>
      <c r="U17" s="346">
        <v>43273</v>
      </c>
      <c r="V17" s="346">
        <v>43406</v>
      </c>
      <c r="W17" s="346">
        <v>43381</v>
      </c>
      <c r="X17" s="346">
        <v>43489</v>
      </c>
    </row>
    <row r="18" spans="1:24">
      <c r="A18" s="338">
        <v>12</v>
      </c>
      <c r="B18" s="89" t="s">
        <v>247</v>
      </c>
      <c r="C18" s="271" t="s">
        <v>100</v>
      </c>
      <c r="D18" s="271" t="s">
        <v>100</v>
      </c>
      <c r="E18" s="271" t="s">
        <v>100</v>
      </c>
      <c r="F18" s="271" t="s">
        <v>100</v>
      </c>
      <c r="G18" s="271" t="s">
        <v>248</v>
      </c>
      <c r="H18" s="271" t="s">
        <v>248</v>
      </c>
      <c r="I18" s="271" t="s">
        <v>248</v>
      </c>
      <c r="J18" s="337" t="s">
        <v>248</v>
      </c>
      <c r="K18" s="337" t="s">
        <v>248</v>
      </c>
      <c r="M18" s="337" t="s">
        <v>248</v>
      </c>
      <c r="N18" s="337" t="s">
        <v>100</v>
      </c>
      <c r="P18" s="337" t="s">
        <v>248</v>
      </c>
      <c r="Q18" s="337" t="s">
        <v>248</v>
      </c>
      <c r="R18" s="337" t="s">
        <v>248</v>
      </c>
      <c r="S18" s="337" t="s">
        <v>248</v>
      </c>
      <c r="T18" s="337" t="s">
        <v>248</v>
      </c>
      <c r="U18" s="337" t="s">
        <v>100</v>
      </c>
      <c r="V18" s="337" t="s">
        <v>100</v>
      </c>
      <c r="W18" s="337" t="s">
        <v>100</v>
      </c>
      <c r="X18" s="337" t="s">
        <v>100</v>
      </c>
    </row>
    <row r="19" spans="1:24">
      <c r="A19" s="338">
        <v>13</v>
      </c>
      <c r="B19" s="89" t="s">
        <v>249</v>
      </c>
      <c r="C19" s="356">
        <v>47838</v>
      </c>
      <c r="D19" s="356">
        <v>46882</v>
      </c>
      <c r="E19" s="356">
        <v>47353</v>
      </c>
      <c r="F19" s="356">
        <v>47017</v>
      </c>
      <c r="G19" s="356" t="s">
        <v>250</v>
      </c>
      <c r="H19" s="356" t="s">
        <v>250</v>
      </c>
      <c r="I19" s="356" t="s">
        <v>250</v>
      </c>
      <c r="J19" s="346" t="s">
        <v>250</v>
      </c>
      <c r="K19" s="346" t="s">
        <v>250</v>
      </c>
      <c r="M19" s="337" t="s">
        <v>250</v>
      </c>
      <c r="N19" s="346">
        <v>47470</v>
      </c>
      <c r="P19" s="346"/>
      <c r="Q19" s="346"/>
      <c r="R19" s="346"/>
      <c r="S19" s="346"/>
      <c r="T19" s="346"/>
      <c r="U19" s="346">
        <v>46926</v>
      </c>
      <c r="V19" s="346">
        <v>47059</v>
      </c>
      <c r="W19" s="346">
        <v>47764</v>
      </c>
      <c r="X19" s="346">
        <v>47142</v>
      </c>
    </row>
    <row r="20" spans="1:24">
      <c r="A20" s="338">
        <v>14</v>
      </c>
      <c r="B20" s="89" t="s">
        <v>251</v>
      </c>
      <c r="C20" s="271" t="s">
        <v>604</v>
      </c>
      <c r="D20" s="271" t="s">
        <v>604</v>
      </c>
      <c r="E20" s="271" t="s">
        <v>252</v>
      </c>
      <c r="F20" s="271" t="s">
        <v>252</v>
      </c>
      <c r="G20" s="271" t="s">
        <v>252</v>
      </c>
      <c r="H20" s="271" t="s">
        <v>252</v>
      </c>
      <c r="I20" s="271" t="s">
        <v>252</v>
      </c>
      <c r="J20" s="337" t="s">
        <v>252</v>
      </c>
      <c r="K20" s="337" t="s">
        <v>252</v>
      </c>
      <c r="M20" s="337" t="s">
        <v>252</v>
      </c>
      <c r="N20" s="337" t="s">
        <v>252</v>
      </c>
      <c r="P20" s="346" t="s">
        <v>252</v>
      </c>
      <c r="Q20" s="346" t="s">
        <v>252</v>
      </c>
      <c r="R20" s="346" t="s">
        <v>252</v>
      </c>
      <c r="S20" s="346" t="s">
        <v>252</v>
      </c>
      <c r="T20" s="346" t="s">
        <v>252</v>
      </c>
      <c r="U20" s="346" t="s">
        <v>252</v>
      </c>
      <c r="V20" s="346" t="s">
        <v>252</v>
      </c>
      <c r="W20" s="346" t="s">
        <v>252</v>
      </c>
      <c r="X20" s="346" t="s">
        <v>252</v>
      </c>
    </row>
    <row r="21" spans="1:24" ht="36">
      <c r="A21" s="338">
        <v>15</v>
      </c>
      <c r="B21" s="89" t="s">
        <v>253</v>
      </c>
      <c r="C21" s="271" t="s">
        <v>276</v>
      </c>
      <c r="D21" s="271" t="s">
        <v>276</v>
      </c>
      <c r="E21" s="356">
        <v>45527</v>
      </c>
      <c r="F21" s="356">
        <v>45190</v>
      </c>
      <c r="G21" s="356">
        <v>44741</v>
      </c>
      <c r="H21" s="356">
        <v>45203</v>
      </c>
      <c r="I21" s="356">
        <v>45363</v>
      </c>
      <c r="J21" s="346">
        <v>45631</v>
      </c>
      <c r="K21" s="346">
        <v>45770</v>
      </c>
      <c r="M21" s="357" t="s">
        <v>876</v>
      </c>
      <c r="N21" s="357" t="s">
        <v>875</v>
      </c>
      <c r="P21" s="346">
        <v>44097</v>
      </c>
      <c r="Q21" s="346">
        <v>44103</v>
      </c>
      <c r="R21" s="346">
        <v>44322</v>
      </c>
      <c r="S21" s="346">
        <v>44896</v>
      </c>
      <c r="T21" s="346">
        <v>45412</v>
      </c>
      <c r="U21" s="346">
        <v>45099</v>
      </c>
      <c r="V21" s="346">
        <v>45232</v>
      </c>
      <c r="W21" s="346">
        <v>45938</v>
      </c>
      <c r="X21" s="346">
        <v>45315</v>
      </c>
    </row>
    <row r="22" spans="1:24">
      <c r="A22" s="338">
        <v>16</v>
      </c>
      <c r="B22" s="89" t="s">
        <v>254</v>
      </c>
      <c r="C22" s="271" t="s">
        <v>276</v>
      </c>
      <c r="D22" s="271" t="s">
        <v>276</v>
      </c>
      <c r="E22" s="271" t="s">
        <v>255</v>
      </c>
      <c r="F22" s="271" t="s">
        <v>255</v>
      </c>
      <c r="G22" s="271" t="s">
        <v>276</v>
      </c>
      <c r="H22" s="271" t="s">
        <v>276</v>
      </c>
      <c r="I22" s="271" t="s">
        <v>276</v>
      </c>
      <c r="J22" s="337" t="s">
        <v>276</v>
      </c>
      <c r="K22" s="337" t="s">
        <v>276</v>
      </c>
      <c r="M22" s="337" t="s">
        <v>550</v>
      </c>
      <c r="N22" s="337" t="s">
        <v>550</v>
      </c>
      <c r="P22" s="337" t="s">
        <v>550</v>
      </c>
      <c r="Q22" s="337" t="s">
        <v>550</v>
      </c>
      <c r="R22" s="337" t="s">
        <v>550</v>
      </c>
      <c r="S22" s="337" t="s">
        <v>550</v>
      </c>
      <c r="T22" s="337" t="s">
        <v>550</v>
      </c>
      <c r="U22" s="337" t="s">
        <v>550</v>
      </c>
      <c r="V22" s="337" t="s">
        <v>550</v>
      </c>
      <c r="W22" s="337" t="s">
        <v>550</v>
      </c>
      <c r="X22" s="337" t="s">
        <v>550</v>
      </c>
    </row>
    <row r="23" spans="1:24" ht="13.5" thickBot="1">
      <c r="A23" s="339"/>
      <c r="B23" s="300" t="s">
        <v>256</v>
      </c>
      <c r="C23" s="299"/>
      <c r="D23" s="299"/>
      <c r="E23" s="299"/>
      <c r="F23" s="299"/>
      <c r="G23" s="299"/>
      <c r="H23" s="299"/>
      <c r="I23" s="299"/>
      <c r="J23" s="299"/>
      <c r="K23" s="299"/>
      <c r="M23" s="299"/>
      <c r="N23" s="299"/>
      <c r="P23" s="353"/>
      <c r="Q23" s="353"/>
      <c r="R23" s="353"/>
      <c r="S23" s="353"/>
      <c r="T23" s="353"/>
      <c r="U23" s="353"/>
      <c r="V23" s="353"/>
      <c r="W23" s="353"/>
      <c r="X23" s="353"/>
    </row>
    <row r="24" spans="1:24">
      <c r="A24" s="338">
        <v>17</v>
      </c>
      <c r="B24" s="89" t="s">
        <v>257</v>
      </c>
      <c r="C24" s="271" t="s">
        <v>258</v>
      </c>
      <c r="D24" s="271" t="s">
        <v>259</v>
      </c>
      <c r="E24" s="271" t="s">
        <v>259</v>
      </c>
      <c r="F24" s="271" t="s">
        <v>259</v>
      </c>
      <c r="G24" s="271" t="s">
        <v>259</v>
      </c>
      <c r="H24" s="271" t="s">
        <v>259</v>
      </c>
      <c r="I24" s="271" t="s">
        <v>259</v>
      </c>
      <c r="J24" s="337" t="s">
        <v>259</v>
      </c>
      <c r="K24" s="337" t="s">
        <v>259</v>
      </c>
      <c r="M24" s="271" t="s">
        <v>259</v>
      </c>
      <c r="N24" s="271" t="s">
        <v>259</v>
      </c>
      <c r="P24" s="337" t="s">
        <v>259</v>
      </c>
      <c r="Q24" s="337" t="s">
        <v>259</v>
      </c>
      <c r="R24" s="337" t="s">
        <v>259</v>
      </c>
      <c r="S24" s="337" t="s">
        <v>259</v>
      </c>
      <c r="T24" s="337" t="s">
        <v>259</v>
      </c>
      <c r="U24" s="271" t="s">
        <v>259</v>
      </c>
      <c r="V24" s="271" t="s">
        <v>259</v>
      </c>
      <c r="W24" s="271" t="s">
        <v>259</v>
      </c>
      <c r="X24" s="271" t="s">
        <v>259</v>
      </c>
    </row>
    <row r="25" spans="1:24" ht="25.5" customHeight="1">
      <c r="A25" s="345">
        <v>18</v>
      </c>
      <c r="B25" s="89" t="s">
        <v>260</v>
      </c>
      <c r="C25" s="298" t="s">
        <v>605</v>
      </c>
      <c r="D25" s="298" t="s">
        <v>690</v>
      </c>
      <c r="E25" s="298" t="s">
        <v>702</v>
      </c>
      <c r="F25" s="298" t="s">
        <v>702</v>
      </c>
      <c r="G25" s="298" t="s">
        <v>691</v>
      </c>
      <c r="H25" s="298" t="s">
        <v>787</v>
      </c>
      <c r="I25" s="298" t="s">
        <v>787</v>
      </c>
      <c r="J25" s="760" t="s">
        <v>862</v>
      </c>
      <c r="K25" s="760" t="s">
        <v>881</v>
      </c>
      <c r="M25" s="350" t="s">
        <v>788</v>
      </c>
      <c r="N25" s="350" t="s">
        <v>874</v>
      </c>
      <c r="P25" s="337" t="s">
        <v>794</v>
      </c>
      <c r="Q25" s="337" t="s">
        <v>794</v>
      </c>
      <c r="R25" s="337" t="s">
        <v>795</v>
      </c>
      <c r="S25" s="337" t="s">
        <v>725</v>
      </c>
      <c r="T25" s="337" t="s">
        <v>856</v>
      </c>
      <c r="U25" s="337" t="s">
        <v>796</v>
      </c>
      <c r="V25" s="337" t="s">
        <v>797</v>
      </c>
      <c r="W25" s="337" t="s">
        <v>798</v>
      </c>
      <c r="X25" s="337" t="s">
        <v>858</v>
      </c>
    </row>
    <row r="26" spans="1:24">
      <c r="A26" s="338">
        <v>19</v>
      </c>
      <c r="B26" s="89" t="s">
        <v>261</v>
      </c>
      <c r="C26" s="271" t="s">
        <v>262</v>
      </c>
      <c r="D26" s="271" t="s">
        <v>262</v>
      </c>
      <c r="E26" s="271" t="s">
        <v>262</v>
      </c>
      <c r="F26" s="271" t="s">
        <v>262</v>
      </c>
      <c r="G26" s="271" t="s">
        <v>262</v>
      </c>
      <c r="H26" s="271" t="s">
        <v>262</v>
      </c>
      <c r="I26" s="271" t="s">
        <v>262</v>
      </c>
      <c r="J26" s="337" t="s">
        <v>262</v>
      </c>
      <c r="K26" s="337" t="s">
        <v>262</v>
      </c>
      <c r="M26" s="337" t="s">
        <v>262</v>
      </c>
      <c r="N26" s="337" t="s">
        <v>262</v>
      </c>
      <c r="P26" s="337" t="s">
        <v>262</v>
      </c>
      <c r="Q26" s="337" t="s">
        <v>262</v>
      </c>
      <c r="R26" s="337" t="s">
        <v>262</v>
      </c>
      <c r="S26" s="337" t="s">
        <v>262</v>
      </c>
      <c r="T26" s="337" t="s">
        <v>262</v>
      </c>
      <c r="U26" s="337" t="s">
        <v>262</v>
      </c>
      <c r="V26" s="337" t="s">
        <v>262</v>
      </c>
      <c r="W26" s="337" t="s">
        <v>262</v>
      </c>
      <c r="X26" s="337" t="s">
        <v>262</v>
      </c>
    </row>
    <row r="27" spans="1:24">
      <c r="A27" s="338" t="s">
        <v>263</v>
      </c>
      <c r="B27" s="89" t="s">
        <v>264</v>
      </c>
      <c r="C27" s="271" t="s">
        <v>265</v>
      </c>
      <c r="D27" s="271" t="s">
        <v>265</v>
      </c>
      <c r="E27" s="271" t="s">
        <v>265</v>
      </c>
      <c r="F27" s="271" t="s">
        <v>265</v>
      </c>
      <c r="G27" s="271" t="s">
        <v>789</v>
      </c>
      <c r="H27" s="271" t="s">
        <v>789</v>
      </c>
      <c r="I27" s="271" t="s">
        <v>789</v>
      </c>
      <c r="J27" s="337" t="s">
        <v>789</v>
      </c>
      <c r="K27" s="337" t="s">
        <v>789</v>
      </c>
      <c r="M27" s="337" t="s">
        <v>551</v>
      </c>
      <c r="N27" s="337" t="s">
        <v>265</v>
      </c>
      <c r="P27" s="337" t="s">
        <v>551</v>
      </c>
      <c r="Q27" s="337" t="s">
        <v>551</v>
      </c>
      <c r="R27" s="337" t="s">
        <v>551</v>
      </c>
      <c r="S27" s="337" t="s">
        <v>551</v>
      </c>
      <c r="T27" s="337" t="s">
        <v>551</v>
      </c>
      <c r="U27" s="337" t="s">
        <v>265</v>
      </c>
      <c r="V27" s="337" t="s">
        <v>265</v>
      </c>
      <c r="W27" s="337" t="s">
        <v>265</v>
      </c>
      <c r="X27" s="337" t="s">
        <v>265</v>
      </c>
    </row>
    <row r="28" spans="1:24">
      <c r="A28" s="338" t="s">
        <v>266</v>
      </c>
      <c r="B28" s="89" t="s">
        <v>267</v>
      </c>
      <c r="C28" s="271" t="s">
        <v>265</v>
      </c>
      <c r="D28" s="271" t="s">
        <v>265</v>
      </c>
      <c r="E28" s="271" t="s">
        <v>265</v>
      </c>
      <c r="F28" s="271" t="s">
        <v>265</v>
      </c>
      <c r="G28" s="271" t="s">
        <v>265</v>
      </c>
      <c r="H28" s="271" t="s">
        <v>265</v>
      </c>
      <c r="I28" s="271" t="s">
        <v>265</v>
      </c>
      <c r="J28" s="337" t="s">
        <v>265</v>
      </c>
      <c r="K28" s="337" t="s">
        <v>265</v>
      </c>
      <c r="M28" s="337" t="s">
        <v>551</v>
      </c>
      <c r="N28" s="337" t="s">
        <v>265</v>
      </c>
      <c r="P28" s="337" t="s">
        <v>551</v>
      </c>
      <c r="Q28" s="337" t="s">
        <v>551</v>
      </c>
      <c r="R28" s="337" t="s">
        <v>551</v>
      </c>
      <c r="S28" s="337" t="s">
        <v>551</v>
      </c>
      <c r="T28" s="337" t="s">
        <v>551</v>
      </c>
      <c r="U28" s="337" t="s">
        <v>265</v>
      </c>
      <c r="V28" s="337" t="s">
        <v>265</v>
      </c>
      <c r="W28" s="337" t="s">
        <v>265</v>
      </c>
      <c r="X28" s="337" t="s">
        <v>265</v>
      </c>
    </row>
    <row r="29" spans="1:24" ht="36" customHeight="1">
      <c r="A29" s="345">
        <v>21</v>
      </c>
      <c r="B29" s="89" t="s">
        <v>268</v>
      </c>
      <c r="C29" s="271" t="s">
        <v>262</v>
      </c>
      <c r="D29" s="271" t="s">
        <v>262</v>
      </c>
      <c r="E29" s="271" t="s">
        <v>262</v>
      </c>
      <c r="F29" s="271" t="s">
        <v>262</v>
      </c>
      <c r="G29" s="271" t="s">
        <v>262</v>
      </c>
      <c r="H29" s="271" t="s">
        <v>262</v>
      </c>
      <c r="I29" s="271" t="s">
        <v>262</v>
      </c>
      <c r="J29" s="337" t="s">
        <v>262</v>
      </c>
      <c r="K29" s="337" t="s">
        <v>262</v>
      </c>
      <c r="M29" s="337" t="s">
        <v>262</v>
      </c>
      <c r="N29" s="337" t="s">
        <v>262</v>
      </c>
      <c r="P29" s="337" t="s">
        <v>262</v>
      </c>
      <c r="Q29" s="337" t="s">
        <v>262</v>
      </c>
      <c r="R29" s="337" t="s">
        <v>262</v>
      </c>
      <c r="S29" s="337" t="s">
        <v>262</v>
      </c>
      <c r="T29" s="337" t="s">
        <v>262</v>
      </c>
      <c r="U29" s="337" t="s">
        <v>721</v>
      </c>
      <c r="V29" s="337" t="s">
        <v>721</v>
      </c>
      <c r="W29" s="337" t="s">
        <v>721</v>
      </c>
      <c r="X29" s="337" t="s">
        <v>721</v>
      </c>
    </row>
    <row r="30" spans="1:24">
      <c r="A30" s="338">
        <v>22</v>
      </c>
      <c r="B30" s="89" t="s">
        <v>269</v>
      </c>
      <c r="C30" s="271" t="s">
        <v>271</v>
      </c>
      <c r="D30" s="271" t="s">
        <v>271</v>
      </c>
      <c r="E30" s="271" t="s">
        <v>271</v>
      </c>
      <c r="F30" s="271" t="s">
        <v>271</v>
      </c>
      <c r="G30" s="271" t="s">
        <v>270</v>
      </c>
      <c r="H30" s="271" t="s">
        <v>270</v>
      </c>
      <c r="I30" s="271" t="s">
        <v>270</v>
      </c>
      <c r="J30" s="337" t="s">
        <v>270</v>
      </c>
      <c r="K30" s="337" t="s">
        <v>270</v>
      </c>
      <c r="M30" s="337" t="s">
        <v>262</v>
      </c>
      <c r="N30" s="337" t="s">
        <v>262</v>
      </c>
      <c r="P30" s="337" t="s">
        <v>271</v>
      </c>
      <c r="Q30" s="337" t="s">
        <v>271</v>
      </c>
      <c r="R30" s="337" t="s">
        <v>271</v>
      </c>
      <c r="S30" s="337" t="s">
        <v>271</v>
      </c>
      <c r="T30" s="337" t="s">
        <v>271</v>
      </c>
      <c r="U30" s="271" t="s">
        <v>270</v>
      </c>
      <c r="V30" s="271" t="s">
        <v>270</v>
      </c>
      <c r="W30" s="271" t="s">
        <v>270</v>
      </c>
      <c r="X30" s="271" t="s">
        <v>270</v>
      </c>
    </row>
    <row r="31" spans="1:24" ht="13.5" thickBot="1">
      <c r="A31" s="339"/>
      <c r="B31" s="300" t="s">
        <v>272</v>
      </c>
      <c r="C31" s="299"/>
      <c r="D31" s="299"/>
      <c r="E31" s="299"/>
      <c r="F31" s="299"/>
      <c r="G31" s="299"/>
      <c r="H31" s="299"/>
      <c r="I31" s="299"/>
      <c r="J31" s="299"/>
      <c r="K31" s="299"/>
      <c r="M31" s="299"/>
      <c r="N31" s="299"/>
      <c r="P31" s="353"/>
      <c r="Q31" s="353"/>
      <c r="R31" s="353"/>
      <c r="S31" s="353"/>
      <c r="T31" s="353"/>
      <c r="U31" s="353"/>
      <c r="V31" s="353"/>
      <c r="W31" s="353"/>
      <c r="X31" s="353"/>
    </row>
    <row r="32" spans="1:24" ht="13.5" customHeight="1">
      <c r="A32" s="345">
        <v>23</v>
      </c>
      <c r="B32" s="89" t="s">
        <v>273</v>
      </c>
      <c r="C32" s="271" t="s">
        <v>274</v>
      </c>
      <c r="D32" s="271" t="s">
        <v>274</v>
      </c>
      <c r="E32" s="271" t="s">
        <v>274</v>
      </c>
      <c r="F32" s="271" t="s">
        <v>274</v>
      </c>
      <c r="G32" s="271" t="s">
        <v>274</v>
      </c>
      <c r="H32" s="271" t="s">
        <v>274</v>
      </c>
      <c r="I32" s="271" t="s">
        <v>274</v>
      </c>
      <c r="J32" s="337" t="s">
        <v>274</v>
      </c>
      <c r="K32" s="337" t="s">
        <v>274</v>
      </c>
      <c r="M32" s="271" t="s">
        <v>274</v>
      </c>
      <c r="N32" s="271" t="s">
        <v>274</v>
      </c>
      <c r="P32" s="357" t="s">
        <v>721</v>
      </c>
      <c r="Q32" s="357" t="s">
        <v>721</v>
      </c>
      <c r="R32" s="357" t="s">
        <v>721</v>
      </c>
      <c r="S32" s="357" t="s">
        <v>721</v>
      </c>
      <c r="T32" s="357" t="s">
        <v>721</v>
      </c>
      <c r="U32" s="337" t="s">
        <v>274</v>
      </c>
      <c r="V32" s="337" t="s">
        <v>274</v>
      </c>
      <c r="W32" s="337" t="s">
        <v>274</v>
      </c>
      <c r="X32" s="337" t="s">
        <v>274</v>
      </c>
    </row>
    <row r="33" spans="1:24" ht="168" customHeight="1">
      <c r="A33" s="338">
        <v>24</v>
      </c>
      <c r="B33" s="89" t="s">
        <v>275</v>
      </c>
      <c r="C33" s="271" t="s">
        <v>276</v>
      </c>
      <c r="D33" s="271" t="s">
        <v>276</v>
      </c>
      <c r="E33" s="271" t="s">
        <v>276</v>
      </c>
      <c r="F33" s="271" t="s">
        <v>276</v>
      </c>
      <c r="G33" s="271" t="s">
        <v>276</v>
      </c>
      <c r="H33" s="271" t="s">
        <v>276</v>
      </c>
      <c r="I33" s="271" t="s">
        <v>276</v>
      </c>
      <c r="J33" s="337" t="s">
        <v>276</v>
      </c>
      <c r="K33" s="337" t="s">
        <v>276</v>
      </c>
      <c r="M33" s="337" t="s">
        <v>276</v>
      </c>
      <c r="N33" s="337" t="s">
        <v>276</v>
      </c>
      <c r="P33" s="357" t="s">
        <v>554</v>
      </c>
      <c r="Q33" s="357" t="s">
        <v>554</v>
      </c>
      <c r="R33" s="357" t="s">
        <v>554</v>
      </c>
      <c r="S33" s="357" t="s">
        <v>554</v>
      </c>
      <c r="T33" s="357" t="s">
        <v>554</v>
      </c>
      <c r="U33" s="337" t="s">
        <v>276</v>
      </c>
      <c r="V33" s="337" t="s">
        <v>276</v>
      </c>
      <c r="W33" s="337" t="s">
        <v>276</v>
      </c>
      <c r="X33" s="337" t="s">
        <v>276</v>
      </c>
    </row>
    <row r="34" spans="1:24" ht="12.75" customHeight="1">
      <c r="A34" s="338">
        <v>25</v>
      </c>
      <c r="B34" s="89" t="s">
        <v>277</v>
      </c>
      <c r="C34" s="271" t="s">
        <v>276</v>
      </c>
      <c r="D34" s="271" t="s">
        <v>276</v>
      </c>
      <c r="E34" s="271" t="s">
        <v>276</v>
      </c>
      <c r="F34" s="271" t="s">
        <v>276</v>
      </c>
      <c r="G34" s="271" t="s">
        <v>276</v>
      </c>
      <c r="H34" s="271" t="s">
        <v>276</v>
      </c>
      <c r="I34" s="271" t="s">
        <v>276</v>
      </c>
      <c r="J34" s="337" t="s">
        <v>276</v>
      </c>
      <c r="K34" s="337" t="s">
        <v>276</v>
      </c>
      <c r="M34" s="337" t="s">
        <v>276</v>
      </c>
      <c r="N34" s="337" t="s">
        <v>276</v>
      </c>
      <c r="P34" s="337" t="s">
        <v>722</v>
      </c>
      <c r="Q34" s="337" t="s">
        <v>722</v>
      </c>
      <c r="R34" s="337" t="s">
        <v>722</v>
      </c>
      <c r="S34" s="337" t="s">
        <v>722</v>
      </c>
      <c r="T34" s="337" t="s">
        <v>722</v>
      </c>
      <c r="U34" s="337" t="s">
        <v>276</v>
      </c>
      <c r="V34" s="337" t="s">
        <v>276</v>
      </c>
      <c r="W34" s="337" t="s">
        <v>276</v>
      </c>
      <c r="X34" s="337" t="s">
        <v>276</v>
      </c>
    </row>
    <row r="35" spans="1:24">
      <c r="A35" s="338">
        <v>26</v>
      </c>
      <c r="B35" s="89" t="s">
        <v>278</v>
      </c>
      <c r="C35" s="271" t="s">
        <v>276</v>
      </c>
      <c r="D35" s="271" t="s">
        <v>276</v>
      </c>
      <c r="E35" s="271" t="s">
        <v>276</v>
      </c>
      <c r="F35" s="271" t="s">
        <v>276</v>
      </c>
      <c r="G35" s="271" t="s">
        <v>276</v>
      </c>
      <c r="H35" s="271" t="s">
        <v>276</v>
      </c>
      <c r="I35" s="271" t="s">
        <v>276</v>
      </c>
      <c r="J35" s="337" t="s">
        <v>276</v>
      </c>
      <c r="K35" s="337" t="s">
        <v>276</v>
      </c>
      <c r="M35" s="337" t="s">
        <v>276</v>
      </c>
      <c r="N35" s="337" t="s">
        <v>276</v>
      </c>
      <c r="P35" s="337" t="s">
        <v>722</v>
      </c>
      <c r="Q35" s="337" t="s">
        <v>722</v>
      </c>
      <c r="R35" s="337" t="s">
        <v>722</v>
      </c>
      <c r="S35" s="337" t="s">
        <v>722</v>
      </c>
      <c r="T35" s="337" t="s">
        <v>722</v>
      </c>
      <c r="U35" s="337" t="s">
        <v>276</v>
      </c>
      <c r="V35" s="337" t="s">
        <v>276</v>
      </c>
      <c r="W35" s="337" t="s">
        <v>276</v>
      </c>
      <c r="X35" s="337" t="s">
        <v>276</v>
      </c>
    </row>
    <row r="36" spans="1:24">
      <c r="A36" s="338">
        <v>27</v>
      </c>
      <c r="B36" s="89" t="s">
        <v>279</v>
      </c>
      <c r="C36" s="271" t="s">
        <v>276</v>
      </c>
      <c r="D36" s="271" t="s">
        <v>276</v>
      </c>
      <c r="E36" s="271" t="s">
        <v>276</v>
      </c>
      <c r="F36" s="271" t="s">
        <v>276</v>
      </c>
      <c r="G36" s="271" t="s">
        <v>276</v>
      </c>
      <c r="H36" s="271" t="s">
        <v>276</v>
      </c>
      <c r="I36" s="271" t="s">
        <v>276</v>
      </c>
      <c r="J36" s="337" t="s">
        <v>276</v>
      </c>
      <c r="K36" s="337" t="s">
        <v>276</v>
      </c>
      <c r="M36" s="337" t="s">
        <v>276</v>
      </c>
      <c r="N36" s="337" t="s">
        <v>276</v>
      </c>
      <c r="P36" s="337" t="s">
        <v>722</v>
      </c>
      <c r="Q36" s="337" t="s">
        <v>722</v>
      </c>
      <c r="R36" s="337" t="s">
        <v>722</v>
      </c>
      <c r="S36" s="337" t="s">
        <v>722</v>
      </c>
      <c r="T36" s="337" t="s">
        <v>722</v>
      </c>
      <c r="U36" s="337" t="s">
        <v>276</v>
      </c>
      <c r="V36" s="337" t="s">
        <v>276</v>
      </c>
      <c r="W36" s="337" t="s">
        <v>276</v>
      </c>
      <c r="X36" s="337" t="s">
        <v>276</v>
      </c>
    </row>
    <row r="37" spans="1:24">
      <c r="A37" s="338">
        <v>28</v>
      </c>
      <c r="B37" s="89" t="s">
        <v>280</v>
      </c>
      <c r="C37" s="271" t="s">
        <v>276</v>
      </c>
      <c r="D37" s="271" t="s">
        <v>276</v>
      </c>
      <c r="E37" s="271" t="s">
        <v>276</v>
      </c>
      <c r="F37" s="271" t="s">
        <v>276</v>
      </c>
      <c r="G37" s="271" t="s">
        <v>276</v>
      </c>
      <c r="H37" s="271" t="s">
        <v>276</v>
      </c>
      <c r="I37" s="271" t="s">
        <v>276</v>
      </c>
      <c r="J37" s="337" t="s">
        <v>276</v>
      </c>
      <c r="K37" s="337" t="s">
        <v>276</v>
      </c>
      <c r="M37" s="337" t="s">
        <v>276</v>
      </c>
      <c r="N37" s="337" t="s">
        <v>276</v>
      </c>
      <c r="P37" s="337" t="s">
        <v>722</v>
      </c>
      <c r="Q37" s="337" t="s">
        <v>722</v>
      </c>
      <c r="R37" s="337" t="s">
        <v>722</v>
      </c>
      <c r="S37" s="337" t="s">
        <v>722</v>
      </c>
      <c r="T37" s="337" t="s">
        <v>722</v>
      </c>
      <c r="U37" s="337" t="s">
        <v>276</v>
      </c>
      <c r="V37" s="337" t="s">
        <v>276</v>
      </c>
      <c r="W37" s="337" t="s">
        <v>276</v>
      </c>
      <c r="X37" s="337" t="s">
        <v>276</v>
      </c>
    </row>
    <row r="38" spans="1:24">
      <c r="A38" s="338">
        <v>29</v>
      </c>
      <c r="B38" s="89" t="s">
        <v>281</v>
      </c>
      <c r="C38" s="271" t="s">
        <v>276</v>
      </c>
      <c r="D38" s="271" t="s">
        <v>276</v>
      </c>
      <c r="E38" s="271" t="s">
        <v>276</v>
      </c>
      <c r="F38" s="271" t="s">
        <v>276</v>
      </c>
      <c r="G38" s="271" t="s">
        <v>276</v>
      </c>
      <c r="H38" s="271" t="s">
        <v>276</v>
      </c>
      <c r="I38" s="271" t="s">
        <v>276</v>
      </c>
      <c r="J38" s="337" t="s">
        <v>276</v>
      </c>
      <c r="K38" s="337" t="s">
        <v>276</v>
      </c>
      <c r="M38" s="337" t="s">
        <v>276</v>
      </c>
      <c r="N38" s="337" t="s">
        <v>276</v>
      </c>
      <c r="P38" s="337" t="s">
        <v>722</v>
      </c>
      <c r="Q38" s="337" t="s">
        <v>722</v>
      </c>
      <c r="R38" s="337" t="s">
        <v>722</v>
      </c>
      <c r="S38" s="337" t="s">
        <v>722</v>
      </c>
      <c r="T38" s="337" t="s">
        <v>722</v>
      </c>
      <c r="U38" s="337" t="s">
        <v>276</v>
      </c>
      <c r="V38" s="337" t="s">
        <v>276</v>
      </c>
      <c r="W38" s="337" t="s">
        <v>276</v>
      </c>
      <c r="X38" s="337" t="s">
        <v>276</v>
      </c>
    </row>
    <row r="39" spans="1:24" ht="216" customHeight="1">
      <c r="A39" s="345">
        <v>30</v>
      </c>
      <c r="B39" s="89" t="s">
        <v>282</v>
      </c>
      <c r="C39" s="271" t="s">
        <v>276</v>
      </c>
      <c r="D39" s="271" t="s">
        <v>276</v>
      </c>
      <c r="E39" s="271" t="s">
        <v>276</v>
      </c>
      <c r="F39" s="271" t="s">
        <v>276</v>
      </c>
      <c r="G39" s="271" t="s">
        <v>252</v>
      </c>
      <c r="H39" s="271" t="s">
        <v>252</v>
      </c>
      <c r="I39" s="271" t="s">
        <v>252</v>
      </c>
      <c r="J39" s="337" t="s">
        <v>252</v>
      </c>
      <c r="K39" s="337" t="s">
        <v>252</v>
      </c>
      <c r="M39" s="337" t="s">
        <v>252</v>
      </c>
      <c r="N39" s="337" t="s">
        <v>262</v>
      </c>
      <c r="P39" s="357" t="s">
        <v>721</v>
      </c>
      <c r="Q39" s="357" t="s">
        <v>721</v>
      </c>
      <c r="R39" s="357" t="s">
        <v>721</v>
      </c>
      <c r="S39" s="357" t="s">
        <v>721</v>
      </c>
      <c r="T39" s="357" t="s">
        <v>721</v>
      </c>
      <c r="U39" s="337" t="s">
        <v>276</v>
      </c>
      <c r="V39" s="337" t="s">
        <v>276</v>
      </c>
      <c r="W39" s="337" t="s">
        <v>276</v>
      </c>
      <c r="X39" s="337" t="s">
        <v>276</v>
      </c>
    </row>
    <row r="40" spans="1:24" ht="216" customHeight="1">
      <c r="A40" s="345">
        <v>31</v>
      </c>
      <c r="B40" s="89" t="s">
        <v>283</v>
      </c>
      <c r="C40" s="271" t="s">
        <v>276</v>
      </c>
      <c r="D40" s="271" t="s">
        <v>276</v>
      </c>
      <c r="E40" s="271" t="s">
        <v>276</v>
      </c>
      <c r="F40" s="271" t="s">
        <v>276</v>
      </c>
      <c r="G40" s="235" t="s">
        <v>790</v>
      </c>
      <c r="H40" s="235" t="s">
        <v>790</v>
      </c>
      <c r="I40" s="235" t="s">
        <v>790</v>
      </c>
      <c r="J40" s="357" t="s">
        <v>790</v>
      </c>
      <c r="K40" s="357" t="s">
        <v>790</v>
      </c>
      <c r="M40" s="348" t="s">
        <v>801</v>
      </c>
      <c r="N40" s="337" t="s">
        <v>276</v>
      </c>
      <c r="P40" s="350" t="s">
        <v>723</v>
      </c>
      <c r="Q40" s="350" t="s">
        <v>723</v>
      </c>
      <c r="R40" s="350" t="s">
        <v>723</v>
      </c>
      <c r="S40" s="350" t="s">
        <v>723</v>
      </c>
      <c r="T40" s="350" t="s">
        <v>723</v>
      </c>
      <c r="U40" s="337" t="s">
        <v>276</v>
      </c>
      <c r="V40" s="337" t="s">
        <v>276</v>
      </c>
      <c r="W40" s="337" t="s">
        <v>276</v>
      </c>
      <c r="X40" s="337" t="s">
        <v>276</v>
      </c>
    </row>
    <row r="41" spans="1:24" ht="180.75" customHeight="1">
      <c r="A41" s="345">
        <v>32</v>
      </c>
      <c r="B41" s="89" t="s">
        <v>284</v>
      </c>
      <c r="C41" s="271" t="s">
        <v>276</v>
      </c>
      <c r="D41" s="271" t="s">
        <v>276</v>
      </c>
      <c r="E41" s="271" t="s">
        <v>276</v>
      </c>
      <c r="F41" s="271" t="s">
        <v>276</v>
      </c>
      <c r="G41" s="271" t="s">
        <v>285</v>
      </c>
      <c r="H41" s="271" t="s">
        <v>285</v>
      </c>
      <c r="I41" s="271" t="s">
        <v>285</v>
      </c>
      <c r="J41" s="337" t="s">
        <v>285</v>
      </c>
      <c r="K41" s="337" t="s">
        <v>285</v>
      </c>
      <c r="M41" s="337" t="s">
        <v>285</v>
      </c>
      <c r="N41" s="337" t="s">
        <v>276</v>
      </c>
      <c r="P41" s="357" t="s">
        <v>555</v>
      </c>
      <c r="Q41" s="357" t="s">
        <v>555</v>
      </c>
      <c r="R41" s="357" t="s">
        <v>555</v>
      </c>
      <c r="S41" s="357" t="s">
        <v>555</v>
      </c>
      <c r="T41" s="357" t="s">
        <v>555</v>
      </c>
      <c r="U41" s="337" t="s">
        <v>276</v>
      </c>
      <c r="V41" s="337" t="s">
        <v>276</v>
      </c>
      <c r="W41" s="337" t="s">
        <v>276</v>
      </c>
      <c r="X41" s="337" t="s">
        <v>276</v>
      </c>
    </row>
    <row r="42" spans="1:24">
      <c r="A42" s="338">
        <v>33</v>
      </c>
      <c r="B42" s="89" t="s">
        <v>286</v>
      </c>
      <c r="C42" s="271" t="s">
        <v>276</v>
      </c>
      <c r="D42" s="271" t="s">
        <v>276</v>
      </c>
      <c r="E42" s="271" t="s">
        <v>276</v>
      </c>
      <c r="F42" s="271" t="s">
        <v>276</v>
      </c>
      <c r="G42" s="271" t="s">
        <v>287</v>
      </c>
      <c r="H42" s="271" t="s">
        <v>287</v>
      </c>
      <c r="I42" s="271" t="s">
        <v>287</v>
      </c>
      <c r="J42" s="337" t="s">
        <v>287</v>
      </c>
      <c r="K42" s="337" t="s">
        <v>287</v>
      </c>
      <c r="M42" s="337" t="s">
        <v>287</v>
      </c>
      <c r="N42" s="337" t="s">
        <v>276</v>
      </c>
      <c r="P42" s="337" t="s">
        <v>287</v>
      </c>
      <c r="Q42" s="337" t="s">
        <v>287</v>
      </c>
      <c r="R42" s="337" t="s">
        <v>287</v>
      </c>
      <c r="S42" s="337" t="s">
        <v>287</v>
      </c>
      <c r="T42" s="337" t="s">
        <v>287</v>
      </c>
      <c r="U42" s="337" t="s">
        <v>276</v>
      </c>
      <c r="V42" s="337" t="s">
        <v>276</v>
      </c>
      <c r="W42" s="337" t="s">
        <v>276</v>
      </c>
      <c r="X42" s="337" t="s">
        <v>276</v>
      </c>
    </row>
    <row r="43" spans="1:24" ht="78.75" customHeight="1">
      <c r="A43" s="345">
        <v>34</v>
      </c>
      <c r="B43" s="89" t="s">
        <v>288</v>
      </c>
      <c r="C43" s="271" t="s">
        <v>276</v>
      </c>
      <c r="D43" s="271" t="s">
        <v>276</v>
      </c>
      <c r="E43" s="271" t="s">
        <v>276</v>
      </c>
      <c r="F43" s="271" t="s">
        <v>276</v>
      </c>
      <c r="G43" s="235" t="s">
        <v>692</v>
      </c>
      <c r="H43" s="235" t="s">
        <v>692</v>
      </c>
      <c r="I43" s="235" t="s">
        <v>692</v>
      </c>
      <c r="J43" s="337" t="s">
        <v>692</v>
      </c>
      <c r="K43" s="337" t="s">
        <v>692</v>
      </c>
      <c r="M43" s="351" t="s">
        <v>692</v>
      </c>
      <c r="N43" s="337" t="s">
        <v>276</v>
      </c>
      <c r="P43" s="357" t="s">
        <v>558</v>
      </c>
      <c r="Q43" s="357" t="s">
        <v>558</v>
      </c>
      <c r="R43" s="357" t="s">
        <v>558</v>
      </c>
      <c r="S43" s="357" t="s">
        <v>558</v>
      </c>
      <c r="T43" s="357" t="s">
        <v>558</v>
      </c>
      <c r="U43" s="337"/>
      <c r="V43" s="337"/>
      <c r="W43" s="337"/>
      <c r="X43" s="337"/>
    </row>
    <row r="44" spans="1:24" ht="78" customHeight="1">
      <c r="A44" s="345">
        <v>35</v>
      </c>
      <c r="B44" s="89" t="s">
        <v>289</v>
      </c>
      <c r="C44" s="271" t="s">
        <v>290</v>
      </c>
      <c r="D44" s="271" t="s">
        <v>290</v>
      </c>
      <c r="E44" s="271" t="s">
        <v>290</v>
      </c>
      <c r="F44" s="271" t="s">
        <v>290</v>
      </c>
      <c r="G44" s="271" t="s">
        <v>233</v>
      </c>
      <c r="H44" s="271" t="s">
        <v>233</v>
      </c>
      <c r="I44" s="271" t="s">
        <v>233</v>
      </c>
      <c r="J44" s="337" t="s">
        <v>233</v>
      </c>
      <c r="K44" s="337" t="s">
        <v>233</v>
      </c>
      <c r="M44" s="349" t="s">
        <v>799</v>
      </c>
      <c r="N44" s="347" t="s">
        <v>576</v>
      </c>
      <c r="P44" s="337" t="s">
        <v>553</v>
      </c>
      <c r="Q44" s="337" t="s">
        <v>553</v>
      </c>
      <c r="R44" s="337" t="s">
        <v>553</v>
      </c>
      <c r="S44" s="337" t="s">
        <v>553</v>
      </c>
      <c r="T44" s="337" t="s">
        <v>553</v>
      </c>
      <c r="U44" s="337" t="s">
        <v>556</v>
      </c>
      <c r="V44" s="337" t="s">
        <v>556</v>
      </c>
      <c r="W44" s="337" t="s">
        <v>556</v>
      </c>
      <c r="X44" s="337" t="s">
        <v>556</v>
      </c>
    </row>
    <row r="45" spans="1:24">
      <c r="A45" s="338">
        <v>36</v>
      </c>
      <c r="B45" s="89" t="s">
        <v>291</v>
      </c>
      <c r="C45" s="271" t="s">
        <v>276</v>
      </c>
      <c r="D45" s="271" t="s">
        <v>276</v>
      </c>
      <c r="E45" s="271" t="s">
        <v>276</v>
      </c>
      <c r="F45" s="271" t="s">
        <v>276</v>
      </c>
      <c r="G45" s="271" t="s">
        <v>276</v>
      </c>
      <c r="H45" s="271" t="s">
        <v>276</v>
      </c>
      <c r="I45" s="235" t="s">
        <v>276</v>
      </c>
      <c r="J45" s="357" t="s">
        <v>276</v>
      </c>
      <c r="K45" s="357" t="s">
        <v>276</v>
      </c>
      <c r="M45" s="337" t="s">
        <v>262</v>
      </c>
      <c r="N45" s="337" t="s">
        <v>262</v>
      </c>
      <c r="P45" s="337" t="s">
        <v>276</v>
      </c>
      <c r="Q45" s="337" t="s">
        <v>276</v>
      </c>
      <c r="R45" s="337" t="s">
        <v>276</v>
      </c>
      <c r="S45" s="337" t="s">
        <v>276</v>
      </c>
      <c r="T45" s="337" t="s">
        <v>276</v>
      </c>
      <c r="U45" s="337" t="s">
        <v>276</v>
      </c>
      <c r="V45" s="337" t="s">
        <v>276</v>
      </c>
      <c r="W45" s="337" t="s">
        <v>276</v>
      </c>
      <c r="X45" s="337" t="s">
        <v>276</v>
      </c>
    </row>
    <row r="46" spans="1:24" ht="12.75" customHeight="1">
      <c r="A46" s="338">
        <v>37</v>
      </c>
      <c r="B46" s="89" t="s">
        <v>292</v>
      </c>
      <c r="C46" s="271" t="s">
        <v>276</v>
      </c>
      <c r="D46" s="271" t="s">
        <v>276</v>
      </c>
      <c r="E46" s="271" t="s">
        <v>276</v>
      </c>
      <c r="F46" s="271" t="s">
        <v>276</v>
      </c>
      <c r="G46" s="271" t="s">
        <v>276</v>
      </c>
      <c r="H46" s="271" t="s">
        <v>276</v>
      </c>
      <c r="I46" s="271" t="s">
        <v>276</v>
      </c>
      <c r="J46" s="337" t="s">
        <v>276</v>
      </c>
      <c r="K46" s="337" t="s">
        <v>276</v>
      </c>
      <c r="M46" s="337" t="s">
        <v>276</v>
      </c>
      <c r="N46" s="337" t="s">
        <v>276</v>
      </c>
      <c r="P46" s="337" t="s">
        <v>276</v>
      </c>
      <c r="Q46" s="337" t="s">
        <v>276</v>
      </c>
      <c r="R46" s="337" t="s">
        <v>276</v>
      </c>
      <c r="S46" s="337" t="s">
        <v>276</v>
      </c>
      <c r="T46" s="337" t="s">
        <v>276</v>
      </c>
      <c r="U46" s="337" t="s">
        <v>276</v>
      </c>
      <c r="V46" s="337" t="s">
        <v>276</v>
      </c>
      <c r="W46" s="337" t="s">
        <v>276</v>
      </c>
      <c r="X46" s="337" t="s">
        <v>276</v>
      </c>
    </row>
    <row r="47" spans="1:24">
      <c r="B47" s="294"/>
      <c r="C47" s="294"/>
      <c r="D47" s="294"/>
      <c r="E47" s="294"/>
      <c r="F47" s="294"/>
      <c r="I47" s="271"/>
      <c r="M47" s="707"/>
      <c r="N47" s="751"/>
      <c r="O47" s="707"/>
      <c r="P47" s="90"/>
      <c r="Q47" s="90"/>
      <c r="R47" s="90"/>
      <c r="S47" s="90"/>
    </row>
    <row r="48" spans="1:24">
      <c r="I48" s="271"/>
    </row>
    <row r="49" spans="1:14">
      <c r="A49" s="89"/>
      <c r="B49" s="89"/>
      <c r="C49" s="409"/>
      <c r="D49" s="409"/>
      <c r="E49" s="409"/>
      <c r="F49" s="409"/>
      <c r="I49" s="271"/>
      <c r="M49" s="707"/>
      <c r="N49" s="751"/>
    </row>
    <row r="50" spans="1:14">
      <c r="A50" s="89"/>
      <c r="B50" s="89"/>
      <c r="C50" s="408"/>
      <c r="D50" s="408"/>
      <c r="E50" s="408"/>
      <c r="F50" s="408"/>
      <c r="I50" s="337"/>
      <c r="J50" s="337"/>
      <c r="K50" s="337"/>
    </row>
    <row r="51" spans="1:14">
      <c r="A51" s="89"/>
      <c r="B51" s="89"/>
      <c r="I51" s="356"/>
      <c r="J51" s="356"/>
      <c r="K51" s="356"/>
    </row>
    <row r="52" spans="1:14">
      <c r="I52" s="271"/>
      <c r="J52" s="271"/>
      <c r="K52" s="271"/>
    </row>
    <row r="53" spans="1:14">
      <c r="I53" s="356"/>
      <c r="J53" s="356"/>
      <c r="K53" s="356"/>
    </row>
    <row r="54" spans="1:14">
      <c r="I54" s="271"/>
      <c r="J54" s="271"/>
      <c r="K54" s="271"/>
    </row>
    <row r="55" spans="1:14">
      <c r="I55" s="356"/>
      <c r="J55" s="356"/>
      <c r="K55" s="356"/>
    </row>
    <row r="68" spans="9:11">
      <c r="I68" s="271"/>
      <c r="J68" s="271"/>
      <c r="K68" s="271"/>
    </row>
    <row r="69" spans="9:11">
      <c r="I69" s="271"/>
      <c r="J69" s="271"/>
      <c r="K69" s="271"/>
    </row>
    <row r="70" spans="9:11">
      <c r="I70" s="271"/>
      <c r="J70" s="271"/>
      <c r="K70" s="271"/>
    </row>
    <row r="71" spans="9:11">
      <c r="I71" s="271"/>
      <c r="J71" s="271"/>
      <c r="K71" s="271"/>
    </row>
    <row r="72" spans="9:11">
      <c r="I72" s="271"/>
      <c r="J72" s="271"/>
      <c r="K72" s="271"/>
    </row>
    <row r="73" spans="9:11">
      <c r="I73" s="271"/>
      <c r="J73" s="271"/>
      <c r="K73" s="271"/>
    </row>
    <row r="74" spans="9:11">
      <c r="I74" s="271"/>
      <c r="J74" s="271"/>
      <c r="K74" s="271"/>
    </row>
    <row r="75" spans="9:11">
      <c r="I75" s="271"/>
      <c r="J75" s="271"/>
      <c r="K75" s="271"/>
    </row>
    <row r="76" spans="9:11">
      <c r="I76" s="235"/>
      <c r="J76" s="235"/>
      <c r="K76" s="235"/>
    </row>
    <row r="77" spans="9:11">
      <c r="I77" s="271"/>
      <c r="J77" s="271"/>
      <c r="K77" s="271"/>
    </row>
    <row r="78" spans="9:11">
      <c r="I78" s="271"/>
      <c r="J78" s="271"/>
      <c r="K78" s="271"/>
    </row>
    <row r="79" spans="9:11">
      <c r="I79" s="271"/>
      <c r="J79" s="271"/>
      <c r="K79" s="271"/>
    </row>
    <row r="80" spans="9:11">
      <c r="I80" s="271"/>
      <c r="J80" s="271"/>
      <c r="K80" s="271"/>
    </row>
    <row r="81" spans="9:11">
      <c r="I81" s="271"/>
      <c r="J81" s="271"/>
      <c r="K81" s="271"/>
    </row>
    <row r="82" spans="9:11">
      <c r="I82" s="271"/>
      <c r="J82" s="271"/>
      <c r="K82" s="271"/>
    </row>
    <row r="83" spans="9:11">
      <c r="I83" s="271"/>
      <c r="J83" s="271"/>
      <c r="K83" s="271"/>
    </row>
  </sheetData>
  <pageMargins left="0.70866141732283472" right="0.70866141732283472" top="0.74803149606299213" bottom="0.74803149606299213" header="0.31496062992125984" footer="0.31496062992125984"/>
  <pageSetup paperSize="8" scale="15" fitToWidth="2" orientation="landscape" r:id="rId1"/>
  <headerFooter>
    <oddHeader>&amp;R&amp;"Calibri"&amp;12&amp;KFF9100F O R T R O L I G&amp;1#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M49"/>
  <sheetViews>
    <sheetView zoomScaleNormal="100" workbookViewId="0">
      <selection activeCell="B16" sqref="B16:D19"/>
    </sheetView>
  </sheetViews>
  <sheetFormatPr baseColWidth="10" defaultColWidth="11" defaultRowHeight="12"/>
  <cols>
    <col min="1" max="1" width="23.125" style="267" customWidth="1"/>
    <col min="2" max="2" width="9.5" style="267" customWidth="1"/>
    <col min="3" max="3" width="10.25" style="267" customWidth="1"/>
    <col min="4" max="4" width="11.25" style="267" customWidth="1"/>
    <col min="5" max="5" width="17.5" style="267" customWidth="1"/>
    <col min="6" max="6" width="10.625" style="267" customWidth="1"/>
    <col min="7" max="7" width="11.625" style="267" customWidth="1"/>
    <col min="8" max="16384" width="11" style="208"/>
  </cols>
  <sheetData>
    <row r="1" spans="1:7" ht="21">
      <c r="A1" s="685" t="s">
        <v>112</v>
      </c>
      <c r="B1" s="88"/>
      <c r="C1" s="88"/>
      <c r="D1" s="88"/>
      <c r="E1" s="88"/>
      <c r="F1" s="89"/>
    </row>
    <row r="2" spans="1:7" ht="14.25">
      <c r="A2" s="90" t="s">
        <v>698</v>
      </c>
      <c r="B2" s="90"/>
      <c r="C2" s="90"/>
      <c r="D2" s="274"/>
      <c r="E2" s="90"/>
      <c r="F2" s="89"/>
    </row>
    <row r="3" spans="1:7">
      <c r="A3" s="90" t="s">
        <v>109</v>
      </c>
      <c r="B3" s="90"/>
      <c r="C3" s="90"/>
      <c r="D3" s="90"/>
      <c r="E3" s="90"/>
      <c r="F3" s="89"/>
    </row>
    <row r="4" spans="1:7" ht="12" customHeight="1">
      <c r="A4" s="843" t="s">
        <v>703</v>
      </c>
      <c r="B4" s="843"/>
      <c r="C4" s="843"/>
      <c r="D4" s="843"/>
      <c r="E4" s="843"/>
      <c r="F4" s="89"/>
    </row>
    <row r="5" spans="1:7">
      <c r="A5" s="89" t="s">
        <v>679</v>
      </c>
      <c r="B5" s="91"/>
      <c r="C5" s="91"/>
      <c r="D5" s="92"/>
      <c r="E5" s="89"/>
      <c r="F5" s="89"/>
    </row>
    <row r="6" spans="1:7">
      <c r="A6" s="89"/>
      <c r="B6" s="91"/>
      <c r="C6" s="91"/>
      <c r="D6" s="92"/>
      <c r="E6" s="89"/>
      <c r="F6" s="89"/>
    </row>
    <row r="7" spans="1:7">
      <c r="A7" s="89"/>
      <c r="B7" s="91"/>
      <c r="C7" s="91"/>
      <c r="D7" s="92"/>
      <c r="E7" s="89"/>
      <c r="F7" s="89"/>
    </row>
    <row r="8" spans="1:7" ht="21">
      <c r="A8" s="685" t="s">
        <v>113</v>
      </c>
      <c r="B8" s="91"/>
      <c r="C8" s="91"/>
      <c r="D8" s="92"/>
      <c r="E8" s="89"/>
      <c r="F8" s="89"/>
      <c r="G8" s="402"/>
    </row>
    <row r="9" spans="1:7">
      <c r="A9" s="90" t="s">
        <v>699</v>
      </c>
      <c r="B9" s="90"/>
      <c r="C9" s="90"/>
      <c r="D9" s="90"/>
      <c r="E9" s="90"/>
      <c r="F9" s="89"/>
      <c r="G9" s="402"/>
    </row>
    <row r="10" spans="1:7" s="267" customFormat="1">
      <c r="A10" s="90" t="s">
        <v>198</v>
      </c>
      <c r="B10" s="90"/>
      <c r="C10" s="90"/>
      <c r="D10" s="90"/>
      <c r="E10" s="90"/>
      <c r="F10" s="89"/>
      <c r="G10" s="402"/>
    </row>
    <row r="11" spans="1:7" s="267" customFormat="1">
      <c r="A11" s="89"/>
      <c r="B11" s="91"/>
      <c r="C11" s="91"/>
      <c r="D11" s="92"/>
      <c r="E11" s="89"/>
      <c r="F11" s="89"/>
      <c r="G11" s="402"/>
    </row>
    <row r="13" spans="1:7" ht="21">
      <c r="A13" s="685" t="s">
        <v>112</v>
      </c>
      <c r="B13" s="402"/>
      <c r="C13" s="402"/>
    </row>
    <row r="15" spans="1:7" ht="39" thickBot="1">
      <c r="A15" s="77" t="s">
        <v>104</v>
      </c>
      <c r="B15" s="93" t="s">
        <v>908</v>
      </c>
      <c r="C15" s="93" t="s">
        <v>913</v>
      </c>
      <c r="D15" s="93" t="s">
        <v>909</v>
      </c>
      <c r="E15" s="94" t="s">
        <v>910</v>
      </c>
      <c r="F15" s="94" t="s">
        <v>911</v>
      </c>
      <c r="G15" s="94" t="s">
        <v>865</v>
      </c>
    </row>
    <row r="16" spans="1:7">
      <c r="A16" s="267" t="s">
        <v>810</v>
      </c>
      <c r="B16" s="275">
        <v>2.21</v>
      </c>
      <c r="C16" s="19">
        <v>1239</v>
      </c>
      <c r="D16" s="509">
        <v>23.32</v>
      </c>
      <c r="E16" s="275">
        <v>2.21</v>
      </c>
      <c r="F16" s="19">
        <v>1133</v>
      </c>
      <c r="G16" s="509">
        <v>25.71</v>
      </c>
    </row>
    <row r="17" spans="1:7" ht="14.25" customHeight="1">
      <c r="A17" s="267" t="s">
        <v>93</v>
      </c>
      <c r="B17" s="275">
        <v>15.63</v>
      </c>
      <c r="C17" s="19">
        <v>1563</v>
      </c>
      <c r="D17" s="509">
        <v>20.28</v>
      </c>
      <c r="E17" s="275">
        <v>15.63</v>
      </c>
      <c r="F17" s="19">
        <v>1542</v>
      </c>
      <c r="G17" s="509">
        <v>20.56</v>
      </c>
    </row>
    <row r="18" spans="1:7" s="267" customFormat="1" ht="14.25">
      <c r="A18" s="267" t="s">
        <v>680</v>
      </c>
      <c r="B18" s="275">
        <v>35.020000000000003</v>
      </c>
      <c r="C18" s="19">
        <v>6397</v>
      </c>
      <c r="D18" s="509">
        <v>24.69</v>
      </c>
      <c r="E18" s="275">
        <v>35.020000000000003</v>
      </c>
      <c r="F18" s="19">
        <v>6126</v>
      </c>
      <c r="G18" s="509">
        <v>25.23</v>
      </c>
    </row>
    <row r="19" spans="1:7" ht="14.25" customHeight="1">
      <c r="A19" s="21" t="s">
        <v>681</v>
      </c>
      <c r="B19" s="276">
        <v>17.829999999999998</v>
      </c>
      <c r="C19" s="227">
        <v>877</v>
      </c>
      <c r="D19" s="508">
        <v>20</v>
      </c>
      <c r="E19" s="276">
        <v>17.829999999999998</v>
      </c>
      <c r="F19" s="227">
        <v>916</v>
      </c>
      <c r="G19" s="508">
        <v>18.64</v>
      </c>
    </row>
    <row r="20" spans="1:7">
      <c r="B20" s="70"/>
      <c r="C20" s="70"/>
    </row>
    <row r="21" spans="1:7" ht="14.25">
      <c r="A21" s="95" t="s">
        <v>912</v>
      </c>
      <c r="B21" s="70"/>
      <c r="C21" s="70"/>
    </row>
    <row r="23" spans="1:7">
      <c r="A23" s="402" t="s">
        <v>189</v>
      </c>
      <c r="B23" s="402"/>
      <c r="C23" s="402"/>
      <c r="D23" s="402"/>
      <c r="E23" s="402"/>
    </row>
    <row r="24" spans="1:7">
      <c r="A24" s="267" t="s">
        <v>682</v>
      </c>
    </row>
    <row r="36" spans="6:13" ht="14.25">
      <c r="F36" s="95"/>
      <c r="M36" s="70"/>
    </row>
    <row r="37" spans="6:13">
      <c r="M37" s="70"/>
    </row>
    <row r="38" spans="6:13">
      <c r="M38" s="70"/>
    </row>
    <row r="49" spans="2:2">
      <c r="B49" s="715"/>
    </row>
  </sheetData>
  <mergeCells count="1">
    <mergeCell ref="A4:E4"/>
  </mergeCells>
  <pageMargins left="0.74803149606299213" right="0.74803149606299213" top="0.98425196850393704" bottom="0.98425196850393704" header="0.51181102362204722" footer="0.51181102362204722"/>
  <pageSetup paperSize="9" scale="81" fitToHeight="2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5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  <pageSetUpPr fitToPage="1"/>
  </sheetPr>
  <dimension ref="A1:F151"/>
  <sheetViews>
    <sheetView topLeftCell="A91" zoomScale="85" zoomScaleNormal="85" workbookViewId="0">
      <selection activeCell="C134" sqref="C134"/>
    </sheetView>
  </sheetViews>
  <sheetFormatPr baseColWidth="10" defaultColWidth="11" defaultRowHeight="12.75"/>
  <cols>
    <col min="1" max="1" width="4.5" style="402" customWidth="1"/>
    <col min="2" max="2" width="103" style="402" customWidth="1"/>
    <col min="3" max="3" width="32.5" style="402" customWidth="1"/>
    <col min="4" max="4" width="45.25" style="402" customWidth="1"/>
    <col min="5" max="5" width="32.5" style="402" customWidth="1"/>
    <col min="6" max="6" width="11" style="402"/>
    <col min="7" max="16384" width="11" style="218"/>
  </cols>
  <sheetData>
    <row r="1" spans="1:6" ht="21">
      <c r="A1" s="685" t="s">
        <v>597</v>
      </c>
      <c r="B1" s="707"/>
      <c r="C1" s="707"/>
      <c r="D1" s="707"/>
      <c r="E1" s="707"/>
      <c r="F1" s="707"/>
    </row>
    <row r="2" spans="1:6" ht="15">
      <c r="A2" s="383"/>
      <c r="B2" s="707"/>
      <c r="C2" s="707"/>
      <c r="D2" s="707"/>
      <c r="E2" s="707"/>
      <c r="F2" s="707"/>
    </row>
    <row r="3" spans="1:6" ht="15">
      <c r="A3" s="384"/>
      <c r="B3" s="707"/>
      <c r="C3" s="707"/>
      <c r="D3" s="707"/>
      <c r="E3" s="707"/>
      <c r="F3" s="707"/>
    </row>
    <row r="4" spans="1:6" ht="15.75" thickBot="1">
      <c r="A4" s="384" t="s">
        <v>577</v>
      </c>
      <c r="B4" s="314" t="s">
        <v>293</v>
      </c>
      <c r="C4" s="309" t="s">
        <v>529</v>
      </c>
      <c r="D4" s="301" t="s">
        <v>527</v>
      </c>
      <c r="E4" s="309" t="s">
        <v>528</v>
      </c>
      <c r="F4" s="707"/>
    </row>
    <row r="5" spans="1:6" ht="15">
      <c r="A5" s="384" t="s">
        <v>578</v>
      </c>
      <c r="B5" s="91" t="s">
        <v>294</v>
      </c>
      <c r="C5" s="278">
        <v>7980607.6880000001</v>
      </c>
      <c r="D5" s="235" t="s">
        <v>295</v>
      </c>
      <c r="E5" s="271" t="s">
        <v>276</v>
      </c>
      <c r="F5" s="707"/>
    </row>
    <row r="6" spans="1:6" ht="15">
      <c r="A6" s="382" t="s">
        <v>579</v>
      </c>
      <c r="B6" s="89" t="s">
        <v>296</v>
      </c>
      <c r="C6" s="278">
        <v>7980607.6880000001</v>
      </c>
      <c r="D6" s="312"/>
      <c r="E6" s="271" t="s">
        <v>276</v>
      </c>
      <c r="F6" s="707"/>
    </row>
    <row r="7" spans="1:6">
      <c r="A7" s="302"/>
      <c r="B7" s="89" t="s">
        <v>297</v>
      </c>
      <c r="C7" s="278"/>
      <c r="D7" s="312"/>
      <c r="E7" s="271" t="s">
        <v>276</v>
      </c>
      <c r="F7" s="707"/>
    </row>
    <row r="8" spans="1:6">
      <c r="A8" s="302"/>
      <c r="B8" s="89" t="s">
        <v>298</v>
      </c>
      <c r="C8" s="278"/>
      <c r="D8" s="312"/>
      <c r="E8" s="271" t="s">
        <v>276</v>
      </c>
      <c r="F8" s="707"/>
    </row>
    <row r="9" spans="1:6">
      <c r="A9" s="302">
        <v>2</v>
      </c>
      <c r="B9" s="229" t="s">
        <v>299</v>
      </c>
      <c r="C9" s="278">
        <v>15521179.001</v>
      </c>
      <c r="D9" s="271" t="s">
        <v>300</v>
      </c>
      <c r="E9" s="271" t="s">
        <v>276</v>
      </c>
      <c r="F9" s="707"/>
    </row>
    <row r="10" spans="1:6">
      <c r="A10" s="302">
        <v>3</v>
      </c>
      <c r="B10" s="229" t="s">
        <v>301</v>
      </c>
      <c r="C10" s="278">
        <v>-565058.78399999999</v>
      </c>
      <c r="D10" s="311" t="s">
        <v>302</v>
      </c>
      <c r="E10" s="271" t="s">
        <v>276</v>
      </c>
      <c r="F10" s="707"/>
    </row>
    <row r="11" spans="1:6">
      <c r="A11" s="302" t="s">
        <v>303</v>
      </c>
      <c r="B11" s="89" t="s">
        <v>304</v>
      </c>
      <c r="C11" s="278"/>
      <c r="D11" s="312" t="s">
        <v>305</v>
      </c>
      <c r="E11" s="271" t="s">
        <v>276</v>
      </c>
      <c r="F11" s="707"/>
    </row>
    <row r="12" spans="1:6" ht="12.75" customHeight="1">
      <c r="A12" s="302">
        <v>4</v>
      </c>
      <c r="B12" s="229" t="s">
        <v>306</v>
      </c>
      <c r="C12" s="278"/>
      <c r="D12" s="312"/>
      <c r="E12" s="271" t="s">
        <v>276</v>
      </c>
      <c r="F12" s="707"/>
    </row>
    <row r="13" spans="1:6" ht="12.75" customHeight="1">
      <c r="A13" s="302"/>
      <c r="B13" s="229" t="s">
        <v>307</v>
      </c>
      <c r="C13" s="278"/>
      <c r="D13" s="312"/>
      <c r="E13" s="271" t="s">
        <v>276</v>
      </c>
      <c r="F13" s="707"/>
    </row>
    <row r="14" spans="1:6">
      <c r="A14" s="302">
        <v>5</v>
      </c>
      <c r="B14" s="89" t="s">
        <v>308</v>
      </c>
      <c r="C14" s="278">
        <v>0</v>
      </c>
      <c r="D14" s="312">
        <v>84</v>
      </c>
      <c r="E14" s="271" t="s">
        <v>276</v>
      </c>
      <c r="F14" s="707"/>
    </row>
    <row r="15" spans="1:6" ht="12.75" customHeight="1">
      <c r="A15" s="302" t="s">
        <v>309</v>
      </c>
      <c r="B15" s="229" t="s">
        <v>310</v>
      </c>
      <c r="C15" s="278">
        <v>110491.67</v>
      </c>
      <c r="D15" s="312" t="s">
        <v>311</v>
      </c>
      <c r="E15" s="271" t="s">
        <v>276</v>
      </c>
      <c r="F15" s="707"/>
    </row>
    <row r="16" spans="1:6">
      <c r="A16" s="302">
        <v>6</v>
      </c>
      <c r="B16" s="305" t="s">
        <v>312</v>
      </c>
      <c r="C16" s="278">
        <f>SUM(C6:C15)</f>
        <v>23047219.575000003</v>
      </c>
      <c r="D16" s="317" t="s">
        <v>313</v>
      </c>
      <c r="E16" s="271" t="s">
        <v>276</v>
      </c>
      <c r="F16" s="707"/>
    </row>
    <row r="17" spans="1:6">
      <c r="A17" s="876"/>
      <c r="B17" s="876"/>
      <c r="C17" s="876"/>
      <c r="D17" s="876"/>
      <c r="E17" s="876"/>
      <c r="F17" s="707"/>
    </row>
    <row r="18" spans="1:6" ht="13.5" thickBot="1">
      <c r="A18" s="339"/>
      <c r="B18" s="310" t="s">
        <v>314</v>
      </c>
      <c r="C18" s="310"/>
      <c r="D18" s="310"/>
      <c r="E18" s="310"/>
      <c r="F18" s="707"/>
    </row>
    <row r="19" spans="1:6" ht="12.75" customHeight="1">
      <c r="A19" s="302">
        <v>7</v>
      </c>
      <c r="B19" s="229" t="s">
        <v>315</v>
      </c>
      <c r="C19" s="278">
        <v>-50283.786</v>
      </c>
      <c r="D19" s="312" t="s">
        <v>316</v>
      </c>
      <c r="E19" s="271" t="s">
        <v>276</v>
      </c>
      <c r="F19" s="707"/>
    </row>
    <row r="20" spans="1:6" ht="12.75" customHeight="1">
      <c r="A20" s="302">
        <v>8</v>
      </c>
      <c r="B20" s="229" t="s">
        <v>317</v>
      </c>
      <c r="C20" s="278">
        <v>-310531.03600000002</v>
      </c>
      <c r="D20" s="235" t="s">
        <v>318</v>
      </c>
      <c r="E20" s="271" t="s">
        <v>276</v>
      </c>
      <c r="F20" s="707"/>
    </row>
    <row r="21" spans="1:6">
      <c r="A21" s="302">
        <v>9</v>
      </c>
      <c r="B21" s="229" t="s">
        <v>319</v>
      </c>
      <c r="C21" s="278"/>
      <c r="D21" s="271"/>
      <c r="E21" s="271" t="s">
        <v>276</v>
      </c>
      <c r="F21" s="707"/>
    </row>
    <row r="22" spans="1:6" ht="12.75" customHeight="1">
      <c r="A22" s="302">
        <v>10</v>
      </c>
      <c r="B22" s="229" t="s">
        <v>320</v>
      </c>
      <c r="C22" s="278">
        <v>-21817.081999999999</v>
      </c>
      <c r="D22" s="311" t="s">
        <v>321</v>
      </c>
      <c r="E22" s="271" t="s">
        <v>276</v>
      </c>
      <c r="F22" s="707"/>
    </row>
    <row r="23" spans="1:6" ht="12.75" customHeight="1">
      <c r="A23" s="302">
        <v>11</v>
      </c>
      <c r="B23" s="229" t="s">
        <v>322</v>
      </c>
      <c r="C23" s="278">
        <v>0</v>
      </c>
      <c r="D23" s="312" t="s">
        <v>323</v>
      </c>
      <c r="E23" s="271" t="s">
        <v>276</v>
      </c>
      <c r="F23" s="707"/>
    </row>
    <row r="24" spans="1:6" ht="12.75" customHeight="1">
      <c r="A24" s="302">
        <v>12</v>
      </c>
      <c r="B24" s="304" t="s">
        <v>324</v>
      </c>
      <c r="C24" s="278">
        <v>-247043.50099999999</v>
      </c>
      <c r="D24" s="311" t="s">
        <v>325</v>
      </c>
      <c r="E24" s="271" t="s">
        <v>276</v>
      </c>
      <c r="F24" s="707"/>
    </row>
    <row r="25" spans="1:6" ht="12.75" customHeight="1">
      <c r="A25" s="302">
        <v>13</v>
      </c>
      <c r="B25" s="229" t="s">
        <v>326</v>
      </c>
      <c r="C25" s="278">
        <v>0</v>
      </c>
      <c r="D25" s="312" t="s">
        <v>327</v>
      </c>
      <c r="E25" s="271" t="s">
        <v>276</v>
      </c>
      <c r="F25" s="707"/>
    </row>
    <row r="26" spans="1:6" ht="12.75" customHeight="1">
      <c r="A26" s="302">
        <v>14</v>
      </c>
      <c r="B26" s="229" t="s">
        <v>328</v>
      </c>
      <c r="C26" s="278">
        <v>0</v>
      </c>
      <c r="D26" s="235" t="s">
        <v>329</v>
      </c>
      <c r="E26" s="271" t="s">
        <v>276</v>
      </c>
      <c r="F26" s="707"/>
    </row>
    <row r="27" spans="1:6">
      <c r="A27" s="302">
        <v>15</v>
      </c>
      <c r="B27" s="229" t="s">
        <v>330</v>
      </c>
      <c r="C27" s="278">
        <v>0</v>
      </c>
      <c r="D27" s="235" t="s">
        <v>331</v>
      </c>
      <c r="E27" s="271" t="s">
        <v>276</v>
      </c>
      <c r="F27" s="707"/>
    </row>
    <row r="28" spans="1:6" ht="12.75" customHeight="1">
      <c r="A28" s="302">
        <v>16</v>
      </c>
      <c r="B28" s="229" t="s">
        <v>332</v>
      </c>
      <c r="C28" s="278">
        <v>0</v>
      </c>
      <c r="D28" s="235" t="s">
        <v>333</v>
      </c>
      <c r="E28" s="271" t="s">
        <v>276</v>
      </c>
      <c r="F28" s="707"/>
    </row>
    <row r="29" spans="1:6" ht="12.75" customHeight="1">
      <c r="A29" s="302">
        <v>17</v>
      </c>
      <c r="B29" s="304" t="s">
        <v>334</v>
      </c>
      <c r="C29" s="278">
        <v>0</v>
      </c>
      <c r="D29" s="311" t="s">
        <v>335</v>
      </c>
      <c r="E29" s="271" t="s">
        <v>276</v>
      </c>
      <c r="F29" s="707"/>
    </row>
    <row r="30" spans="1:6" ht="25.5" customHeight="1">
      <c r="A30" s="302">
        <v>18</v>
      </c>
      <c r="B30" s="304" t="s">
        <v>336</v>
      </c>
      <c r="C30" s="278">
        <v>0</v>
      </c>
      <c r="D30" s="311" t="s">
        <v>337</v>
      </c>
      <c r="E30" s="271" t="s">
        <v>276</v>
      </c>
      <c r="F30" s="707"/>
    </row>
    <row r="31" spans="1:6" ht="25.5" customHeight="1">
      <c r="A31" s="302">
        <v>19</v>
      </c>
      <c r="B31" s="229" t="s">
        <v>338</v>
      </c>
      <c r="C31" s="278">
        <v>0</v>
      </c>
      <c r="D31" s="311" t="s">
        <v>339</v>
      </c>
      <c r="E31" s="271" t="s">
        <v>276</v>
      </c>
      <c r="F31" s="707"/>
    </row>
    <row r="32" spans="1:6">
      <c r="A32" s="302">
        <v>20</v>
      </c>
      <c r="B32" s="229" t="s">
        <v>319</v>
      </c>
      <c r="C32" s="278"/>
      <c r="D32" s="271"/>
      <c r="E32" s="271" t="s">
        <v>276</v>
      </c>
      <c r="F32" s="707"/>
    </row>
    <row r="33" spans="1:6">
      <c r="A33" s="302" t="s">
        <v>263</v>
      </c>
      <c r="B33" s="229" t="s">
        <v>340</v>
      </c>
      <c r="C33" s="278">
        <v>-218811.6</v>
      </c>
      <c r="D33" s="312" t="s">
        <v>341</v>
      </c>
      <c r="E33" s="271" t="s">
        <v>276</v>
      </c>
      <c r="F33" s="707"/>
    </row>
    <row r="34" spans="1:6" ht="12.75" customHeight="1">
      <c r="A34" s="303" t="s">
        <v>266</v>
      </c>
      <c r="B34" s="229" t="s">
        <v>342</v>
      </c>
      <c r="C34" s="278"/>
      <c r="D34" s="235" t="s">
        <v>343</v>
      </c>
      <c r="E34" s="271" t="s">
        <v>276</v>
      </c>
      <c r="F34" s="707"/>
    </row>
    <row r="35" spans="1:6" ht="13.5" customHeight="1">
      <c r="A35" s="303" t="s">
        <v>344</v>
      </c>
      <c r="B35" s="304" t="s">
        <v>345</v>
      </c>
      <c r="C35" s="278">
        <v>0</v>
      </c>
      <c r="D35" s="235" t="s">
        <v>346</v>
      </c>
      <c r="E35" s="271" t="s">
        <v>276</v>
      </c>
      <c r="F35" s="707"/>
    </row>
    <row r="36" spans="1:6" ht="12.75" customHeight="1">
      <c r="A36" s="303" t="s">
        <v>347</v>
      </c>
      <c r="B36" s="229" t="s">
        <v>348</v>
      </c>
      <c r="C36" s="278">
        <v>0</v>
      </c>
      <c r="D36" s="311" t="s">
        <v>349</v>
      </c>
      <c r="E36" s="271" t="s">
        <v>276</v>
      </c>
      <c r="F36" s="707"/>
    </row>
    <row r="37" spans="1:6" ht="12.75" customHeight="1">
      <c r="A37" s="302">
        <v>21</v>
      </c>
      <c r="B37" s="229" t="s">
        <v>350</v>
      </c>
      <c r="C37" s="278">
        <v>0</v>
      </c>
      <c r="D37" s="311" t="s">
        <v>351</v>
      </c>
      <c r="E37" s="271" t="s">
        <v>276</v>
      </c>
      <c r="F37" s="707"/>
    </row>
    <row r="38" spans="1:6" ht="12.75" customHeight="1">
      <c r="A38" s="302">
        <v>22</v>
      </c>
      <c r="B38" s="229" t="s">
        <v>352</v>
      </c>
      <c r="C38" s="278">
        <v>0</v>
      </c>
      <c r="D38" s="312" t="s">
        <v>353</v>
      </c>
      <c r="E38" s="271" t="s">
        <v>276</v>
      </c>
      <c r="F38" s="707"/>
    </row>
    <row r="39" spans="1:6" ht="12.75" customHeight="1">
      <c r="A39" s="302">
        <v>23</v>
      </c>
      <c r="B39" s="229" t="s">
        <v>354</v>
      </c>
      <c r="C39" s="278">
        <v>0</v>
      </c>
      <c r="D39" s="311" t="s">
        <v>355</v>
      </c>
      <c r="E39" s="271" t="s">
        <v>276</v>
      </c>
      <c r="F39" s="707"/>
    </row>
    <row r="40" spans="1:6">
      <c r="A40" s="302">
        <v>24</v>
      </c>
      <c r="B40" s="229" t="s">
        <v>319</v>
      </c>
      <c r="C40" s="278"/>
      <c r="D40" s="271"/>
      <c r="E40" s="271" t="s">
        <v>276</v>
      </c>
      <c r="F40" s="707"/>
    </row>
    <row r="41" spans="1:6" ht="12" customHeight="1">
      <c r="A41" s="302">
        <v>25</v>
      </c>
      <c r="B41" s="229" t="s">
        <v>356</v>
      </c>
      <c r="C41" s="278">
        <v>0</v>
      </c>
      <c r="D41" s="235" t="s">
        <v>351</v>
      </c>
      <c r="E41" s="271" t="s">
        <v>276</v>
      </c>
      <c r="F41" s="707"/>
    </row>
    <row r="42" spans="1:6" ht="12.75" customHeight="1">
      <c r="A42" s="303" t="s">
        <v>357</v>
      </c>
      <c r="B42" s="229" t="s">
        <v>358</v>
      </c>
      <c r="C42" s="278">
        <v>0</v>
      </c>
      <c r="D42" s="312" t="s">
        <v>359</v>
      </c>
      <c r="E42" s="271" t="s">
        <v>276</v>
      </c>
      <c r="F42" s="707"/>
    </row>
    <row r="43" spans="1:6" ht="12.75" customHeight="1">
      <c r="A43" s="303" t="s">
        <v>360</v>
      </c>
      <c r="B43" s="229" t="s">
        <v>361</v>
      </c>
      <c r="C43" s="278">
        <v>0</v>
      </c>
      <c r="D43" s="312" t="s">
        <v>362</v>
      </c>
      <c r="E43" s="271" t="s">
        <v>276</v>
      </c>
      <c r="F43" s="707"/>
    </row>
    <row r="44" spans="1:6" ht="12.75" customHeight="1">
      <c r="A44" s="302">
        <v>26</v>
      </c>
      <c r="B44" s="229" t="s">
        <v>363</v>
      </c>
      <c r="C44" s="278">
        <v>0</v>
      </c>
      <c r="D44" s="235" t="s">
        <v>364</v>
      </c>
      <c r="E44" s="271" t="s">
        <v>276</v>
      </c>
      <c r="F44" s="707"/>
    </row>
    <row r="45" spans="1:6" ht="12.75" customHeight="1">
      <c r="A45" s="303" t="s">
        <v>365</v>
      </c>
      <c r="B45" s="229" t="s">
        <v>366</v>
      </c>
      <c r="C45" s="278">
        <v>0</v>
      </c>
      <c r="D45" s="271"/>
      <c r="E45" s="271" t="s">
        <v>276</v>
      </c>
      <c r="F45" s="707"/>
    </row>
    <row r="46" spans="1:6">
      <c r="A46" s="89"/>
      <c r="B46" s="229" t="s">
        <v>367</v>
      </c>
      <c r="C46" s="278"/>
      <c r="D46" s="271"/>
      <c r="E46" s="271" t="s">
        <v>276</v>
      </c>
      <c r="F46" s="707"/>
    </row>
    <row r="47" spans="1:6">
      <c r="A47" s="89"/>
      <c r="B47" s="229" t="s">
        <v>368</v>
      </c>
      <c r="C47" s="278"/>
      <c r="D47" s="271"/>
      <c r="E47" s="271" t="s">
        <v>276</v>
      </c>
      <c r="F47" s="707"/>
    </row>
    <row r="48" spans="1:6">
      <c r="A48" s="89"/>
      <c r="B48" s="229" t="s">
        <v>369</v>
      </c>
      <c r="C48" s="278"/>
      <c r="D48" s="271">
        <v>468</v>
      </c>
      <c r="E48" s="271" t="s">
        <v>276</v>
      </c>
      <c r="F48" s="707"/>
    </row>
    <row r="49" spans="1:6">
      <c r="A49" s="89"/>
      <c r="B49" s="229" t="s">
        <v>370</v>
      </c>
      <c r="C49" s="278"/>
      <c r="D49" s="312">
        <v>468</v>
      </c>
      <c r="E49" s="271" t="s">
        <v>276</v>
      </c>
      <c r="F49" s="707"/>
    </row>
    <row r="50" spans="1:6" ht="12.75" customHeight="1">
      <c r="A50" s="303" t="s">
        <v>371</v>
      </c>
      <c r="B50" s="229" t="s">
        <v>372</v>
      </c>
      <c r="C50" s="278"/>
      <c r="D50" s="271"/>
      <c r="E50" s="271" t="s">
        <v>276</v>
      </c>
      <c r="F50" s="707"/>
    </row>
    <row r="51" spans="1:6">
      <c r="A51" s="89"/>
      <c r="B51" s="229" t="s">
        <v>373</v>
      </c>
      <c r="C51" s="278"/>
      <c r="D51" s="271"/>
      <c r="E51" s="271" t="s">
        <v>276</v>
      </c>
      <c r="F51" s="707"/>
    </row>
    <row r="52" spans="1:6" ht="12.75" customHeight="1">
      <c r="A52" s="302">
        <v>27</v>
      </c>
      <c r="B52" s="229" t="s">
        <v>374</v>
      </c>
      <c r="C52" s="278">
        <v>0</v>
      </c>
      <c r="D52" s="311" t="s">
        <v>375</v>
      </c>
      <c r="E52" s="271" t="s">
        <v>276</v>
      </c>
      <c r="F52" s="707"/>
    </row>
    <row r="53" spans="1:6">
      <c r="A53" s="302">
        <v>28</v>
      </c>
      <c r="B53" s="315" t="s">
        <v>376</v>
      </c>
      <c r="C53" s="243">
        <f>SUM(C19:C45)</f>
        <v>-848487.005</v>
      </c>
      <c r="D53" s="318" t="s">
        <v>377</v>
      </c>
      <c r="E53" s="271" t="s">
        <v>276</v>
      </c>
      <c r="F53" s="707"/>
    </row>
    <row r="54" spans="1:6" ht="12.75" customHeight="1">
      <c r="A54" s="302">
        <v>29</v>
      </c>
      <c r="B54" s="315" t="s">
        <v>378</v>
      </c>
      <c r="C54" s="243">
        <f>C16+C53</f>
        <v>22198732.570000004</v>
      </c>
      <c r="D54" s="319" t="s">
        <v>379</v>
      </c>
      <c r="E54" s="271" t="s">
        <v>276</v>
      </c>
      <c r="F54" s="707"/>
    </row>
    <row r="55" spans="1:6" ht="12.75" customHeight="1">
      <c r="A55" s="302"/>
      <c r="B55" s="315"/>
      <c r="C55" s="243"/>
      <c r="D55" s="316"/>
      <c r="E55" s="89"/>
      <c r="F55" s="707"/>
    </row>
    <row r="56" spans="1:6" ht="13.5" thickBot="1">
      <c r="A56" s="339"/>
      <c r="B56" s="310" t="s">
        <v>380</v>
      </c>
      <c r="C56" s="310"/>
      <c r="D56" s="310"/>
      <c r="E56" s="310"/>
      <c r="F56" s="707"/>
    </row>
    <row r="57" spans="1:6">
      <c r="A57" s="302">
        <v>30</v>
      </c>
      <c r="B57" s="91" t="s">
        <v>294</v>
      </c>
      <c r="C57" s="243">
        <v>1982725</v>
      </c>
      <c r="D57" s="271" t="s">
        <v>381</v>
      </c>
      <c r="E57" s="271" t="s">
        <v>276</v>
      </c>
      <c r="F57" s="707"/>
    </row>
    <row r="58" spans="1:6" ht="12.75" customHeight="1">
      <c r="A58" s="302">
        <v>31</v>
      </c>
      <c r="B58" s="229" t="s">
        <v>382</v>
      </c>
      <c r="C58" s="243">
        <v>1982725</v>
      </c>
      <c r="D58" s="271"/>
      <c r="E58" s="271" t="s">
        <v>276</v>
      </c>
      <c r="F58" s="707"/>
    </row>
    <row r="59" spans="1:6" ht="12.75" customHeight="1">
      <c r="A59" s="302">
        <v>32</v>
      </c>
      <c r="B59" s="229" t="s">
        <v>383</v>
      </c>
      <c r="C59" s="707"/>
      <c r="D59" s="271"/>
      <c r="E59" s="271" t="s">
        <v>276</v>
      </c>
      <c r="F59" s="707"/>
    </row>
    <row r="60" spans="1:6">
      <c r="A60" s="302">
        <v>33</v>
      </c>
      <c r="B60" s="229" t="s">
        <v>384</v>
      </c>
      <c r="C60" s="243"/>
      <c r="D60" s="271" t="s">
        <v>385</v>
      </c>
      <c r="E60" s="271" t="s">
        <v>276</v>
      </c>
      <c r="F60" s="707"/>
    </row>
    <row r="61" spans="1:6" ht="12.75" customHeight="1">
      <c r="A61" s="302">
        <v>34</v>
      </c>
      <c r="B61" s="229" t="s">
        <v>386</v>
      </c>
      <c r="C61" s="243"/>
      <c r="D61" s="271" t="s">
        <v>387</v>
      </c>
      <c r="E61" s="271" t="s">
        <v>276</v>
      </c>
      <c r="F61" s="707"/>
    </row>
    <row r="62" spans="1:6">
      <c r="A62" s="302">
        <v>35</v>
      </c>
      <c r="B62" s="91" t="s">
        <v>388</v>
      </c>
      <c r="C62" s="243"/>
      <c r="D62" s="271"/>
      <c r="E62" s="271" t="s">
        <v>276</v>
      </c>
      <c r="F62" s="707"/>
    </row>
    <row r="63" spans="1:6">
      <c r="A63" s="302">
        <v>36</v>
      </c>
      <c r="B63" s="315" t="s">
        <v>389</v>
      </c>
      <c r="C63" s="243">
        <f>C57+C60</f>
        <v>1982725</v>
      </c>
      <c r="D63" s="318" t="s">
        <v>390</v>
      </c>
      <c r="E63" s="271" t="s">
        <v>276</v>
      </c>
      <c r="F63" s="707"/>
    </row>
    <row r="64" spans="1:6">
      <c r="A64" s="302"/>
      <c r="B64" s="306"/>
      <c r="C64" s="278"/>
      <c r="D64" s="313"/>
      <c r="E64" s="89"/>
      <c r="F64" s="707"/>
    </row>
    <row r="65" spans="1:6" ht="12.75" customHeight="1" thickBot="1">
      <c r="A65" s="339"/>
      <c r="B65" s="310" t="s">
        <v>391</v>
      </c>
      <c r="C65" s="310"/>
      <c r="D65" s="310"/>
      <c r="E65" s="310"/>
      <c r="F65" s="707"/>
    </row>
    <row r="66" spans="1:6" ht="12.75" customHeight="1">
      <c r="A66" s="302">
        <v>37</v>
      </c>
      <c r="B66" s="229" t="s">
        <v>392</v>
      </c>
      <c r="C66" s="278">
        <v>0</v>
      </c>
      <c r="D66" s="235" t="s">
        <v>393</v>
      </c>
      <c r="E66" s="271" t="s">
        <v>276</v>
      </c>
      <c r="F66" s="707"/>
    </row>
    <row r="67" spans="1:6" ht="12.75" customHeight="1">
      <c r="A67" s="302">
        <v>38</v>
      </c>
      <c r="B67" s="229" t="s">
        <v>394</v>
      </c>
      <c r="C67" s="278">
        <v>0</v>
      </c>
      <c r="D67" s="312" t="s">
        <v>395</v>
      </c>
      <c r="E67" s="271" t="s">
        <v>276</v>
      </c>
      <c r="F67" s="707"/>
    </row>
    <row r="68" spans="1:6" ht="24.75" customHeight="1">
      <c r="A68" s="302">
        <v>39</v>
      </c>
      <c r="B68" s="304" t="s">
        <v>396</v>
      </c>
      <c r="C68" s="278">
        <v>0</v>
      </c>
      <c r="D68" s="311" t="s">
        <v>397</v>
      </c>
      <c r="E68" s="271" t="s">
        <v>276</v>
      </c>
      <c r="F68" s="707"/>
    </row>
    <row r="69" spans="1:6" ht="25.5" customHeight="1">
      <c r="A69" s="302">
        <v>40</v>
      </c>
      <c r="B69" s="304" t="s">
        <v>398</v>
      </c>
      <c r="C69" s="278">
        <v>0</v>
      </c>
      <c r="D69" s="311" t="s">
        <v>399</v>
      </c>
      <c r="E69" s="271" t="s">
        <v>276</v>
      </c>
      <c r="F69" s="707"/>
    </row>
    <row r="70" spans="1:6" ht="12.75" customHeight="1">
      <c r="A70" s="302">
        <v>41</v>
      </c>
      <c r="B70" s="229" t="s">
        <v>400</v>
      </c>
      <c r="C70" s="278">
        <v>0</v>
      </c>
      <c r="D70" s="235" t="s">
        <v>401</v>
      </c>
      <c r="E70" s="271" t="s">
        <v>276</v>
      </c>
      <c r="F70" s="707"/>
    </row>
    <row r="71" spans="1:6" ht="12.75" customHeight="1">
      <c r="A71" s="303" t="s">
        <v>402</v>
      </c>
      <c r="B71" s="229" t="s">
        <v>403</v>
      </c>
      <c r="C71" s="278">
        <v>0</v>
      </c>
      <c r="D71" s="311" t="s">
        <v>404</v>
      </c>
      <c r="E71" s="271" t="s">
        <v>276</v>
      </c>
      <c r="F71" s="707"/>
    </row>
    <row r="72" spans="1:6">
      <c r="A72" s="89"/>
      <c r="B72" s="89" t="s">
        <v>405</v>
      </c>
      <c r="C72" s="278"/>
      <c r="D72" s="271"/>
      <c r="E72" s="89"/>
      <c r="F72" s="707"/>
    </row>
    <row r="73" spans="1:6" ht="12.75" customHeight="1">
      <c r="A73" s="303" t="s">
        <v>406</v>
      </c>
      <c r="B73" s="229" t="s">
        <v>407</v>
      </c>
      <c r="C73" s="278"/>
      <c r="D73" s="271"/>
      <c r="E73" s="89"/>
      <c r="F73" s="707"/>
    </row>
    <row r="74" spans="1:6">
      <c r="A74" s="89"/>
      <c r="B74" s="229" t="s">
        <v>405</v>
      </c>
      <c r="C74" s="278"/>
      <c r="D74" s="271"/>
      <c r="E74" s="89"/>
      <c r="F74" s="707"/>
    </row>
    <row r="75" spans="1:6" ht="12.75" customHeight="1">
      <c r="A75" s="303" t="s">
        <v>408</v>
      </c>
      <c r="B75" s="229" t="s">
        <v>409</v>
      </c>
      <c r="C75" s="278"/>
      <c r="D75" s="271"/>
      <c r="E75" s="89"/>
      <c r="F75" s="707"/>
    </row>
    <row r="76" spans="1:6" ht="12.75" customHeight="1">
      <c r="A76" s="89"/>
      <c r="B76" s="229" t="s">
        <v>410</v>
      </c>
      <c r="C76" s="278"/>
      <c r="D76" s="271"/>
      <c r="E76" s="89"/>
      <c r="F76" s="707"/>
    </row>
    <row r="77" spans="1:6">
      <c r="A77" s="89"/>
      <c r="B77" s="229" t="s">
        <v>411</v>
      </c>
      <c r="C77" s="278"/>
      <c r="D77" s="271"/>
      <c r="E77" s="89"/>
      <c r="F77" s="707"/>
    </row>
    <row r="78" spans="1:6">
      <c r="A78" s="89"/>
      <c r="B78" s="229" t="s">
        <v>373</v>
      </c>
      <c r="C78" s="278"/>
      <c r="D78" s="271"/>
      <c r="E78" s="89"/>
      <c r="F78" s="707"/>
    </row>
    <row r="79" spans="1:6">
      <c r="A79" s="302">
        <v>42</v>
      </c>
      <c r="B79" s="229" t="s">
        <v>412</v>
      </c>
      <c r="C79" s="278">
        <v>0</v>
      </c>
      <c r="D79" s="271" t="s">
        <v>413</v>
      </c>
      <c r="E79" s="271" t="s">
        <v>276</v>
      </c>
      <c r="F79" s="707"/>
    </row>
    <row r="80" spans="1:6">
      <c r="A80" s="302">
        <v>43</v>
      </c>
      <c r="B80" s="305" t="s">
        <v>414</v>
      </c>
      <c r="C80" s="278">
        <v>0</v>
      </c>
      <c r="D80" s="318" t="s">
        <v>415</v>
      </c>
      <c r="E80" s="271" t="s">
        <v>276</v>
      </c>
      <c r="F80" s="707"/>
    </row>
    <row r="81" spans="1:6" ht="12.75" customHeight="1">
      <c r="A81" s="302">
        <v>44</v>
      </c>
      <c r="B81" s="305" t="s">
        <v>416</v>
      </c>
      <c r="C81" s="278">
        <f>C63+C80</f>
        <v>1982725</v>
      </c>
      <c r="D81" s="318" t="s">
        <v>417</v>
      </c>
      <c r="E81" s="271" t="s">
        <v>276</v>
      </c>
      <c r="F81" s="707"/>
    </row>
    <row r="82" spans="1:6" ht="12" customHeight="1">
      <c r="A82" s="302">
        <v>45</v>
      </c>
      <c r="B82" s="305" t="s">
        <v>95</v>
      </c>
      <c r="C82" s="278">
        <f>C54+C81</f>
        <v>24181457.570000004</v>
      </c>
      <c r="D82" s="318" t="s">
        <v>418</v>
      </c>
      <c r="E82" s="271" t="s">
        <v>276</v>
      </c>
      <c r="F82" s="707"/>
    </row>
    <row r="83" spans="1:6">
      <c r="A83" s="302"/>
      <c r="B83" s="305"/>
      <c r="C83" s="278"/>
      <c r="D83" s="313"/>
      <c r="E83" s="89"/>
      <c r="F83" s="707"/>
    </row>
    <row r="84" spans="1:6" ht="12.75" customHeight="1" thickBot="1">
      <c r="A84" s="339"/>
      <c r="B84" s="310" t="s">
        <v>419</v>
      </c>
      <c r="C84" s="310"/>
      <c r="D84" s="310"/>
      <c r="E84" s="310"/>
      <c r="F84" s="707"/>
    </row>
    <row r="85" spans="1:6">
      <c r="A85" s="302">
        <v>46</v>
      </c>
      <c r="B85" s="229" t="s">
        <v>294</v>
      </c>
      <c r="C85" s="278">
        <v>2281858</v>
      </c>
      <c r="D85" s="271" t="s">
        <v>420</v>
      </c>
      <c r="E85" s="271" t="s">
        <v>276</v>
      </c>
      <c r="F85" s="707"/>
    </row>
    <row r="86" spans="1:6">
      <c r="A86" s="302">
        <v>47</v>
      </c>
      <c r="B86" s="229" t="s">
        <v>421</v>
      </c>
      <c r="C86" s="278">
        <v>0</v>
      </c>
      <c r="D86" s="271" t="s">
        <v>422</v>
      </c>
      <c r="E86" s="271" t="s">
        <v>276</v>
      </c>
      <c r="F86" s="707"/>
    </row>
    <row r="87" spans="1:6" ht="12.75" customHeight="1">
      <c r="A87" s="89"/>
      <c r="B87" s="229" t="s">
        <v>423</v>
      </c>
      <c r="C87" s="278"/>
      <c r="D87" s="271"/>
      <c r="E87" s="271" t="s">
        <v>276</v>
      </c>
      <c r="F87" s="707"/>
    </row>
    <row r="88" spans="1:6" ht="12.75" customHeight="1">
      <c r="A88" s="302">
        <v>48</v>
      </c>
      <c r="B88" s="229" t="s">
        <v>424</v>
      </c>
      <c r="C88" s="278">
        <v>0</v>
      </c>
      <c r="D88" s="312" t="s">
        <v>425</v>
      </c>
      <c r="E88" s="271" t="s">
        <v>276</v>
      </c>
      <c r="F88" s="707"/>
    </row>
    <row r="89" spans="1:6">
      <c r="A89" s="302">
        <v>49</v>
      </c>
      <c r="B89" s="304" t="s">
        <v>388</v>
      </c>
      <c r="C89" s="278"/>
      <c r="D89" s="271"/>
      <c r="E89" s="271" t="s">
        <v>276</v>
      </c>
      <c r="F89" s="707"/>
    </row>
    <row r="90" spans="1:6">
      <c r="A90" s="302">
        <v>50</v>
      </c>
      <c r="B90" s="229" t="s">
        <v>426</v>
      </c>
      <c r="C90" s="278">
        <v>0</v>
      </c>
      <c r="D90" s="271" t="s">
        <v>427</v>
      </c>
      <c r="E90" s="271" t="s">
        <v>276</v>
      </c>
      <c r="F90" s="707"/>
    </row>
    <row r="91" spans="1:6">
      <c r="A91" s="302">
        <v>51</v>
      </c>
      <c r="B91" s="305" t="s">
        <v>428</v>
      </c>
      <c r="C91" s="278">
        <f>SUM(C85:C90)</f>
        <v>2281858</v>
      </c>
      <c r="D91" s="318" t="s">
        <v>429</v>
      </c>
      <c r="E91" s="271" t="s">
        <v>276</v>
      </c>
      <c r="F91" s="707"/>
    </row>
    <row r="92" spans="1:6">
      <c r="A92" s="302"/>
      <c r="B92" s="305"/>
      <c r="C92" s="278"/>
      <c r="D92" s="313"/>
      <c r="E92" s="89"/>
      <c r="F92" s="707"/>
    </row>
    <row r="93" spans="1:6" ht="13.5" thickBot="1">
      <c r="A93" s="339"/>
      <c r="B93" s="310" t="s">
        <v>430</v>
      </c>
      <c r="C93" s="310"/>
      <c r="D93" s="310"/>
      <c r="E93" s="310"/>
      <c r="F93" s="707"/>
    </row>
    <row r="94" spans="1:6" ht="12.75" customHeight="1">
      <c r="A94" s="302">
        <v>52</v>
      </c>
      <c r="B94" s="229" t="s">
        <v>431</v>
      </c>
      <c r="C94" s="278">
        <v>0</v>
      </c>
      <c r="D94" s="311" t="s">
        <v>432</v>
      </c>
      <c r="E94" s="271" t="s">
        <v>276</v>
      </c>
      <c r="F94" s="707"/>
    </row>
    <row r="95" spans="1:6" ht="12.75" customHeight="1">
      <c r="A95" s="302">
        <v>53</v>
      </c>
      <c r="B95" s="229" t="s">
        <v>433</v>
      </c>
      <c r="C95" s="278">
        <v>0</v>
      </c>
      <c r="D95" s="312" t="s">
        <v>434</v>
      </c>
      <c r="E95" s="271" t="s">
        <v>276</v>
      </c>
      <c r="F95" s="707"/>
    </row>
    <row r="96" spans="1:6" ht="25.5" customHeight="1">
      <c r="A96" s="302">
        <v>54</v>
      </c>
      <c r="B96" s="304" t="s">
        <v>435</v>
      </c>
      <c r="C96" s="278">
        <v>0</v>
      </c>
      <c r="D96" s="235" t="s">
        <v>436</v>
      </c>
      <c r="E96" s="271" t="s">
        <v>276</v>
      </c>
      <c r="F96" s="707"/>
    </row>
    <row r="97" spans="1:6" ht="12.75" customHeight="1">
      <c r="A97" s="303" t="s">
        <v>437</v>
      </c>
      <c r="B97" s="229" t="s">
        <v>438</v>
      </c>
      <c r="C97" s="278">
        <v>0</v>
      </c>
      <c r="D97" s="312"/>
      <c r="E97" s="89"/>
      <c r="F97" s="707"/>
    </row>
    <row r="98" spans="1:6" ht="12.75" customHeight="1">
      <c r="A98" s="303" t="s">
        <v>439</v>
      </c>
      <c r="B98" s="229" t="s">
        <v>440</v>
      </c>
      <c r="C98" s="278">
        <v>0</v>
      </c>
      <c r="D98" s="312"/>
      <c r="E98" s="89"/>
      <c r="F98" s="707"/>
    </row>
    <row r="99" spans="1:6" ht="25.5" customHeight="1">
      <c r="A99" s="302">
        <v>55</v>
      </c>
      <c r="B99" s="229" t="s">
        <v>441</v>
      </c>
      <c r="C99" s="278">
        <v>-42600</v>
      </c>
      <c r="D99" s="235" t="s">
        <v>442</v>
      </c>
      <c r="E99" s="271" t="s">
        <v>276</v>
      </c>
      <c r="F99" s="707"/>
    </row>
    <row r="100" spans="1:6" ht="12.75" customHeight="1">
      <c r="A100" s="302">
        <v>56</v>
      </c>
      <c r="B100" s="229" t="s">
        <v>443</v>
      </c>
      <c r="C100" s="278">
        <v>0</v>
      </c>
      <c r="D100" s="311" t="s">
        <v>444</v>
      </c>
      <c r="E100" s="271" t="s">
        <v>276</v>
      </c>
      <c r="F100" s="707"/>
    </row>
    <row r="101" spans="1:6" ht="12.75" customHeight="1">
      <c r="A101" s="302" t="s">
        <v>445</v>
      </c>
      <c r="B101" s="229" t="s">
        <v>446</v>
      </c>
      <c r="C101" s="278">
        <v>0</v>
      </c>
      <c r="D101" s="311" t="s">
        <v>404</v>
      </c>
      <c r="E101" s="271" t="s">
        <v>276</v>
      </c>
      <c r="F101" s="707"/>
    </row>
    <row r="102" spans="1:6">
      <c r="A102" s="303"/>
      <c r="B102" s="229" t="s">
        <v>405</v>
      </c>
      <c r="C102" s="278"/>
      <c r="D102" s="312"/>
      <c r="E102" s="89"/>
      <c r="F102" s="707"/>
    </row>
    <row r="103" spans="1:6" ht="12.75" customHeight="1">
      <c r="A103" s="302" t="s">
        <v>447</v>
      </c>
      <c r="B103" s="229" t="s">
        <v>448</v>
      </c>
      <c r="C103" s="278">
        <v>0</v>
      </c>
      <c r="D103" s="312"/>
      <c r="E103" s="89"/>
      <c r="F103" s="707"/>
    </row>
    <row r="104" spans="1:6">
      <c r="A104" s="303"/>
      <c r="B104" s="229" t="s">
        <v>405</v>
      </c>
      <c r="C104" s="278"/>
      <c r="D104" s="312"/>
      <c r="E104" s="89"/>
      <c r="F104" s="707"/>
    </row>
    <row r="105" spans="1:6" ht="12.75" customHeight="1">
      <c r="A105" s="302" t="s">
        <v>449</v>
      </c>
      <c r="B105" s="229" t="s">
        <v>450</v>
      </c>
      <c r="C105" s="278">
        <v>0</v>
      </c>
      <c r="D105" s="312">
        <v>468</v>
      </c>
      <c r="E105" s="271" t="s">
        <v>276</v>
      </c>
      <c r="F105" s="707"/>
    </row>
    <row r="106" spans="1:6">
      <c r="A106" s="302"/>
      <c r="B106" s="229" t="s">
        <v>410</v>
      </c>
      <c r="C106" s="278"/>
      <c r="D106" s="312"/>
      <c r="E106" s="89"/>
      <c r="F106" s="707"/>
    </row>
    <row r="107" spans="1:6">
      <c r="A107" s="302"/>
      <c r="B107" s="229" t="s">
        <v>451</v>
      </c>
      <c r="C107" s="278"/>
      <c r="D107" s="312">
        <v>468</v>
      </c>
      <c r="E107" s="271" t="s">
        <v>276</v>
      </c>
      <c r="F107" s="707"/>
    </row>
    <row r="108" spans="1:6">
      <c r="A108" s="302"/>
      <c r="B108" s="229" t="s">
        <v>373</v>
      </c>
      <c r="C108" s="278"/>
      <c r="D108" s="312"/>
      <c r="E108" s="89"/>
      <c r="F108" s="707"/>
    </row>
    <row r="109" spans="1:6" ht="12.75" customHeight="1">
      <c r="A109" s="302">
        <v>57</v>
      </c>
      <c r="B109" s="305" t="s">
        <v>452</v>
      </c>
      <c r="C109" s="278">
        <f>C99</f>
        <v>-42600</v>
      </c>
      <c r="D109" s="317" t="s">
        <v>453</v>
      </c>
      <c r="E109" s="271" t="s">
        <v>276</v>
      </c>
      <c r="F109" s="707"/>
    </row>
    <row r="110" spans="1:6" ht="12.75" customHeight="1">
      <c r="A110" s="302">
        <v>58</v>
      </c>
      <c r="B110" s="305" t="s">
        <v>454</v>
      </c>
      <c r="C110" s="278">
        <f>C91+C109</f>
        <v>2239258</v>
      </c>
      <c r="D110" s="317" t="s">
        <v>455</v>
      </c>
      <c r="E110" s="271" t="s">
        <v>276</v>
      </c>
      <c r="F110" s="707"/>
    </row>
    <row r="111" spans="1:6">
      <c r="A111" s="302">
        <v>59</v>
      </c>
      <c r="B111" s="305" t="s">
        <v>154</v>
      </c>
      <c r="C111" s="278">
        <f>C82+C110</f>
        <v>26420715.570000004</v>
      </c>
      <c r="D111" s="317" t="s">
        <v>456</v>
      </c>
      <c r="E111" s="271" t="s">
        <v>276</v>
      </c>
      <c r="F111" s="707"/>
    </row>
    <row r="112" spans="1:6" ht="12" customHeight="1">
      <c r="A112" s="302" t="s">
        <v>457</v>
      </c>
      <c r="B112" s="229" t="s">
        <v>458</v>
      </c>
      <c r="C112" s="278">
        <v>0</v>
      </c>
      <c r="D112" s="312" t="s">
        <v>459</v>
      </c>
      <c r="E112" s="271" t="s">
        <v>276</v>
      </c>
      <c r="F112" s="707"/>
    </row>
    <row r="113" spans="1:6">
      <c r="A113" s="303"/>
      <c r="B113" s="229" t="s">
        <v>460</v>
      </c>
      <c r="C113" s="278">
        <v>0</v>
      </c>
      <c r="D113" s="312" t="s">
        <v>461</v>
      </c>
      <c r="E113" s="271" t="s">
        <v>276</v>
      </c>
      <c r="F113" s="707"/>
    </row>
    <row r="114" spans="1:6" ht="12.75" customHeight="1">
      <c r="A114" s="303"/>
      <c r="B114" s="229" t="s">
        <v>462</v>
      </c>
      <c r="C114" s="278"/>
      <c r="D114" s="312"/>
      <c r="E114" s="89"/>
      <c r="F114" s="707"/>
    </row>
    <row r="115" spans="1:6">
      <c r="A115" s="303"/>
      <c r="B115" s="229" t="s">
        <v>463</v>
      </c>
      <c r="C115" s="278"/>
      <c r="D115" s="302"/>
      <c r="E115" s="89"/>
      <c r="F115" s="707"/>
    </row>
    <row r="116" spans="1:6">
      <c r="A116" s="302">
        <v>60</v>
      </c>
      <c r="B116" s="307" t="s">
        <v>464</v>
      </c>
      <c r="C116" s="278">
        <v>125780632</v>
      </c>
      <c r="D116" s="302"/>
      <c r="E116" s="89"/>
      <c r="F116" s="707"/>
    </row>
    <row r="117" spans="1:6">
      <c r="A117" s="302"/>
      <c r="B117" s="307"/>
      <c r="C117" s="278"/>
      <c r="D117" s="302"/>
      <c r="E117" s="89"/>
      <c r="F117" s="707"/>
    </row>
    <row r="118" spans="1:6" ht="12.75" customHeight="1" thickBot="1">
      <c r="A118" s="339"/>
      <c r="B118" s="310" t="s">
        <v>465</v>
      </c>
      <c r="C118" s="310"/>
      <c r="D118" s="310"/>
      <c r="E118" s="310"/>
      <c r="F118" s="707"/>
    </row>
    <row r="119" spans="1:6">
      <c r="A119" s="302">
        <v>61</v>
      </c>
      <c r="B119" s="307" t="s">
        <v>127</v>
      </c>
      <c r="C119" s="308">
        <v>0.17649999999999999</v>
      </c>
      <c r="D119" s="312" t="s">
        <v>466</v>
      </c>
      <c r="E119" s="271" t="s">
        <v>276</v>
      </c>
      <c r="F119" s="707"/>
    </row>
    <row r="120" spans="1:6">
      <c r="A120" s="302">
        <v>62</v>
      </c>
      <c r="B120" s="307" t="s">
        <v>467</v>
      </c>
      <c r="C120" s="308">
        <v>0.1923</v>
      </c>
      <c r="D120" s="312" t="s">
        <v>468</v>
      </c>
      <c r="E120" s="271" t="s">
        <v>276</v>
      </c>
      <c r="F120" s="707"/>
    </row>
    <row r="121" spans="1:6">
      <c r="A121" s="302">
        <v>63</v>
      </c>
      <c r="B121" s="307" t="s">
        <v>78</v>
      </c>
      <c r="C121" s="308">
        <v>0.21010000000000001</v>
      </c>
      <c r="D121" s="312" t="s">
        <v>469</v>
      </c>
      <c r="E121" s="271" t="s">
        <v>276</v>
      </c>
      <c r="F121" s="707"/>
    </row>
    <row r="122" spans="1:6">
      <c r="A122" s="302">
        <v>64</v>
      </c>
      <c r="B122" s="305" t="s">
        <v>470</v>
      </c>
      <c r="C122" s="308">
        <v>0.11</v>
      </c>
      <c r="D122" s="311" t="s">
        <v>471</v>
      </c>
      <c r="E122" s="271" t="s">
        <v>276</v>
      </c>
      <c r="F122" s="707"/>
    </row>
    <row r="123" spans="1:6">
      <c r="A123" s="302">
        <v>65</v>
      </c>
      <c r="B123" s="307" t="s">
        <v>472</v>
      </c>
      <c r="C123" s="308">
        <v>2.5000000000000001E-2</v>
      </c>
      <c r="D123" s="312"/>
      <c r="E123" s="89"/>
      <c r="F123" s="707"/>
    </row>
    <row r="124" spans="1:6">
      <c r="A124" s="302">
        <v>66</v>
      </c>
      <c r="B124" s="307" t="s">
        <v>473</v>
      </c>
      <c r="C124" s="308">
        <v>0.01</v>
      </c>
      <c r="D124" s="312"/>
      <c r="E124" s="89"/>
      <c r="F124" s="707"/>
    </row>
    <row r="125" spans="1:6">
      <c r="A125" s="302">
        <v>67</v>
      </c>
      <c r="B125" s="307" t="s">
        <v>474</v>
      </c>
      <c r="C125" s="308">
        <v>0.03</v>
      </c>
      <c r="D125" s="312"/>
      <c r="E125" s="89"/>
      <c r="F125" s="707"/>
    </row>
    <row r="126" spans="1:6">
      <c r="A126" s="302" t="s">
        <v>475</v>
      </c>
      <c r="B126" s="307" t="s">
        <v>476</v>
      </c>
      <c r="C126" s="308">
        <v>0</v>
      </c>
      <c r="D126" s="312" t="s">
        <v>477</v>
      </c>
      <c r="E126" s="271" t="s">
        <v>276</v>
      </c>
      <c r="F126" s="707"/>
    </row>
    <row r="127" spans="1:6">
      <c r="A127" s="302">
        <v>68</v>
      </c>
      <c r="B127" s="307" t="s">
        <v>478</v>
      </c>
      <c r="C127" s="308">
        <v>6.6500000000000004E-2</v>
      </c>
      <c r="D127" s="312" t="s">
        <v>479</v>
      </c>
      <c r="E127" s="271" t="s">
        <v>276</v>
      </c>
      <c r="F127" s="707"/>
    </row>
    <row r="128" spans="1:6">
      <c r="A128" s="302">
        <v>69</v>
      </c>
      <c r="B128" s="307" t="s">
        <v>480</v>
      </c>
      <c r="C128" s="89"/>
      <c r="D128" s="312"/>
      <c r="E128" s="89"/>
      <c r="F128" s="707"/>
    </row>
    <row r="129" spans="1:6">
      <c r="A129" s="302">
        <v>70</v>
      </c>
      <c r="B129" s="307" t="s">
        <v>480</v>
      </c>
      <c r="C129" s="89"/>
      <c r="D129" s="312"/>
      <c r="E129" s="89"/>
      <c r="F129" s="707"/>
    </row>
    <row r="130" spans="1:6">
      <c r="A130" s="302">
        <v>71</v>
      </c>
      <c r="B130" s="307" t="s">
        <v>480</v>
      </c>
      <c r="C130" s="89"/>
      <c r="D130" s="312"/>
      <c r="E130" s="89"/>
      <c r="F130" s="707"/>
    </row>
    <row r="131" spans="1:6">
      <c r="A131" s="302"/>
      <c r="B131" s="307"/>
      <c r="C131" s="89"/>
      <c r="D131" s="312"/>
      <c r="E131" s="89"/>
      <c r="F131" s="707"/>
    </row>
    <row r="132" spans="1:6" ht="13.5" thickBot="1">
      <c r="A132" s="339"/>
      <c r="B132" s="310" t="s">
        <v>465</v>
      </c>
      <c r="C132" s="310"/>
      <c r="D132" s="310"/>
      <c r="E132" s="310"/>
      <c r="F132" s="707"/>
    </row>
    <row r="133" spans="1:6" ht="25.5" customHeight="1">
      <c r="A133" s="302">
        <v>72</v>
      </c>
      <c r="B133" s="229" t="s">
        <v>481</v>
      </c>
      <c r="C133" s="336">
        <v>143102</v>
      </c>
      <c r="D133" s="311" t="s">
        <v>482</v>
      </c>
      <c r="E133" s="312" t="s">
        <v>276</v>
      </c>
      <c r="F133" s="707"/>
    </row>
    <row r="134" spans="1:6" ht="25.5" customHeight="1">
      <c r="A134" s="302">
        <v>73</v>
      </c>
      <c r="B134" s="229" t="s">
        <v>483</v>
      </c>
      <c r="C134" s="336">
        <v>2100385</v>
      </c>
      <c r="D134" s="311" t="s">
        <v>484</v>
      </c>
      <c r="E134" s="312" t="s">
        <v>276</v>
      </c>
      <c r="F134" s="707"/>
    </row>
    <row r="135" spans="1:6">
      <c r="A135" s="302">
        <v>74</v>
      </c>
      <c r="B135" s="91" t="s">
        <v>319</v>
      </c>
      <c r="C135" s="91"/>
      <c r="D135" s="271"/>
      <c r="E135" s="89"/>
      <c r="F135" s="707"/>
    </row>
    <row r="136" spans="1:6" ht="12.75" customHeight="1">
      <c r="A136" s="302">
        <v>75</v>
      </c>
      <c r="B136" s="229" t="s">
        <v>485</v>
      </c>
      <c r="C136" s="91"/>
      <c r="D136" s="235" t="s">
        <v>486</v>
      </c>
      <c r="E136" s="312" t="s">
        <v>276</v>
      </c>
      <c r="F136" s="707"/>
    </row>
    <row r="137" spans="1:6">
      <c r="A137" s="302"/>
      <c r="B137" s="229"/>
      <c r="C137" s="89"/>
      <c r="D137" s="311"/>
      <c r="E137" s="89"/>
      <c r="F137" s="707"/>
    </row>
    <row r="138" spans="1:6" ht="12.75" customHeight="1" thickBot="1">
      <c r="A138" s="339"/>
      <c r="B138" s="310" t="s">
        <v>487</v>
      </c>
      <c r="C138" s="310"/>
      <c r="D138" s="310"/>
      <c r="E138" s="310"/>
      <c r="F138" s="707"/>
    </row>
    <row r="139" spans="1:6">
      <c r="A139" s="302">
        <v>76</v>
      </c>
      <c r="B139" s="89" t="s">
        <v>488</v>
      </c>
      <c r="C139" s="271">
        <v>0</v>
      </c>
      <c r="D139" s="271">
        <v>62</v>
      </c>
      <c r="E139" s="312" t="s">
        <v>276</v>
      </c>
      <c r="F139" s="707"/>
    </row>
    <row r="140" spans="1:6" ht="12.75" customHeight="1">
      <c r="A140" s="302">
        <v>77</v>
      </c>
      <c r="B140" s="229" t="s">
        <v>489</v>
      </c>
      <c r="C140" s="271"/>
      <c r="D140" s="271">
        <v>62</v>
      </c>
      <c r="E140" s="312" t="s">
        <v>276</v>
      </c>
      <c r="F140" s="707"/>
    </row>
    <row r="141" spans="1:6">
      <c r="A141" s="302">
        <v>78</v>
      </c>
      <c r="B141" s="89" t="s">
        <v>426</v>
      </c>
      <c r="C141" s="271">
        <v>0</v>
      </c>
      <c r="D141" s="271">
        <v>62</v>
      </c>
      <c r="E141" s="312" t="s">
        <v>276</v>
      </c>
      <c r="F141" s="707"/>
    </row>
    <row r="142" spans="1:6" ht="12.75" customHeight="1">
      <c r="A142" s="302">
        <v>79</v>
      </c>
      <c r="B142" s="229" t="s">
        <v>490</v>
      </c>
      <c r="C142" s="271"/>
      <c r="D142" s="271">
        <v>62</v>
      </c>
      <c r="E142" s="312" t="s">
        <v>276</v>
      </c>
      <c r="F142" s="707"/>
    </row>
    <row r="143" spans="1:6">
      <c r="A143" s="302"/>
      <c r="B143" s="229"/>
      <c r="C143" s="271"/>
      <c r="D143" s="312"/>
      <c r="E143" s="89"/>
      <c r="F143" s="707"/>
    </row>
    <row r="144" spans="1:6" ht="12.75" customHeight="1" thickBot="1">
      <c r="A144" s="339"/>
      <c r="B144" s="310" t="s">
        <v>491</v>
      </c>
      <c r="C144" s="310"/>
      <c r="D144" s="310"/>
      <c r="E144" s="310"/>
      <c r="F144" s="707"/>
    </row>
    <row r="145" spans="1:6" ht="12.75" customHeight="1">
      <c r="A145" s="302">
        <v>80</v>
      </c>
      <c r="B145" s="229" t="s">
        <v>492</v>
      </c>
      <c r="C145" s="271"/>
      <c r="D145" s="235" t="s">
        <v>493</v>
      </c>
      <c r="E145" s="312" t="s">
        <v>276</v>
      </c>
      <c r="F145" s="707"/>
    </row>
    <row r="146" spans="1:6" ht="12.75" customHeight="1">
      <c r="A146" s="302">
        <v>81</v>
      </c>
      <c r="B146" s="229" t="s">
        <v>494</v>
      </c>
      <c r="C146" s="271"/>
      <c r="D146" s="235" t="s">
        <v>493</v>
      </c>
      <c r="E146" s="312" t="s">
        <v>276</v>
      </c>
      <c r="F146" s="707"/>
    </row>
    <row r="147" spans="1:6" ht="12.75" customHeight="1">
      <c r="A147" s="302">
        <v>82</v>
      </c>
      <c r="B147" s="229" t="s">
        <v>495</v>
      </c>
      <c r="C147" s="381"/>
      <c r="D147" s="235" t="s">
        <v>496</v>
      </c>
      <c r="E147" s="312" t="s">
        <v>276</v>
      </c>
      <c r="F147" s="707"/>
    </row>
    <row r="148" spans="1:6" ht="12.75" customHeight="1">
      <c r="A148" s="302">
        <v>83</v>
      </c>
      <c r="B148" s="229" t="s">
        <v>497</v>
      </c>
      <c r="C148" s="381"/>
      <c r="D148" s="235" t="s">
        <v>496</v>
      </c>
      <c r="E148" s="312" t="s">
        <v>276</v>
      </c>
      <c r="F148" s="707"/>
    </row>
    <row r="149" spans="1:6" ht="12.75" customHeight="1">
      <c r="A149" s="302">
        <v>84</v>
      </c>
      <c r="B149" s="229" t="s">
        <v>498</v>
      </c>
      <c r="C149" s="381"/>
      <c r="D149" s="235" t="s">
        <v>499</v>
      </c>
      <c r="E149" s="312" t="s">
        <v>276</v>
      </c>
      <c r="F149" s="707"/>
    </row>
    <row r="150" spans="1:6" ht="12.75" customHeight="1">
      <c r="A150" s="302">
        <v>85</v>
      </c>
      <c r="B150" s="229" t="s">
        <v>500</v>
      </c>
      <c r="C150" s="381"/>
      <c r="D150" s="235" t="s">
        <v>499</v>
      </c>
      <c r="E150" s="312" t="s">
        <v>276</v>
      </c>
      <c r="F150" s="707"/>
    </row>
    <row r="151" spans="1:6">
      <c r="A151" s="89"/>
      <c r="B151" s="89"/>
      <c r="C151" s="89"/>
      <c r="D151" s="89"/>
      <c r="E151" s="89"/>
    </row>
  </sheetData>
  <mergeCells count="1">
    <mergeCell ref="A17:E17"/>
  </mergeCells>
  <pageMargins left="0.7" right="0.7" top="0.75" bottom="0.75" header="0.3" footer="0.3"/>
  <pageSetup paperSize="9" scale="50" fitToHeight="0" orientation="landscape" r:id="rId1"/>
  <headerFooter>
    <oddHeader>&amp;R&amp;"Calibri"&amp;12&amp;KFF9100F O R T R O L I G&amp;1#</oddHeader>
  </headerFooter>
  <rowBreaks count="2" manualBreakCount="2">
    <brk id="64" max="16383" man="1"/>
    <brk id="131" max="16383" man="1"/>
  </rowBreaks>
  <ignoredErrors>
    <ignoredError sqref="C16" formulaRange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  <pageSetUpPr fitToPage="1"/>
  </sheetPr>
  <dimension ref="A1:I51"/>
  <sheetViews>
    <sheetView topLeftCell="A10" zoomScaleNormal="100" workbookViewId="0">
      <selection activeCell="B35" sqref="B35:H38"/>
    </sheetView>
  </sheetViews>
  <sheetFormatPr baseColWidth="10" defaultColWidth="11" defaultRowHeight="12"/>
  <cols>
    <col min="1" max="1" width="50.5" style="402" customWidth="1"/>
    <col min="2" max="2" width="17.375" style="402" customWidth="1"/>
    <col min="3" max="5" width="17.25" style="402" customWidth="1"/>
    <col min="6" max="6" width="17.25" style="463" customWidth="1"/>
    <col min="7" max="7" width="11" style="402"/>
    <col min="8" max="8" width="19" style="402" customWidth="1"/>
    <col min="9" max="9" width="11.875" style="402" customWidth="1"/>
    <col min="10" max="16384" width="11" style="402"/>
  </cols>
  <sheetData>
    <row r="1" spans="1:9" ht="21">
      <c r="A1" s="685" t="s">
        <v>838</v>
      </c>
      <c r="B1" s="707"/>
      <c r="C1" s="707"/>
      <c r="D1" s="320"/>
      <c r="E1" s="707"/>
      <c r="F1" s="707"/>
      <c r="G1" s="320"/>
      <c r="H1" s="707"/>
      <c r="I1" s="707"/>
    </row>
    <row r="2" spans="1:9">
      <c r="A2" s="707"/>
      <c r="B2" s="335"/>
      <c r="C2" s="335"/>
      <c r="D2" s="335"/>
      <c r="E2" s="335"/>
      <c r="F2" s="335"/>
      <c r="G2" s="335"/>
      <c r="H2" s="335"/>
      <c r="I2" s="335"/>
    </row>
    <row r="3" spans="1:9">
      <c r="A3" s="335"/>
      <c r="B3" s="335"/>
      <c r="C3" s="335"/>
      <c r="D3" s="335"/>
      <c r="E3" s="335"/>
      <c r="F3" s="335"/>
      <c r="G3" s="335"/>
      <c r="H3" s="335"/>
      <c r="I3" s="335"/>
    </row>
    <row r="4" spans="1:9" ht="48.75" customHeight="1">
      <c r="A4" s="712"/>
      <c r="B4" s="313" t="s">
        <v>920</v>
      </c>
      <c r="C4" s="472" t="s">
        <v>543</v>
      </c>
      <c r="D4" s="472" t="s">
        <v>544</v>
      </c>
      <c r="E4" s="313" t="s">
        <v>545</v>
      </c>
      <c r="F4" s="472" t="s">
        <v>683</v>
      </c>
      <c r="G4" s="313" t="s">
        <v>546</v>
      </c>
      <c r="H4" s="313" t="s">
        <v>921</v>
      </c>
      <c r="I4" s="313" t="s">
        <v>501</v>
      </c>
    </row>
    <row r="5" spans="1:9" ht="12.75" customHeight="1" thickBot="1">
      <c r="A5" s="310" t="s">
        <v>502</v>
      </c>
      <c r="B5" s="327"/>
      <c r="C5" s="327"/>
      <c r="D5" s="327"/>
      <c r="E5" s="327"/>
      <c r="F5" s="327"/>
      <c r="G5" s="327"/>
      <c r="H5" s="331"/>
      <c r="I5" s="327"/>
    </row>
    <row r="6" spans="1:9" ht="12.75" customHeight="1">
      <c r="A6" s="764" t="s">
        <v>503</v>
      </c>
      <c r="B6" s="556">
        <v>405</v>
      </c>
      <c r="C6" s="556">
        <v>0</v>
      </c>
      <c r="D6" s="556">
        <v>0</v>
      </c>
      <c r="E6" s="556">
        <v>0</v>
      </c>
      <c r="F6" s="556">
        <v>0</v>
      </c>
      <c r="G6" s="322"/>
      <c r="H6" s="332">
        <f>SUM(B6:G6)</f>
        <v>405</v>
      </c>
      <c r="I6" s="328"/>
    </row>
    <row r="7" spans="1:9" ht="12.75" customHeight="1">
      <c r="A7" s="764" t="s">
        <v>504</v>
      </c>
      <c r="B7" s="556">
        <v>7181</v>
      </c>
      <c r="C7" s="556">
        <f>'[1]SB1 Boligkreditt'!C6/1000</f>
        <v>98.830352929100016</v>
      </c>
      <c r="D7" s="556">
        <f>'[1]SB1 Næringskreditt'!C6/1000</f>
        <v>73.47116201174083</v>
      </c>
      <c r="E7" s="556">
        <f>'[1]BN Bank'!C6/1000</f>
        <v>278.81241303708396</v>
      </c>
      <c r="F7" s="763">
        <f>'[1]SB1 Kredittkort'!C6/1000</f>
        <v>130.96129796137015</v>
      </c>
      <c r="G7" s="322">
        <f>-157-5</f>
        <v>-162</v>
      </c>
      <c r="H7" s="332">
        <f t="shared" ref="H7:H16" si="0">SUM(B7:G7)</f>
        <v>7601.0752259392948</v>
      </c>
      <c r="I7" s="328"/>
    </row>
    <row r="8" spans="1:9" ht="12.75" customHeight="1">
      <c r="A8" s="764" t="s">
        <v>590</v>
      </c>
      <c r="B8" s="556">
        <v>210180</v>
      </c>
      <c r="C8" s="556">
        <f>'[1]SB1 Boligkreditt'!C8/1000</f>
        <v>4413.0927416654004</v>
      </c>
      <c r="D8" s="556">
        <f>'[1]SB1 Næringskreditt'!C8/1000</f>
        <v>1576.198533259233</v>
      </c>
      <c r="E8" s="556">
        <f>'[1]BN Bank'!C7/1000</f>
        <v>8969.2890826723979</v>
      </c>
      <c r="F8" s="763">
        <f>('[1]SB1 Kredittkort'!C7+'[1]SB1 Kredittkort'!C8)/1000</f>
        <v>855.88641251344347</v>
      </c>
      <c r="G8" s="322"/>
      <c r="H8" s="332">
        <f t="shared" si="0"/>
        <v>225994.46677011048</v>
      </c>
      <c r="I8" s="328"/>
    </row>
    <row r="9" spans="1:9" ht="12.75" customHeight="1">
      <c r="A9" s="764" t="s">
        <v>505</v>
      </c>
      <c r="B9" s="556">
        <v>37493</v>
      </c>
      <c r="C9" s="556">
        <f>'[1]SB1 Boligkreditt'!C7/1000</f>
        <v>857.33510565950007</v>
      </c>
      <c r="D9" s="556">
        <f>'[1]SB1 Næringskreditt'!C7/1000</f>
        <v>92.50867555006802</v>
      </c>
      <c r="E9" s="556">
        <f>'[1]BN Bank'!C8/1000</f>
        <v>1968.7021500267683</v>
      </c>
      <c r="F9" s="763">
        <v>0</v>
      </c>
      <c r="G9" s="707"/>
      <c r="H9" s="332">
        <f t="shared" si="0"/>
        <v>40411.545931236331</v>
      </c>
      <c r="I9" s="328"/>
    </row>
    <row r="10" spans="1:9" ht="12.75" customHeight="1">
      <c r="A10" s="764" t="s">
        <v>506</v>
      </c>
      <c r="B10" s="556">
        <v>15126</v>
      </c>
      <c r="C10" s="556">
        <f>'[1]SB1 Boligkreditt'!C9/1000</f>
        <v>859.7020195491001</v>
      </c>
      <c r="D10" s="556">
        <f>'[1]SB1 Næringskreditt'!C9/1000</f>
        <v>129.38599603947003</v>
      </c>
      <c r="E10" s="556">
        <f>'[1]BN Bank'!C9/1000</f>
        <v>95.472617660592022</v>
      </c>
      <c r="F10" s="763">
        <v>0</v>
      </c>
      <c r="G10" s="322"/>
      <c r="H10" s="332">
        <f t="shared" si="0"/>
        <v>16210.560633249162</v>
      </c>
      <c r="I10" s="328"/>
    </row>
    <row r="11" spans="1:9" ht="12.75" customHeight="1">
      <c r="A11" s="764" t="s">
        <v>507</v>
      </c>
      <c r="B11" s="556">
        <v>797</v>
      </c>
      <c r="C11" s="556">
        <v>0</v>
      </c>
      <c r="D11" s="556">
        <v>0</v>
      </c>
      <c r="E11" s="556">
        <f>'[1]BN Bank'!C10/1000</f>
        <v>296.05904669598004</v>
      </c>
      <c r="F11" s="763">
        <v>0</v>
      </c>
      <c r="G11" s="322"/>
      <c r="H11" s="332">
        <f t="shared" si="0"/>
        <v>1093.05904669598</v>
      </c>
      <c r="I11" s="328"/>
    </row>
    <row r="12" spans="1:9" ht="12.75" customHeight="1">
      <c r="A12" s="764" t="s">
        <v>508</v>
      </c>
      <c r="B12" s="556">
        <v>4412</v>
      </c>
      <c r="C12" s="556">
        <v>0</v>
      </c>
      <c r="D12" s="556">
        <v>0</v>
      </c>
      <c r="E12" s="556">
        <f>'[1]BN Bank'!C11/1000</f>
        <v>0</v>
      </c>
      <c r="F12" s="763">
        <v>0</v>
      </c>
      <c r="G12" s="776">
        <f>-247-1492+44-173-331+18</f>
        <v>-2181</v>
      </c>
      <c r="H12" s="332">
        <f t="shared" si="0"/>
        <v>2231</v>
      </c>
      <c r="I12" s="332" t="s">
        <v>547</v>
      </c>
    </row>
    <row r="13" spans="1:9" ht="12.75" customHeight="1">
      <c r="A13" s="765" t="s">
        <v>509</v>
      </c>
      <c r="B13" s="556">
        <v>0</v>
      </c>
      <c r="C13" s="556">
        <v>0</v>
      </c>
      <c r="D13" s="556">
        <v>0</v>
      </c>
      <c r="E13" s="556">
        <f>'[1]BN Bank'!C15/1000</f>
        <v>13.547231809259999</v>
      </c>
      <c r="F13" s="763">
        <v>0</v>
      </c>
      <c r="G13" s="322"/>
      <c r="H13" s="332">
        <f t="shared" si="0"/>
        <v>13.547231809259999</v>
      </c>
      <c r="I13" s="328"/>
    </row>
    <row r="14" spans="1:9" s="758" customFormat="1" ht="12.75" customHeight="1">
      <c r="A14" s="764" t="s">
        <v>882</v>
      </c>
      <c r="B14" s="556">
        <v>458</v>
      </c>
      <c r="C14" s="556">
        <f>'[1]SB1 Boligkreditt'!C10/1000</f>
        <v>5.1635284662000007</v>
      </c>
      <c r="D14" s="556">
        <f>'[1]SB1 Næringskreditt'!C10</f>
        <v>0</v>
      </c>
      <c r="E14" s="556">
        <v>0</v>
      </c>
      <c r="F14" s="763">
        <f>'[1]SB1 Kredittkort'!C10/1000</f>
        <v>4.0065801487079993</v>
      </c>
      <c r="G14" s="322"/>
      <c r="H14" s="332">
        <f t="shared" si="0"/>
        <v>467.17010861490797</v>
      </c>
      <c r="I14" s="328"/>
    </row>
    <row r="15" spans="1:9" ht="12.75" customHeight="1">
      <c r="A15" s="764" t="s">
        <v>510</v>
      </c>
      <c r="B15" s="556">
        <v>278</v>
      </c>
      <c r="C15" s="556">
        <v>0</v>
      </c>
      <c r="D15" s="556">
        <f>'[1]SB1 Næringskreditt'!C11/1000</f>
        <v>0.16935605472599996</v>
      </c>
      <c r="E15" s="556">
        <f>'[1]BN Bank'!C12/1000</f>
        <v>7.235706926842</v>
      </c>
      <c r="F15" s="763">
        <f>'[1]SB1 Kredittkort'!C9/1000</f>
        <v>24.660831578236952</v>
      </c>
      <c r="G15" s="322"/>
      <c r="H15" s="332">
        <f t="shared" si="0"/>
        <v>310.06589455980497</v>
      </c>
      <c r="I15" s="328"/>
    </row>
    <row r="16" spans="1:9" ht="12.75" customHeight="1">
      <c r="A16" s="764" t="s">
        <v>511</v>
      </c>
      <c r="B16" s="556">
        <v>2309</v>
      </c>
      <c r="C16" s="556">
        <f>'[1]SB1 Boligkreditt'!C11/1000</f>
        <v>4.0456481000000002E-2</v>
      </c>
      <c r="D16" s="556">
        <v>0</v>
      </c>
      <c r="E16" s="556">
        <f>('[1]BN Bank'!C13+'[1]BN Bank'!C14)/1000</f>
        <v>33.622493841119997</v>
      </c>
      <c r="F16" s="763">
        <f>(+'[1]SB1 Kredittkort'!C11+'[1]SB1 Kredittkort'!C12+'[1]SB1 Kredittkort'!C13)/1000</f>
        <v>20.040239780150987</v>
      </c>
      <c r="G16" s="322">
        <v>0</v>
      </c>
      <c r="H16" s="332">
        <f t="shared" si="0"/>
        <v>2362.703190102271</v>
      </c>
      <c r="I16" s="328"/>
    </row>
    <row r="17" spans="1:9" ht="12.75" customHeight="1">
      <c r="A17" s="84" t="s">
        <v>512</v>
      </c>
      <c r="B17" s="342">
        <f>SUM(B6:B16)</f>
        <v>278639</v>
      </c>
      <c r="C17" s="342">
        <f t="shared" ref="C17:G17" si="1">SUM(C6:C16)</f>
        <v>6234.1642047503001</v>
      </c>
      <c r="D17" s="342">
        <f t="shared" si="1"/>
        <v>1871.7337229152381</v>
      </c>
      <c r="E17" s="342">
        <f t="shared" si="1"/>
        <v>11662.740742670045</v>
      </c>
      <c r="F17" s="342">
        <f t="shared" si="1"/>
        <v>1035.5553619819098</v>
      </c>
      <c r="G17" s="342">
        <f t="shared" si="1"/>
        <v>-2343</v>
      </c>
      <c r="H17" s="342">
        <f>SUM(H6:H16)</f>
        <v>297100.19403231749</v>
      </c>
      <c r="I17" s="333"/>
    </row>
    <row r="18" spans="1:9" ht="12.75" customHeight="1">
      <c r="A18" s="14"/>
      <c r="B18" s="256"/>
      <c r="C18" s="473"/>
      <c r="D18" s="473"/>
      <c r="E18" s="473"/>
      <c r="F18" s="473"/>
      <c r="G18" s="473"/>
      <c r="H18" s="256"/>
      <c r="I18" s="256"/>
    </row>
    <row r="19" spans="1:9" ht="12.75" customHeight="1" thickBot="1">
      <c r="A19" s="310" t="s">
        <v>513</v>
      </c>
      <c r="B19" s="327"/>
      <c r="C19" s="327"/>
      <c r="D19" s="327"/>
      <c r="E19" s="327"/>
      <c r="F19" s="327"/>
      <c r="G19" s="327"/>
      <c r="H19" s="331"/>
      <c r="I19" s="327"/>
    </row>
    <row r="20" spans="1:9" ht="12.75" customHeight="1">
      <c r="A20" s="764" t="s">
        <v>514</v>
      </c>
      <c r="B20" s="556">
        <v>4534</v>
      </c>
      <c r="C20" s="556">
        <v>0</v>
      </c>
      <c r="D20" s="556">
        <f>'[1]SB1 Næringskreditt'!C15/1000</f>
        <v>33.982667849999999</v>
      </c>
      <c r="E20" s="556">
        <f>'[1]BN Bank'!C18/1000</f>
        <v>185.44051383748283</v>
      </c>
      <c r="F20" s="766">
        <f>'[1]SB1 Kredittkort'!C16/1000</f>
        <v>802.34999999999991</v>
      </c>
      <c r="G20" s="322">
        <f>-157-5</f>
        <v>-162</v>
      </c>
      <c r="H20" s="332">
        <f t="shared" ref="H20:H31" si="2">SUM(B20:G20)</f>
        <v>5393.7731816874839</v>
      </c>
      <c r="I20" s="328"/>
    </row>
    <row r="21" spans="1:9" ht="12.75" customHeight="1">
      <c r="A21" s="764" t="s">
        <v>515</v>
      </c>
      <c r="B21" s="556">
        <v>105545</v>
      </c>
      <c r="C21" s="556">
        <v>0</v>
      </c>
      <c r="D21" s="556">
        <v>0</v>
      </c>
      <c r="E21" s="556">
        <f>'[1]BN Bank'!C19/1000</f>
        <v>5586.7823909454019</v>
      </c>
      <c r="F21" s="766">
        <v>0</v>
      </c>
      <c r="G21" s="322"/>
      <c r="H21" s="332">
        <f t="shared" si="2"/>
        <v>111131.7823909454</v>
      </c>
      <c r="I21" s="328"/>
    </row>
    <row r="22" spans="1:9" ht="12.75" customHeight="1">
      <c r="A22" s="764" t="s">
        <v>172</v>
      </c>
      <c r="B22" s="556">
        <v>126448</v>
      </c>
      <c r="C22" s="556">
        <f>'[1]SB1 Boligkreditt'!C14/1000</f>
        <v>5299.8458408337001</v>
      </c>
      <c r="D22" s="556">
        <f>'[1]SB1 Næringskreditt'!C14/1000</f>
        <v>1501.9662462247741</v>
      </c>
      <c r="E22" s="556">
        <f>'[1]BN Bank'!C20/1000</f>
        <v>4105.7223593205781</v>
      </c>
      <c r="F22" s="766">
        <v>0</v>
      </c>
      <c r="G22" s="322"/>
      <c r="H22" s="332">
        <f t="shared" si="2"/>
        <v>137355.53444637905</v>
      </c>
      <c r="I22" s="328"/>
    </row>
    <row r="23" spans="1:9" ht="12.75" customHeight="1">
      <c r="A23" s="764" t="s">
        <v>506</v>
      </c>
      <c r="B23" s="556">
        <v>12282</v>
      </c>
      <c r="C23" s="556">
        <f>('[1]SB1 Boligkreditt'!C15+'[1]SB1 Boligkreditt'!C17)/1000</f>
        <v>623.41133735790015</v>
      </c>
      <c r="D23" s="556">
        <f>'[1]SB1 Næringskreditt'!C17/1000</f>
        <v>0</v>
      </c>
      <c r="E23" s="556">
        <f>'[1]BN Bank'!C21/1000</f>
        <v>42.310020719569998</v>
      </c>
      <c r="F23" s="766">
        <v>0</v>
      </c>
      <c r="G23" s="322"/>
      <c r="H23" s="332">
        <f t="shared" si="2"/>
        <v>12947.72135807747</v>
      </c>
      <c r="I23" s="328"/>
    </row>
    <row r="24" spans="1:9" ht="12.75" customHeight="1">
      <c r="A24" s="764" t="s">
        <v>516</v>
      </c>
      <c r="B24" s="758">
        <v>0</v>
      </c>
      <c r="C24" s="556">
        <f>'[1]SB1 Boligkreditt'!C18/1000</f>
        <v>0</v>
      </c>
      <c r="D24" s="556">
        <f>'[1]SB1 Næringskreditt'!C18/1000</f>
        <v>2.4285862661849995</v>
      </c>
      <c r="E24" s="758">
        <v>0</v>
      </c>
      <c r="F24" s="766">
        <v>0</v>
      </c>
      <c r="G24" s="89"/>
      <c r="H24" s="332">
        <f t="shared" si="2"/>
        <v>2.4285862661849995</v>
      </c>
      <c r="I24" s="91"/>
    </row>
    <row r="25" spans="1:9" ht="13.5" customHeight="1">
      <c r="A25" s="764" t="s">
        <v>517</v>
      </c>
      <c r="B25" s="556">
        <v>2611</v>
      </c>
      <c r="C25" s="556">
        <f>('[1]SB1 Boligkreditt'!C19+'[1]SB1 Boligkreditt'!C21)/1000</f>
        <v>11.385226281</v>
      </c>
      <c r="D25" s="556">
        <f>('[1]SB1 Næringskreditt'!C19+'[1]SB1 Næringskreditt'!C20)/1000</f>
        <v>14.946178947263999</v>
      </c>
      <c r="E25" s="556">
        <f>('[1]BN Bank'!C22+'[1]BN Bank'!C23)/1000</f>
        <v>109.60071391433</v>
      </c>
      <c r="F25" s="766">
        <f>('[1]SB1 Kredittkort'!C17+'[1]SB1 Kredittkort'!C18+'[1]SB1 Kredittkort'!C19+'[1]SB1 Kredittkort'!C20)/1000</f>
        <v>42.69486580088595</v>
      </c>
      <c r="G25" s="322"/>
      <c r="H25" s="332">
        <f t="shared" si="2"/>
        <v>2789.6269849434798</v>
      </c>
      <c r="I25" s="328"/>
    </row>
    <row r="26" spans="1:9" ht="12.75" customHeight="1">
      <c r="A26" s="764" t="s">
        <v>518</v>
      </c>
      <c r="B26" s="556">
        <v>2211</v>
      </c>
      <c r="C26" s="556">
        <f>('[1]SB1 Boligkreditt'!C20+'[1]SB1 Boligkreditt'!C26)/1000</f>
        <v>57.755120328100006</v>
      </c>
      <c r="D26" s="556">
        <v>0</v>
      </c>
      <c r="E26" s="556">
        <f>('[1]BN Bank'!C24+'[1]BN Bank'!C29)/1000</f>
        <v>184.32814247972402</v>
      </c>
      <c r="F26" s="766">
        <f>'[1]SB1 Kredittkort'!C21/1000</f>
        <v>17.829999999999998</v>
      </c>
      <c r="G26" s="322"/>
      <c r="H26" s="474">
        <f t="shared" si="2"/>
        <v>2470.9132628078241</v>
      </c>
      <c r="I26" s="328"/>
    </row>
    <row r="27" spans="1:9" ht="12.75" customHeight="1">
      <c r="A27" s="767" t="s">
        <v>695</v>
      </c>
      <c r="B27" s="768">
        <v>0</v>
      </c>
      <c r="C27" s="768">
        <v>0</v>
      </c>
      <c r="D27" s="768">
        <v>0</v>
      </c>
      <c r="E27" s="768">
        <v>0</v>
      </c>
      <c r="F27" s="769">
        <v>0</v>
      </c>
      <c r="G27" s="264"/>
      <c r="H27" s="609">
        <f t="shared" si="2"/>
        <v>0</v>
      </c>
      <c r="I27" s="328"/>
    </row>
    <row r="28" spans="1:9" s="470" customFormat="1" ht="12.75" customHeight="1">
      <c r="A28" s="767" t="s">
        <v>696</v>
      </c>
      <c r="B28" s="770">
        <v>1850</v>
      </c>
      <c r="C28" s="771">
        <v>26</v>
      </c>
      <c r="D28" s="771">
        <v>0</v>
      </c>
      <c r="E28" s="771">
        <v>107</v>
      </c>
      <c r="F28" s="771">
        <v>0</v>
      </c>
      <c r="G28" s="264"/>
      <c r="H28" s="468">
        <f t="shared" si="2"/>
        <v>1983</v>
      </c>
      <c r="I28" s="332" t="s">
        <v>803</v>
      </c>
    </row>
    <row r="29" spans="1:9" ht="12.75" customHeight="1">
      <c r="A29" s="767" t="s">
        <v>519</v>
      </c>
      <c r="B29" s="768">
        <v>2054</v>
      </c>
      <c r="C29" s="768">
        <v>32</v>
      </c>
      <c r="D29" s="768">
        <v>0</v>
      </c>
      <c r="E29" s="768">
        <v>139</v>
      </c>
      <c r="F29" s="769">
        <v>14</v>
      </c>
      <c r="G29" s="264"/>
      <c r="H29" s="609">
        <f t="shared" si="2"/>
        <v>2239</v>
      </c>
      <c r="I29" s="332" t="s">
        <v>803</v>
      </c>
    </row>
    <row r="30" spans="1:9" ht="12.75" customHeight="1">
      <c r="A30" s="767" t="s">
        <v>520</v>
      </c>
      <c r="B30" s="772"/>
      <c r="C30" s="773"/>
      <c r="D30" s="773"/>
      <c r="E30" s="773">
        <v>0</v>
      </c>
      <c r="F30" s="774"/>
      <c r="G30" s="324"/>
      <c r="H30" s="332">
        <f t="shared" si="2"/>
        <v>0</v>
      </c>
      <c r="I30" s="330"/>
    </row>
    <row r="31" spans="1:9" ht="12.75" customHeight="1">
      <c r="A31" s="767" t="s">
        <v>521</v>
      </c>
      <c r="B31" s="773"/>
      <c r="C31" s="773"/>
      <c r="D31" s="773"/>
      <c r="E31" s="773"/>
      <c r="F31" s="773"/>
      <c r="G31" s="324"/>
      <c r="H31" s="332">
        <f t="shared" si="2"/>
        <v>0</v>
      </c>
      <c r="I31" s="330"/>
    </row>
    <row r="32" spans="1:9" ht="12.75" customHeight="1">
      <c r="A32" s="84" t="s">
        <v>522</v>
      </c>
      <c r="B32" s="342">
        <f>SUM(B20:B26)</f>
        <v>253631</v>
      </c>
      <c r="C32" s="342">
        <f t="shared" ref="C32:G32" si="3">SUM(C20:C26)</f>
        <v>5992.3975248007</v>
      </c>
      <c r="D32" s="342">
        <f t="shared" si="3"/>
        <v>1553.323679288223</v>
      </c>
      <c r="E32" s="342">
        <f t="shared" si="3"/>
        <v>10214.184141217085</v>
      </c>
      <c r="F32" s="342">
        <f t="shared" si="3"/>
        <v>862.87486580088591</v>
      </c>
      <c r="G32" s="342">
        <f t="shared" si="3"/>
        <v>-162</v>
      </c>
      <c r="H32" s="342">
        <f>SUM(H20:H26)</f>
        <v>272091.78021110687</v>
      </c>
      <c r="I32" s="333"/>
    </row>
    <row r="33" spans="1:9" ht="12.75" customHeight="1">
      <c r="A33" s="14"/>
      <c r="B33" s="256"/>
      <c r="C33" s="473"/>
      <c r="D33" s="473"/>
      <c r="E33" s="473"/>
      <c r="F33" s="473"/>
      <c r="G33" s="473"/>
      <c r="H33" s="256"/>
      <c r="I33" s="256"/>
    </row>
    <row r="34" spans="1:9" ht="12.75" customHeight="1" thickBot="1">
      <c r="A34" s="310" t="s">
        <v>523</v>
      </c>
      <c r="B34" s="327"/>
      <c r="C34" s="327"/>
      <c r="D34" s="327"/>
      <c r="E34" s="327"/>
      <c r="F34" s="327"/>
      <c r="G34" s="327"/>
      <c r="H34" s="331"/>
      <c r="I34" s="327"/>
    </row>
    <row r="35" spans="1:9" ht="12.75" customHeight="1">
      <c r="A35" s="321" t="s">
        <v>524</v>
      </c>
      <c r="B35" s="556">
        <v>7981</v>
      </c>
      <c r="C35" s="775">
        <f>'[1]SB1 Boligkreditt'!C24/1000</f>
        <v>252.34818996140001</v>
      </c>
      <c r="D35" s="775">
        <f>'[1]SB1 Næringskreditt'!C23/1000</f>
        <v>317.20225349999998</v>
      </c>
      <c r="E35" s="775">
        <f>('[1]BN Bank'!C27+'[1]BN Bank'!C28)/1000</f>
        <v>392.37058531520006</v>
      </c>
      <c r="F35" s="766">
        <f>('[1]SB1 Kredittkort'!C24+'[1]SB1 Kredittkort'!C25)/1000</f>
        <v>159.59623193499999</v>
      </c>
      <c r="G35" s="775">
        <f>-C35-D35-E35-F35</f>
        <v>-1121.5172607116001</v>
      </c>
      <c r="H35" s="340">
        <f t="shared" ref="H35:H37" si="4">SUM(B35:G35)</f>
        <v>7981</v>
      </c>
      <c r="I35" s="340" t="s">
        <v>77</v>
      </c>
    </row>
    <row r="36" spans="1:9" s="467" customFormat="1" ht="12.75" customHeight="1">
      <c r="A36" s="323" t="s">
        <v>696</v>
      </c>
      <c r="B36" s="770">
        <v>1850</v>
      </c>
      <c r="C36" s="771"/>
      <c r="D36" s="771"/>
      <c r="E36" s="775"/>
      <c r="F36" s="766"/>
      <c r="G36" s="775"/>
      <c r="H36" s="468">
        <f t="shared" si="4"/>
        <v>1850</v>
      </c>
      <c r="I36" s="341"/>
    </row>
    <row r="37" spans="1:9" ht="12.75" customHeight="1">
      <c r="A37" s="321" t="s">
        <v>10</v>
      </c>
      <c r="B37" s="556">
        <v>14956</v>
      </c>
      <c r="C37" s="775">
        <f>'[1]SB1 Boligkreditt'!C27/1000</f>
        <v>-7.6674750191000003</v>
      </c>
      <c r="D37" s="775">
        <f>'[1]SB1 Næringskreditt'!C25/1000+'[1]SB1 Næringskreditt'!C26/1000</f>
        <v>1.3193628422999999E-2</v>
      </c>
      <c r="E37" s="775">
        <f>'[1]BN Bank'!C30/1000</f>
        <v>1033.2125385835582</v>
      </c>
      <c r="F37" s="766">
        <f>'[1]SB1 Kredittkort'!C26/1000+'[1]SB1 Kredittkort'!C27/1000</f>
        <v>13.084264226401004</v>
      </c>
      <c r="G37" s="775">
        <f>-C37-D37-E37-F37</f>
        <v>-1038.6425214192823</v>
      </c>
      <c r="H37" s="340">
        <f t="shared" si="4"/>
        <v>14956.000000000002</v>
      </c>
      <c r="I37" s="340" t="s">
        <v>77</v>
      </c>
    </row>
    <row r="38" spans="1:9" ht="12.75" customHeight="1">
      <c r="A38" s="321" t="s">
        <v>598</v>
      </c>
      <c r="B38" s="556">
        <v>221</v>
      </c>
      <c r="C38" s="775">
        <f>+'[1]SB1 Boligkreditt'!C28/1000</f>
        <v>-2.914034948500003</v>
      </c>
      <c r="D38" s="775">
        <f>'[1]SB1 Næringskreditt'!C27/1000</f>
        <v>1.1945965689269999</v>
      </c>
      <c r="E38" s="775">
        <f>'[1]BN Bank'!C31/1000</f>
        <v>22.973477554200002</v>
      </c>
      <c r="F38" s="766">
        <v>0</v>
      </c>
      <c r="G38" s="775">
        <f>-C38-D38-E38-F38</f>
        <v>-21.254039174627</v>
      </c>
      <c r="H38" s="340">
        <f>SUM(B38:G38)</f>
        <v>221.00000000000003</v>
      </c>
      <c r="I38" s="340"/>
    </row>
    <row r="39" spans="1:9" ht="12.75" customHeight="1">
      <c r="A39" s="84" t="s">
        <v>525</v>
      </c>
      <c r="B39" s="342">
        <f t="shared" ref="B39:H39" si="5">SUM(B35:B38)</f>
        <v>25008</v>
      </c>
      <c r="C39" s="342">
        <f t="shared" si="5"/>
        <v>241.76667999379998</v>
      </c>
      <c r="D39" s="342">
        <f t="shared" si="5"/>
        <v>318.41004369734998</v>
      </c>
      <c r="E39" s="342">
        <f t="shared" si="5"/>
        <v>1448.5566014529581</v>
      </c>
      <c r="F39" s="342">
        <f t="shared" si="5"/>
        <v>172.68049616140098</v>
      </c>
      <c r="G39" s="342">
        <f t="shared" si="5"/>
        <v>-2181.4138213055094</v>
      </c>
      <c r="H39" s="342">
        <f t="shared" si="5"/>
        <v>25008</v>
      </c>
      <c r="I39" s="406" t="s">
        <v>77</v>
      </c>
    </row>
    <row r="40" spans="1:9" ht="12.75" customHeight="1">
      <c r="A40" s="325"/>
      <c r="B40" s="326"/>
      <c r="C40" s="326"/>
      <c r="D40" s="326"/>
      <c r="E40" s="326"/>
      <c r="F40" s="326"/>
      <c r="G40" s="326"/>
      <c r="H40" s="326"/>
      <c r="I40" s="329"/>
    </row>
    <row r="41" spans="1:9" ht="12.75" thickBot="1">
      <c r="A41" s="310" t="s">
        <v>526</v>
      </c>
      <c r="B41" s="343">
        <f t="shared" ref="B41:H41" si="6">B32+B39</f>
        <v>278639</v>
      </c>
      <c r="C41" s="344">
        <f t="shared" si="6"/>
        <v>6234.1642047944997</v>
      </c>
      <c r="D41" s="344">
        <f t="shared" si="6"/>
        <v>1871.733722985573</v>
      </c>
      <c r="E41" s="344">
        <f t="shared" si="6"/>
        <v>11662.740742670043</v>
      </c>
      <c r="F41" s="344">
        <f t="shared" si="6"/>
        <v>1035.555361962287</v>
      </c>
      <c r="G41" s="344">
        <f t="shared" si="6"/>
        <v>-2343.4138213055094</v>
      </c>
      <c r="H41" s="344">
        <f t="shared" si="6"/>
        <v>297099.78021110687</v>
      </c>
      <c r="I41" s="334"/>
    </row>
    <row r="42" spans="1:9">
      <c r="A42" s="707"/>
      <c r="B42" s="707"/>
      <c r="C42" s="707"/>
      <c r="D42" s="707"/>
      <c r="E42" s="707"/>
      <c r="F42" s="707"/>
      <c r="G42" s="707"/>
      <c r="H42" s="337"/>
      <c r="I42" s="707"/>
    </row>
    <row r="43" spans="1:9">
      <c r="A43" s="707"/>
      <c r="B43" s="707"/>
      <c r="C43" s="707"/>
      <c r="D43" s="707"/>
      <c r="E43" s="707"/>
      <c r="F43" s="707"/>
      <c r="G43" s="707"/>
      <c r="H43" s="707"/>
      <c r="I43" s="707"/>
    </row>
    <row r="44" spans="1:9">
      <c r="A44" s="707" t="s">
        <v>883</v>
      </c>
      <c r="B44" s="707"/>
      <c r="C44" s="707"/>
      <c r="D44" s="707"/>
      <c r="E44" s="707"/>
      <c r="F44" s="707"/>
      <c r="G44" s="707"/>
      <c r="H44" s="707"/>
      <c r="I44" s="707"/>
    </row>
    <row r="45" spans="1:9">
      <c r="A45" s="707" t="s">
        <v>684</v>
      </c>
      <c r="B45" s="707"/>
      <c r="C45" s="707"/>
      <c r="D45" s="707"/>
      <c r="E45" s="707"/>
      <c r="F45" s="707"/>
      <c r="G45" s="707"/>
      <c r="H45" s="707"/>
      <c r="I45" s="707"/>
    </row>
    <row r="46" spans="1:9">
      <c r="A46" s="707" t="s">
        <v>884</v>
      </c>
      <c r="B46" s="320"/>
      <c r="C46" s="320"/>
      <c r="D46" s="320"/>
      <c r="E46" s="320"/>
      <c r="F46" s="320"/>
      <c r="G46" s="707"/>
      <c r="H46" s="707"/>
      <c r="I46" s="707"/>
    </row>
    <row r="47" spans="1:9">
      <c r="A47" s="707" t="s">
        <v>802</v>
      </c>
      <c r="B47" s="707"/>
      <c r="C47" s="707"/>
      <c r="D47" s="707"/>
      <c r="E47" s="707"/>
      <c r="F47" s="707"/>
      <c r="G47" s="707"/>
      <c r="H47" s="707"/>
      <c r="I47" s="707"/>
    </row>
    <row r="51" spans="2:2">
      <c r="B51" s="714"/>
    </row>
  </sheetData>
  <pageMargins left="0.7" right="0.7" top="0.75" bottom="0.75" header="0.3" footer="0.3"/>
  <pageSetup paperSize="9" scale="65" fitToHeight="0" orientation="landscape" r:id="rId1"/>
  <headerFooter>
    <oddHeader>&amp;R&amp;"Calibri"&amp;12&amp;KFF9100F O R T R O L I G&amp;1#</oddHeader>
  </headerFooter>
  <ignoredErrors>
    <ignoredError sqref="B32" formulaRange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</sheetPr>
  <dimension ref="A1:C50"/>
  <sheetViews>
    <sheetView zoomScaleNormal="100" workbookViewId="0">
      <selection activeCell="B38" sqref="B38:C39"/>
    </sheetView>
  </sheetViews>
  <sheetFormatPr baseColWidth="10" defaultColWidth="11" defaultRowHeight="12"/>
  <cols>
    <col min="1" max="1" width="82.5" style="402" customWidth="1"/>
    <col min="2" max="2" width="11.25" style="402" bestFit="1" customWidth="1"/>
    <col min="3" max="16384" width="11" style="402"/>
  </cols>
  <sheetData>
    <row r="1" spans="1:3" s="407" customFormat="1" ht="21">
      <c r="A1" s="685" t="s">
        <v>537</v>
      </c>
      <c r="B1" s="707"/>
      <c r="C1" s="707"/>
    </row>
    <row r="2" spans="1:3" s="407" customFormat="1">
      <c r="A2" s="707"/>
      <c r="B2" s="707"/>
      <c r="C2" s="707"/>
    </row>
    <row r="3" spans="1:3" s="407" customFormat="1" ht="12.75" thickBot="1">
      <c r="A3" s="327"/>
      <c r="B3" s="610">
        <v>43921</v>
      </c>
      <c r="C3" s="380">
        <v>43830</v>
      </c>
    </row>
    <row r="4" spans="1:3">
      <c r="A4" s="707" t="s">
        <v>608</v>
      </c>
      <c r="B4" s="19"/>
      <c r="C4" s="19"/>
    </row>
    <row r="5" spans="1:3">
      <c r="A5" s="707" t="s">
        <v>609</v>
      </c>
      <c r="B5" s="19"/>
      <c r="C5" s="19"/>
    </row>
    <row r="6" spans="1:3">
      <c r="A6" s="707" t="s">
        <v>610</v>
      </c>
      <c r="B6" s="19"/>
      <c r="C6" s="19"/>
    </row>
    <row r="7" spans="1:3">
      <c r="A7" s="707" t="s">
        <v>611</v>
      </c>
      <c r="B7" s="19"/>
      <c r="C7" s="19"/>
    </row>
    <row r="8" spans="1:3">
      <c r="A8" s="707" t="s">
        <v>612</v>
      </c>
      <c r="B8" s="19"/>
      <c r="C8" s="19"/>
    </row>
    <row r="9" spans="1:3">
      <c r="A9" s="707" t="s">
        <v>613</v>
      </c>
      <c r="B9" s="19">
        <v>12569002</v>
      </c>
      <c r="C9" s="19">
        <v>4859130</v>
      </c>
    </row>
    <row r="10" spans="1:3" s="407" customFormat="1">
      <c r="A10" s="707" t="s">
        <v>607</v>
      </c>
      <c r="B10" s="19">
        <v>-9324554</v>
      </c>
      <c r="C10" s="19">
        <v>-2766569</v>
      </c>
    </row>
    <row r="11" spans="1:3">
      <c r="A11" s="707" t="s">
        <v>614</v>
      </c>
      <c r="B11" s="19" t="s">
        <v>859</v>
      </c>
      <c r="C11" s="19" t="s">
        <v>859</v>
      </c>
    </row>
    <row r="12" spans="1:3">
      <c r="A12" s="707" t="s">
        <v>531</v>
      </c>
      <c r="B12" s="19">
        <v>1267281.3999999999</v>
      </c>
      <c r="C12" s="19">
        <v>1306405</v>
      </c>
    </row>
    <row r="13" spans="1:3" ht="12.75" customHeight="1">
      <c r="A13" s="707" t="s">
        <v>615</v>
      </c>
      <c r="B13" s="19" t="s">
        <v>859</v>
      </c>
      <c r="C13" s="19" t="s">
        <v>859</v>
      </c>
    </row>
    <row r="14" spans="1:3">
      <c r="A14" s="707" t="s">
        <v>616</v>
      </c>
      <c r="B14" s="19" t="s">
        <v>859</v>
      </c>
      <c r="C14" s="19" t="s">
        <v>859</v>
      </c>
    </row>
    <row r="15" spans="1:3" ht="12.75" customHeight="1">
      <c r="A15" s="707" t="s">
        <v>617</v>
      </c>
      <c r="B15" s="19" t="s">
        <v>859</v>
      </c>
      <c r="C15" s="19" t="s">
        <v>859</v>
      </c>
    </row>
    <row r="16" spans="1:3">
      <c r="A16" s="707" t="s">
        <v>618</v>
      </c>
      <c r="B16" s="19" t="s">
        <v>859</v>
      </c>
      <c r="C16" s="19" t="s">
        <v>859</v>
      </c>
    </row>
    <row r="17" spans="1:3">
      <c r="A17" s="707" t="s">
        <v>619</v>
      </c>
      <c r="B17" s="19" t="s">
        <v>859</v>
      </c>
      <c r="C17" s="19" t="s">
        <v>859</v>
      </c>
    </row>
    <row r="18" spans="1:3">
      <c r="A18" s="707" t="s">
        <v>620</v>
      </c>
      <c r="B18" s="19">
        <v>1057798</v>
      </c>
      <c r="C18" s="19">
        <v>996415</v>
      </c>
    </row>
    <row r="19" spans="1:3">
      <c r="A19" s="707" t="s">
        <v>621</v>
      </c>
      <c r="B19" s="19">
        <v>1685232</v>
      </c>
      <c r="C19" s="19">
        <v>1295018</v>
      </c>
    </row>
    <row r="20" spans="1:3">
      <c r="A20" s="707" t="s">
        <v>622</v>
      </c>
      <c r="B20" s="19">
        <v>8793114</v>
      </c>
      <c r="C20" s="19">
        <v>8787238</v>
      </c>
    </row>
    <row r="21" spans="1:3">
      <c r="A21" s="707" t="s">
        <v>623</v>
      </c>
      <c r="B21" s="19">
        <v>8146792.4000000004</v>
      </c>
      <c r="C21" s="19">
        <v>6456191</v>
      </c>
    </row>
    <row r="22" spans="1:3">
      <c r="A22" s="707" t="s">
        <v>532</v>
      </c>
      <c r="B22" s="19">
        <v>283248244</v>
      </c>
      <c r="C22" s="19">
        <v>270514649</v>
      </c>
    </row>
    <row r="23" spans="1:3">
      <c r="A23" s="707" t="s">
        <v>624</v>
      </c>
      <c r="B23" s="19" t="s">
        <v>859</v>
      </c>
      <c r="C23" s="19" t="s">
        <v>859</v>
      </c>
    </row>
    <row r="24" spans="1:3">
      <c r="A24" s="707" t="s">
        <v>625</v>
      </c>
      <c r="B24" s="19" t="s">
        <v>859</v>
      </c>
      <c r="C24" s="19" t="s">
        <v>859</v>
      </c>
    </row>
    <row r="25" spans="1:3">
      <c r="A25" s="707" t="s">
        <v>626</v>
      </c>
      <c r="B25" s="19" t="s">
        <v>859</v>
      </c>
      <c r="C25" s="19" t="s">
        <v>859</v>
      </c>
    </row>
    <row r="26" spans="1:3">
      <c r="A26" s="707" t="s">
        <v>627</v>
      </c>
      <c r="B26" s="19" t="s">
        <v>859</v>
      </c>
      <c r="C26" s="19" t="s">
        <v>859</v>
      </c>
    </row>
    <row r="27" spans="1:3">
      <c r="A27" s="707" t="s">
        <v>628</v>
      </c>
      <c r="B27" s="19" t="s">
        <v>859</v>
      </c>
      <c r="C27" s="19" t="s">
        <v>859</v>
      </c>
    </row>
    <row r="28" spans="1:3">
      <c r="A28" s="707" t="s">
        <v>629</v>
      </c>
      <c r="B28" s="19" t="s">
        <v>859</v>
      </c>
      <c r="C28" s="19" t="s">
        <v>859</v>
      </c>
    </row>
    <row r="29" spans="1:3">
      <c r="A29" s="707" t="s">
        <v>630</v>
      </c>
      <c r="B29" s="19" t="s">
        <v>859</v>
      </c>
      <c r="C29" s="19" t="s">
        <v>859</v>
      </c>
    </row>
    <row r="30" spans="1:3" ht="12.75" customHeight="1">
      <c r="A30" s="707" t="s">
        <v>631</v>
      </c>
      <c r="B30" s="19">
        <v>-297327</v>
      </c>
      <c r="C30" s="19">
        <v>-402748</v>
      </c>
    </row>
    <row r="31" spans="1:3">
      <c r="A31" s="707" t="s">
        <v>632</v>
      </c>
      <c r="B31" s="19">
        <v>-297327</v>
      </c>
      <c r="C31" s="19">
        <v>-402748</v>
      </c>
    </row>
    <row r="32" spans="1:3">
      <c r="A32" s="707" t="s">
        <v>633</v>
      </c>
      <c r="B32" s="19">
        <v>307145583</v>
      </c>
      <c r="C32" s="19">
        <v>291045729</v>
      </c>
    </row>
    <row r="33" spans="1:3">
      <c r="A33" s="707" t="s">
        <v>634</v>
      </c>
      <c r="B33" s="19">
        <v>307145583</v>
      </c>
      <c r="C33" s="19">
        <v>291045729</v>
      </c>
    </row>
    <row r="34" spans="1:3" ht="12.75" thickBot="1">
      <c r="A34" s="310" t="s">
        <v>637</v>
      </c>
      <c r="B34" s="533"/>
      <c r="C34" s="825"/>
    </row>
    <row r="35" spans="1:3">
      <c r="A35" s="707" t="s">
        <v>533</v>
      </c>
      <c r="B35" s="19">
        <v>24181458</v>
      </c>
      <c r="C35" s="19">
        <v>22626352</v>
      </c>
    </row>
    <row r="36" spans="1:3">
      <c r="A36" s="707" t="s">
        <v>635</v>
      </c>
      <c r="B36" s="19">
        <v>24181458</v>
      </c>
      <c r="C36" s="19">
        <v>22626352</v>
      </c>
    </row>
    <row r="37" spans="1:3" ht="12.75" thickBot="1">
      <c r="A37" s="310" t="s">
        <v>534</v>
      </c>
      <c r="B37" s="533"/>
      <c r="C37" s="825"/>
    </row>
    <row r="38" spans="1:3">
      <c r="A38" s="707" t="s">
        <v>534</v>
      </c>
      <c r="B38" s="534">
        <v>7.8700000000000006E-2</v>
      </c>
      <c r="C38" s="465">
        <v>7.7700000000000005E-2</v>
      </c>
    </row>
    <row r="39" spans="1:3">
      <c r="A39" s="707" t="s">
        <v>636</v>
      </c>
      <c r="B39" s="534">
        <v>7.8700000000000006E-2</v>
      </c>
      <c r="C39" s="465">
        <v>7.7700000000000005E-2</v>
      </c>
    </row>
    <row r="40" spans="1:3">
      <c r="A40" s="707"/>
      <c r="B40" s="707"/>
      <c r="C40" s="707"/>
    </row>
    <row r="41" spans="1:3">
      <c r="A41" s="407"/>
      <c r="B41" s="407"/>
      <c r="C41" s="407"/>
    </row>
    <row r="50" spans="2:2">
      <c r="B50" s="714"/>
    </row>
  </sheetData>
  <conditionalFormatting sqref="B7:B8 B18 B12 B29">
    <cfRule type="cellIs" dxfId="3" priority="6" operator="lessThan">
      <formula>0</formula>
    </cfRule>
  </conditionalFormatting>
  <conditionalFormatting sqref="B27">
    <cfRule type="cellIs" dxfId="2" priority="5" operator="lessThan">
      <formula>B25</formula>
    </cfRule>
  </conditionalFormatting>
  <conditionalFormatting sqref="C7:C8 C18 C12 C29">
    <cfRule type="cellIs" dxfId="1" priority="2" operator="lessThan">
      <formula>0</formula>
    </cfRule>
  </conditionalFormatting>
  <conditionalFormatting sqref="C27">
    <cfRule type="cellIs" dxfId="0" priority="1" operator="lessThan">
      <formula>C25</formula>
    </cfRule>
  </conditionalFormatting>
  <pageMargins left="0.7" right="0.7" top="0.75" bottom="0.75" header="0.3" footer="0.3"/>
  <pageSetup paperSize="9" scale="66" orientation="portrait" r:id="rId1"/>
  <headerFooter>
    <oddHeader>&amp;R&amp;"Calibri"&amp;12&amp;KFF9100F O R T R O L I G&amp;1#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</sheetPr>
  <dimension ref="A1:N50"/>
  <sheetViews>
    <sheetView showGridLines="0" workbookViewId="0">
      <selection activeCell="C16" sqref="C16:C17"/>
    </sheetView>
  </sheetViews>
  <sheetFormatPr baseColWidth="10" defaultColWidth="11" defaultRowHeight="12.75"/>
  <cols>
    <col min="1" max="1" width="40.875" style="435" customWidth="1"/>
    <col min="2" max="2" width="12.5" style="435" customWidth="1"/>
    <col min="3" max="3" width="11" style="435"/>
    <col min="4" max="13" width="15.375" style="435" customWidth="1"/>
    <col min="14" max="16384" width="11" style="435"/>
  </cols>
  <sheetData>
    <row r="1" spans="1:14" ht="21">
      <c r="A1" s="685" t="s">
        <v>918</v>
      </c>
    </row>
    <row r="3" spans="1:14">
      <c r="A3" s="436" t="s">
        <v>44</v>
      </c>
    </row>
    <row r="5" spans="1:14">
      <c r="A5" s="437" t="s">
        <v>657</v>
      </c>
      <c r="B5" s="438"/>
      <c r="C5" s="438"/>
      <c r="D5" s="439"/>
      <c r="E5" s="439"/>
      <c r="F5" s="440"/>
      <c r="G5" s="440"/>
      <c r="H5" s="440"/>
      <c r="I5" s="440"/>
      <c r="J5" s="440"/>
      <c r="K5" s="440"/>
      <c r="L5" s="440"/>
      <c r="M5" s="440"/>
    </row>
    <row r="6" spans="1:14" ht="24.75" customHeight="1">
      <c r="A6" s="437"/>
      <c r="B6" s="877" t="s">
        <v>658</v>
      </c>
      <c r="C6" s="877"/>
      <c r="D6" s="877" t="s">
        <v>659</v>
      </c>
      <c r="E6" s="877"/>
      <c r="F6" s="878" t="s">
        <v>660</v>
      </c>
      <c r="G6" s="878"/>
      <c r="H6" s="878" t="s">
        <v>661</v>
      </c>
      <c r="I6" s="878"/>
      <c r="J6" s="878"/>
      <c r="K6" s="878"/>
      <c r="L6" s="441"/>
      <c r="M6" s="442"/>
    </row>
    <row r="7" spans="1:14" ht="48.75" thickBot="1">
      <c r="A7" s="443"/>
      <c r="B7" s="444" t="s">
        <v>676</v>
      </c>
      <c r="C7" s="444" t="s">
        <v>677</v>
      </c>
      <c r="D7" s="444" t="s">
        <v>664</v>
      </c>
      <c r="E7" s="444" t="s">
        <v>665</v>
      </c>
      <c r="F7" s="444" t="s">
        <v>662</v>
      </c>
      <c r="G7" s="444" t="s">
        <v>663</v>
      </c>
      <c r="H7" s="444" t="s">
        <v>666</v>
      </c>
      <c r="I7" s="444" t="s">
        <v>667</v>
      </c>
      <c r="J7" s="445" t="s">
        <v>668</v>
      </c>
      <c r="K7" s="446" t="s">
        <v>65</v>
      </c>
      <c r="L7" s="447" t="s">
        <v>669</v>
      </c>
      <c r="M7" s="448" t="s">
        <v>670</v>
      </c>
    </row>
    <row r="8" spans="1:14" s="451" customFormat="1">
      <c r="A8" s="449" t="s">
        <v>229</v>
      </c>
      <c r="B8" s="829">
        <v>55785971</v>
      </c>
      <c r="C8" s="830">
        <v>252943321</v>
      </c>
      <c r="D8" s="536">
        <v>0</v>
      </c>
      <c r="E8" s="536">
        <v>0</v>
      </c>
      <c r="F8" s="536">
        <v>0</v>
      </c>
      <c r="G8" s="536">
        <v>0</v>
      </c>
      <c r="H8" s="831">
        <v>9093398</v>
      </c>
      <c r="I8" s="536">
        <v>0</v>
      </c>
      <c r="J8" s="536">
        <v>0</v>
      </c>
      <c r="K8" s="832">
        <f>H8+I8+J8</f>
        <v>9093398</v>
      </c>
      <c r="L8" s="537"/>
      <c r="M8" s="538">
        <v>0.01</v>
      </c>
      <c r="N8" s="450"/>
    </row>
    <row r="9" spans="1:14" s="454" customFormat="1">
      <c r="A9" s="452" t="s">
        <v>65</v>
      </c>
      <c r="B9" s="539">
        <f>B8</f>
        <v>55785971</v>
      </c>
      <c r="C9" s="539">
        <f>C8</f>
        <v>252943321</v>
      </c>
      <c r="D9" s="539">
        <f t="shared" ref="D9:K9" si="0">+D8</f>
        <v>0</v>
      </c>
      <c r="E9" s="539">
        <f t="shared" si="0"/>
        <v>0</v>
      </c>
      <c r="F9" s="539">
        <f t="shared" si="0"/>
        <v>0</v>
      </c>
      <c r="G9" s="539">
        <f t="shared" si="0"/>
        <v>0</v>
      </c>
      <c r="H9" s="539">
        <f>H8</f>
        <v>9093398</v>
      </c>
      <c r="I9" s="539">
        <f t="shared" si="0"/>
        <v>0</v>
      </c>
      <c r="J9" s="539">
        <f t="shared" si="0"/>
        <v>0</v>
      </c>
      <c r="K9" s="539">
        <f t="shared" si="0"/>
        <v>9093398</v>
      </c>
      <c r="L9" s="540"/>
      <c r="M9" s="828">
        <v>0.01</v>
      </c>
      <c r="N9" s="453"/>
    </row>
    <row r="10" spans="1:14">
      <c r="A10" s="455"/>
      <c r="B10" s="456"/>
      <c r="C10" s="456"/>
      <c r="D10" s="440"/>
      <c r="E10" s="440"/>
      <c r="F10" s="440"/>
      <c r="G10" s="440"/>
      <c r="H10" s="440"/>
      <c r="I10" s="440"/>
      <c r="J10" s="440"/>
      <c r="K10" s="440"/>
      <c r="L10" s="440"/>
      <c r="M10" s="440"/>
    </row>
    <row r="11" spans="1:14">
      <c r="A11" s="455" t="s">
        <v>671</v>
      </c>
      <c r="B11" s="456"/>
      <c r="C11" s="456"/>
      <c r="D11" s="440"/>
      <c r="E11" s="440"/>
      <c r="F11" s="440"/>
      <c r="G11" s="440"/>
      <c r="H11" s="440"/>
      <c r="I11" s="440"/>
      <c r="J11" s="440"/>
      <c r="K11" s="440"/>
      <c r="L11" s="440"/>
      <c r="M11" s="440"/>
    </row>
    <row r="12" spans="1:14">
      <c r="A12" s="455"/>
      <c r="B12" s="456"/>
      <c r="C12" s="456"/>
      <c r="D12" s="440"/>
      <c r="E12" s="440"/>
      <c r="F12" s="440"/>
      <c r="G12" s="440"/>
      <c r="H12" s="440"/>
      <c r="I12" s="440"/>
      <c r="J12" s="440"/>
      <c r="K12" s="440"/>
      <c r="L12" s="440"/>
      <c r="M12" s="440"/>
    </row>
    <row r="13" spans="1:14">
      <c r="A13" s="455"/>
      <c r="B13" s="456"/>
      <c r="C13" s="456"/>
      <c r="D13" s="440"/>
      <c r="E13" s="440"/>
      <c r="F13" s="440"/>
      <c r="G13" s="440"/>
      <c r="H13" s="440"/>
      <c r="I13" s="440"/>
      <c r="J13" s="440"/>
      <c r="K13" s="440"/>
      <c r="L13" s="440"/>
      <c r="M13" s="440"/>
    </row>
    <row r="14" spans="1:14">
      <c r="A14" s="459" t="s">
        <v>672</v>
      </c>
      <c r="B14" s="456"/>
      <c r="C14" s="456"/>
      <c r="D14" s="440"/>
      <c r="E14" s="440"/>
      <c r="F14" s="440"/>
      <c r="G14" s="440"/>
      <c r="H14" s="440"/>
      <c r="I14" s="440"/>
      <c r="J14" s="440"/>
      <c r="K14" s="440"/>
      <c r="L14" s="440"/>
      <c r="M14" s="440"/>
    </row>
    <row r="15" spans="1:14" ht="13.5" thickBot="1">
      <c r="A15" s="457"/>
      <c r="B15" s="443"/>
      <c r="C15" s="443"/>
      <c r="E15" s="440"/>
      <c r="F15" s="440"/>
      <c r="G15" s="440"/>
      <c r="H15" s="440"/>
      <c r="I15" s="440"/>
      <c r="J15" s="440"/>
      <c r="K15" s="440"/>
      <c r="L15" s="440"/>
      <c r="M15" s="440"/>
    </row>
    <row r="16" spans="1:14">
      <c r="A16" s="455" t="s">
        <v>673</v>
      </c>
      <c r="B16" s="456"/>
      <c r="C16" s="535">
        <v>125780632</v>
      </c>
      <c r="D16" s="458"/>
      <c r="E16" s="440"/>
      <c r="F16" s="440"/>
      <c r="G16" s="440"/>
      <c r="H16" s="440"/>
      <c r="I16" s="440"/>
      <c r="J16" s="440"/>
      <c r="K16" s="440"/>
      <c r="L16" s="440"/>
      <c r="M16" s="440"/>
    </row>
    <row r="17" spans="1:13">
      <c r="A17" s="455" t="s">
        <v>674</v>
      </c>
      <c r="B17" s="456"/>
      <c r="C17" s="432">
        <v>0.01</v>
      </c>
      <c r="D17" s="432"/>
      <c r="E17" s="440"/>
      <c r="F17" s="440"/>
      <c r="G17" s="440"/>
      <c r="H17" s="440"/>
      <c r="I17" s="440"/>
      <c r="J17" s="440"/>
      <c r="K17" s="440"/>
      <c r="L17" s="440"/>
      <c r="M17" s="440"/>
    </row>
    <row r="18" spans="1:13">
      <c r="A18" s="455" t="s">
        <v>675</v>
      </c>
      <c r="B18" s="456"/>
      <c r="C18" s="456"/>
      <c r="D18" s="433"/>
      <c r="E18" s="440"/>
      <c r="F18" s="440"/>
      <c r="G18" s="440"/>
      <c r="H18" s="440"/>
      <c r="I18" s="440"/>
      <c r="J18" s="440"/>
      <c r="K18" s="440"/>
      <c r="L18" s="440"/>
      <c r="M18" s="440"/>
    </row>
    <row r="50" spans="2:2">
      <c r="B50" s="713"/>
    </row>
  </sheetData>
  <mergeCells count="4">
    <mergeCell ref="B6:C6"/>
    <mergeCell ref="D6:E6"/>
    <mergeCell ref="F6:G6"/>
    <mergeCell ref="H6:K6"/>
  </mergeCells>
  <pageMargins left="0.7" right="0.7" top="0.75" bottom="0.75" header="0.3" footer="0.3"/>
  <pageSetup paperSize="9" orientation="portrait" verticalDpi="0" r:id="rId1"/>
  <headerFooter>
    <oddHeader>&amp;R&amp;"Calibri"&amp;12&amp;KFF9100F O R T R O L I G&amp;1#</oddHeader>
  </headerFooter>
  <ignoredErrors>
    <ignoredError sqref="H9" formula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4F82-A2CA-4609-BF12-F1E1D2ACA806}">
  <dimension ref="A1:F8"/>
  <sheetViews>
    <sheetView showGridLines="0" workbookViewId="0">
      <selection activeCell="F45" sqref="F45"/>
    </sheetView>
  </sheetViews>
  <sheetFormatPr baseColWidth="10" defaultRowHeight="12.75"/>
  <cols>
    <col min="1" max="1" width="50" style="435" customWidth="1"/>
    <col min="2" max="16384" width="11" style="435"/>
  </cols>
  <sheetData>
    <row r="1" spans="1:6" ht="21">
      <c r="A1" s="615" t="s">
        <v>847</v>
      </c>
    </row>
    <row r="3" spans="1:6" ht="24.75" thickBot="1">
      <c r="A3" s="695" t="s">
        <v>847</v>
      </c>
      <c r="B3" s="696" t="s">
        <v>848</v>
      </c>
      <c r="C3" s="696" t="s">
        <v>849</v>
      </c>
      <c r="D3" s="697" t="s">
        <v>850</v>
      </c>
    </row>
    <row r="4" spans="1:6">
      <c r="A4" s="698" t="s">
        <v>851</v>
      </c>
      <c r="B4" s="699">
        <v>65</v>
      </c>
      <c r="C4" s="699">
        <v>89176</v>
      </c>
      <c r="D4" s="699">
        <v>22943</v>
      </c>
      <c r="F4" s="796"/>
    </row>
    <row r="5" spans="1:6" ht="24">
      <c r="A5" s="700" t="s">
        <v>852</v>
      </c>
      <c r="B5" s="699">
        <v>7</v>
      </c>
      <c r="C5" s="699">
        <v>7170</v>
      </c>
      <c r="D5" s="699">
        <v>3116</v>
      </c>
      <c r="F5" s="796"/>
    </row>
    <row r="6" spans="1:6">
      <c r="A6" s="700" t="s">
        <v>853</v>
      </c>
      <c r="B6" s="701">
        <v>6</v>
      </c>
      <c r="C6" s="699">
        <v>5600</v>
      </c>
      <c r="D6" s="699">
        <v>600</v>
      </c>
      <c r="F6" s="796"/>
    </row>
    <row r="7" spans="1:6">
      <c r="A7" s="702" t="s">
        <v>854</v>
      </c>
      <c r="B7" s="703">
        <v>1</v>
      </c>
      <c r="C7" s="703">
        <v>760</v>
      </c>
      <c r="D7" s="703">
        <v>442</v>
      </c>
      <c r="F7" s="796"/>
    </row>
    <row r="8" spans="1:6">
      <c r="A8" s="704" t="s">
        <v>5</v>
      </c>
      <c r="B8" s="705">
        <f>SUM(B4:B7)</f>
        <v>79</v>
      </c>
      <c r="C8" s="705">
        <f>SUM(C4:C7)</f>
        <v>102706</v>
      </c>
      <c r="D8" s="705">
        <f>SUM(D4:D7)</f>
        <v>27101</v>
      </c>
      <c r="F8" s="796"/>
    </row>
  </sheetData>
  <pageMargins left="0.7" right="0.7" top="0.75" bottom="0.75" header="0.3" footer="0.3"/>
  <pageSetup paperSize="9" orientation="portrait" verticalDpi="0" r:id="rId1"/>
  <headerFooter>
    <oddHeader>&amp;R&amp;"Calibri"&amp;12&amp;KFF9100F O R T R O L I G&amp;1#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G50"/>
  <sheetViews>
    <sheetView zoomScaleNormal="100" workbookViewId="0">
      <selection activeCell="B5" sqref="B5:E9"/>
    </sheetView>
  </sheetViews>
  <sheetFormatPr baseColWidth="10" defaultColWidth="11" defaultRowHeight="12"/>
  <cols>
    <col min="1" max="1" width="26" style="267" customWidth="1"/>
    <col min="2" max="5" width="11.25" style="267" customWidth="1"/>
    <col min="6" max="6" width="16.375" style="18" customWidth="1"/>
    <col min="7" max="16384" width="11" style="18"/>
  </cols>
  <sheetData>
    <row r="1" spans="1:7" ht="21">
      <c r="A1" s="685" t="s">
        <v>140</v>
      </c>
      <c r="B1" s="75"/>
    </row>
    <row r="3" spans="1:7">
      <c r="A3" s="15"/>
      <c r="B3" s="96" t="s">
        <v>219</v>
      </c>
      <c r="C3" s="96" t="s">
        <v>1</v>
      </c>
      <c r="D3" s="97" t="s">
        <v>219</v>
      </c>
      <c r="E3" s="97" t="s">
        <v>1</v>
      </c>
      <c r="F3" s="15"/>
      <c r="G3" s="15"/>
    </row>
    <row r="4" spans="1:7" ht="12.75" thickBot="1">
      <c r="A4" s="404" t="s">
        <v>103</v>
      </c>
      <c r="B4" s="98" t="s">
        <v>914</v>
      </c>
      <c r="C4" s="98" t="s">
        <v>914</v>
      </c>
      <c r="D4" s="99" t="s">
        <v>866</v>
      </c>
      <c r="E4" s="99" t="s">
        <v>866</v>
      </c>
      <c r="F4" s="60"/>
    </row>
    <row r="5" spans="1:7" s="267" customFormat="1">
      <c r="A5" s="90" t="s">
        <v>190</v>
      </c>
      <c r="B5" s="285">
        <v>0.19500000000000001</v>
      </c>
      <c r="C5" s="469">
        <v>1903</v>
      </c>
      <c r="D5" s="285">
        <v>0.19500000000000001</v>
      </c>
      <c r="E5" s="469">
        <v>1674</v>
      </c>
      <c r="F5" s="60"/>
    </row>
    <row r="6" spans="1:7" s="230" customFormat="1">
      <c r="A6" s="403" t="s">
        <v>94</v>
      </c>
      <c r="B6" s="286">
        <v>0.15140000000000001</v>
      </c>
      <c r="C6" s="72">
        <v>197</v>
      </c>
      <c r="D6" s="286">
        <v>0.15140000000000001</v>
      </c>
      <c r="E6" s="72">
        <v>233</v>
      </c>
      <c r="F6" s="82"/>
      <c r="G6" s="100"/>
    </row>
    <row r="7" spans="1:7" s="267" customFormat="1">
      <c r="A7" s="471" t="s">
        <v>704</v>
      </c>
      <c r="B7" s="286">
        <v>0.19769999999999999</v>
      </c>
      <c r="C7" s="72">
        <v>151</v>
      </c>
      <c r="D7" s="286">
        <v>0.19769999999999999</v>
      </c>
      <c r="E7" s="72">
        <v>153</v>
      </c>
      <c r="F7" s="82"/>
      <c r="G7" s="100"/>
    </row>
    <row r="8" spans="1:7" s="267" customFormat="1">
      <c r="A8" s="471" t="s">
        <v>705</v>
      </c>
      <c r="B8" s="286"/>
      <c r="C8" s="72">
        <v>99</v>
      </c>
      <c r="D8" s="286"/>
      <c r="E8" s="72">
        <v>95</v>
      </c>
      <c r="F8" s="82"/>
      <c r="G8" s="100"/>
    </row>
    <row r="9" spans="1:7">
      <c r="A9" s="403" t="s">
        <v>7</v>
      </c>
      <c r="B9" s="403"/>
      <c r="C9" s="469">
        <v>44</v>
      </c>
      <c r="D9" s="464"/>
      <c r="E9" s="469">
        <v>49</v>
      </c>
      <c r="F9" s="82"/>
      <c r="G9" s="100"/>
    </row>
    <row r="10" spans="1:7">
      <c r="A10" s="101" t="s">
        <v>5</v>
      </c>
      <c r="B10" s="101"/>
      <c r="C10" s="85">
        <f>SUM(C5:C9)</f>
        <v>2394</v>
      </c>
      <c r="D10" s="85"/>
      <c r="E10" s="273">
        <f>SUM(E5:E9)</f>
        <v>2204</v>
      </c>
      <c r="F10" s="60"/>
      <c r="G10" s="100"/>
    </row>
    <row r="12" spans="1:7">
      <c r="A12" s="267" t="s">
        <v>196</v>
      </c>
      <c r="F12" s="267"/>
    </row>
    <row r="13" spans="1:7">
      <c r="A13" s="267" t="s">
        <v>195</v>
      </c>
      <c r="F13" s="267"/>
    </row>
    <row r="14" spans="1:7">
      <c r="A14" s="267" t="s">
        <v>194</v>
      </c>
      <c r="F14" s="267"/>
    </row>
    <row r="15" spans="1:7">
      <c r="A15" s="267" t="s">
        <v>575</v>
      </c>
      <c r="F15" s="267"/>
    </row>
    <row r="16" spans="1:7">
      <c r="A16" s="267" t="s">
        <v>904</v>
      </c>
    </row>
    <row r="17" spans="1:1">
      <c r="A17" s="759" t="s">
        <v>885</v>
      </c>
    </row>
    <row r="50" spans="2:2">
      <c r="B50" s="715"/>
    </row>
  </sheetData>
  <pageMargins left="0.74803149606299213" right="0.74803149606299213" top="0.98425196850393704" bottom="0.98425196850393704" header="0.51181102362204722" footer="0.51181102362204722"/>
  <pageSetup paperSize="9" scale="69" fitToHeight="0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2">
    <tabColor rgb="FF00B050"/>
    <pageSetUpPr fitToPage="1"/>
  </sheetPr>
  <dimension ref="A1:O146"/>
  <sheetViews>
    <sheetView showGridLines="0" zoomScaleNormal="100" workbookViewId="0">
      <selection activeCell="C46" sqref="C46"/>
    </sheetView>
  </sheetViews>
  <sheetFormatPr baseColWidth="10" defaultColWidth="11" defaultRowHeight="12"/>
  <cols>
    <col min="1" max="1" width="52.625" style="267" customWidth="1"/>
    <col min="2" max="2" width="11.875" style="267" customWidth="1"/>
    <col min="3" max="3" width="8.625" style="267" customWidth="1"/>
    <col min="4" max="5" width="11.75" style="18" customWidth="1"/>
    <col min="6" max="7" width="11" style="18"/>
    <col min="8" max="8" width="9.875" style="18" bestFit="1" customWidth="1"/>
    <col min="9" max="9" width="19.75" style="18" bestFit="1" customWidth="1"/>
    <col min="10" max="16384" width="11" style="18"/>
  </cols>
  <sheetData>
    <row r="1" spans="1:7" ht="21">
      <c r="A1" s="685" t="s">
        <v>220</v>
      </c>
      <c r="D1" s="267"/>
      <c r="E1" s="267"/>
    </row>
    <row r="2" spans="1:7" s="267" customFormat="1">
      <c r="A2" s="707" t="s">
        <v>221</v>
      </c>
    </row>
    <row r="3" spans="1:7" s="267" customFormat="1">
      <c r="A3" s="707"/>
    </row>
    <row r="4" spans="1:7" s="267" customFormat="1" ht="12.75">
      <c r="A4" s="834" t="s">
        <v>922</v>
      </c>
      <c r="B4" s="835"/>
      <c r="C4" s="835"/>
      <c r="D4" s="836"/>
      <c r="E4" s="835"/>
      <c r="F4" s="835"/>
      <c r="G4" s="835"/>
    </row>
    <row r="5" spans="1:7" s="267" customFormat="1" ht="12.75">
      <c r="A5" s="834" t="s">
        <v>923</v>
      </c>
      <c r="B5" s="835"/>
      <c r="C5" s="835"/>
      <c r="D5" s="836"/>
      <c r="E5" s="835"/>
      <c r="F5" s="835"/>
      <c r="G5" s="835"/>
    </row>
    <row r="6" spans="1:7" s="267" customFormat="1" ht="12.75">
      <c r="A6" s="834" t="s">
        <v>924</v>
      </c>
      <c r="B6" s="835"/>
      <c r="C6" s="835"/>
      <c r="D6" s="836"/>
      <c r="E6" s="835"/>
      <c r="F6" s="835"/>
      <c r="G6" s="835"/>
    </row>
    <row r="7" spans="1:7" ht="12.75">
      <c r="A7" s="834" t="s">
        <v>925</v>
      </c>
      <c r="B7" s="837"/>
      <c r="C7" s="838"/>
      <c r="D7" s="839"/>
      <c r="E7" s="838"/>
      <c r="F7" s="837"/>
      <c r="G7" s="837"/>
    </row>
    <row r="8" spans="1:7" s="267" customFormat="1" ht="12.75">
      <c r="A8" s="834"/>
      <c r="B8" s="837"/>
      <c r="C8" s="838"/>
      <c r="D8" s="839"/>
      <c r="E8" s="838"/>
      <c r="F8" s="837"/>
      <c r="G8" s="837"/>
    </row>
    <row r="9" spans="1:7">
      <c r="D9" s="267"/>
      <c r="E9" s="267"/>
    </row>
    <row r="10" spans="1:7" ht="12.75" thickBot="1">
      <c r="A10" s="1" t="s">
        <v>142</v>
      </c>
      <c r="B10" s="2">
        <v>43921</v>
      </c>
      <c r="C10" s="3">
        <v>43830</v>
      </c>
      <c r="D10" s="267"/>
      <c r="E10" s="267"/>
    </row>
    <row r="11" spans="1:7">
      <c r="A11" s="4" t="s">
        <v>122</v>
      </c>
      <c r="B11" s="489">
        <v>6394</v>
      </c>
      <c r="C11" s="5">
        <v>6394</v>
      </c>
      <c r="D11" s="267"/>
      <c r="E11" s="267"/>
    </row>
    <row r="12" spans="1:7">
      <c r="A12" s="4" t="s">
        <v>8</v>
      </c>
      <c r="B12" s="489">
        <v>1587</v>
      </c>
      <c r="C12" s="5">
        <v>1587</v>
      </c>
      <c r="D12" s="267"/>
      <c r="E12" s="267"/>
    </row>
    <row r="13" spans="1:7">
      <c r="A13" s="4" t="s">
        <v>9</v>
      </c>
      <c r="B13" s="489">
        <v>0</v>
      </c>
      <c r="C13" s="5">
        <v>1407</v>
      </c>
      <c r="D13" s="267"/>
      <c r="E13" s="267"/>
    </row>
    <row r="14" spans="1:7" s="267" customFormat="1">
      <c r="A14" s="4" t="s">
        <v>693</v>
      </c>
      <c r="B14" s="489">
        <v>1850</v>
      </c>
      <c r="C14" s="5">
        <v>1850</v>
      </c>
    </row>
    <row r="15" spans="1:7">
      <c r="A15" s="6" t="s">
        <v>10</v>
      </c>
      <c r="B15" s="489">
        <v>14956</v>
      </c>
      <c r="C15" s="5">
        <v>13596</v>
      </c>
      <c r="D15" s="267"/>
      <c r="E15" s="267"/>
    </row>
    <row r="16" spans="1:7" s="267" customFormat="1">
      <c r="A16" s="6" t="s">
        <v>915</v>
      </c>
      <c r="B16" s="489">
        <v>221</v>
      </c>
      <c r="C16" s="5"/>
    </row>
    <row r="17" spans="1:5">
      <c r="A17" s="7" t="s">
        <v>11</v>
      </c>
      <c r="B17" s="8">
        <f>SUM(B11:B16)</f>
        <v>25008</v>
      </c>
      <c r="C17" s="9">
        <f>SUM(C11:C15)</f>
        <v>24834</v>
      </c>
      <c r="D17" s="267"/>
      <c r="E17" s="267"/>
    </row>
    <row r="18" spans="1:5">
      <c r="A18" s="4"/>
      <c r="B18" s="489"/>
      <c r="C18" s="5"/>
      <c r="D18" s="267"/>
      <c r="E18" s="267"/>
    </row>
    <row r="19" spans="1:5">
      <c r="A19" s="10" t="s">
        <v>95</v>
      </c>
      <c r="B19" s="489"/>
      <c r="C19" s="5"/>
      <c r="D19" s="267"/>
      <c r="E19" s="267"/>
    </row>
    <row r="20" spans="1:5">
      <c r="A20" s="4" t="s">
        <v>12</v>
      </c>
      <c r="B20" s="489">
        <v>-332</v>
      </c>
      <c r="C20" s="5">
        <v>-310</v>
      </c>
      <c r="D20" s="267"/>
      <c r="E20" s="267"/>
    </row>
    <row r="21" spans="1:5" s="267" customFormat="1">
      <c r="A21" s="4" t="s">
        <v>85</v>
      </c>
      <c r="B21" s="489">
        <v>0</v>
      </c>
      <c r="C21" s="5">
        <v>-1407</v>
      </c>
    </row>
    <row r="22" spans="1:5">
      <c r="A22" s="4" t="s">
        <v>191</v>
      </c>
      <c r="B22" s="489">
        <v>-247</v>
      </c>
      <c r="C22" s="5">
        <v>-357</v>
      </c>
      <c r="D22" s="267"/>
      <c r="E22" s="267"/>
    </row>
    <row r="23" spans="1:5" s="267" customFormat="1">
      <c r="A23" s="4" t="s">
        <v>694</v>
      </c>
      <c r="B23" s="489">
        <v>-1850</v>
      </c>
      <c r="C23" s="5">
        <v>-1850</v>
      </c>
    </row>
    <row r="24" spans="1:5" s="267" customFormat="1">
      <c r="A24" s="826" t="s">
        <v>916</v>
      </c>
      <c r="B24" s="489">
        <v>-111</v>
      </c>
      <c r="C24" s="5"/>
    </row>
    <row r="25" spans="1:5" s="267" customFormat="1">
      <c r="A25" s="4" t="s">
        <v>192</v>
      </c>
      <c r="B25" s="489">
        <v>-67</v>
      </c>
      <c r="C25" s="5">
        <v>-67</v>
      </c>
    </row>
    <row r="26" spans="1:5">
      <c r="A26" s="4" t="s">
        <v>749</v>
      </c>
      <c r="B26" s="489">
        <v>-152</v>
      </c>
      <c r="C26" s="5">
        <v>-153</v>
      </c>
      <c r="D26" s="267"/>
      <c r="E26" s="267"/>
    </row>
    <row r="27" spans="1:5">
      <c r="A27" s="4" t="s">
        <v>750</v>
      </c>
      <c r="B27" s="489">
        <v>-50</v>
      </c>
      <c r="C27" s="5">
        <v>-46</v>
      </c>
      <c r="D27" s="267"/>
      <c r="E27" s="267"/>
    </row>
    <row r="28" spans="1:5">
      <c r="A28" s="716" t="s">
        <v>199</v>
      </c>
      <c r="B28" s="717">
        <f>SUM(B17:B27)</f>
        <v>22199</v>
      </c>
      <c r="C28" s="718">
        <f>SUM(C17:C27)</f>
        <v>20644</v>
      </c>
      <c r="D28" s="267"/>
      <c r="E28" s="267"/>
    </row>
    <row r="29" spans="1:5" s="267" customFormat="1" ht="14.25">
      <c r="A29" s="4" t="s">
        <v>706</v>
      </c>
      <c r="B29" s="489">
        <v>1983</v>
      </c>
      <c r="C29" s="5">
        <v>1982</v>
      </c>
    </row>
    <row r="30" spans="1:5" ht="14.25">
      <c r="A30" s="6" t="s">
        <v>143</v>
      </c>
      <c r="B30" s="489">
        <v>0</v>
      </c>
      <c r="C30" s="5">
        <v>0</v>
      </c>
      <c r="D30" s="267"/>
      <c r="E30" s="267"/>
    </row>
    <row r="31" spans="1:5">
      <c r="A31" s="7" t="s">
        <v>13</v>
      </c>
      <c r="B31" s="8">
        <f>B28+B29+B30</f>
        <v>24182</v>
      </c>
      <c r="C31" s="9">
        <f>C28+C29+C30</f>
        <v>22626</v>
      </c>
      <c r="D31" s="267"/>
      <c r="E31" s="267"/>
    </row>
    <row r="32" spans="1:5" s="267" customFormat="1">
      <c r="A32" s="4"/>
      <c r="B32" s="489"/>
      <c r="C32" s="5"/>
    </row>
    <row r="33" spans="1:5">
      <c r="A33" s="10" t="s">
        <v>14</v>
      </c>
      <c r="B33" s="489"/>
      <c r="C33" s="5"/>
      <c r="D33" s="267"/>
      <c r="E33" s="267"/>
    </row>
    <row r="34" spans="1:5">
      <c r="A34" s="4" t="s">
        <v>97</v>
      </c>
      <c r="B34" s="489">
        <v>2282</v>
      </c>
      <c r="C34" s="5">
        <v>2283</v>
      </c>
      <c r="D34" s="267"/>
      <c r="E34" s="267"/>
    </row>
    <row r="35" spans="1:5">
      <c r="A35" s="4" t="s">
        <v>193</v>
      </c>
      <c r="B35" s="489">
        <v>-43</v>
      </c>
      <c r="C35" s="5">
        <v>-43</v>
      </c>
      <c r="D35" s="267"/>
      <c r="E35" s="267"/>
    </row>
    <row r="36" spans="1:5">
      <c r="A36" s="7" t="s">
        <v>98</v>
      </c>
      <c r="B36" s="8">
        <f>SUM(B34:B35)</f>
        <v>2239</v>
      </c>
      <c r="C36" s="9">
        <f>SUM(C34:C35)</f>
        <v>2240</v>
      </c>
      <c r="D36" s="267"/>
      <c r="E36" s="267"/>
    </row>
    <row r="37" spans="1:5">
      <c r="A37" s="6"/>
      <c r="B37" s="489"/>
      <c r="C37" s="5"/>
      <c r="D37" s="267"/>
      <c r="E37" s="267"/>
    </row>
    <row r="38" spans="1:5">
      <c r="A38" s="7" t="s">
        <v>15</v>
      </c>
      <c r="B38" s="8">
        <f>+B36+B31</f>
        <v>26421</v>
      </c>
      <c r="C38" s="9">
        <f>+C36+C31</f>
        <v>24866</v>
      </c>
      <c r="D38" s="267"/>
      <c r="E38" s="267"/>
    </row>
    <row r="39" spans="1:5" ht="14.25">
      <c r="A39" s="11" t="s">
        <v>167</v>
      </c>
      <c r="B39" s="490"/>
      <c r="C39" s="12"/>
      <c r="D39" s="267"/>
      <c r="E39" s="267"/>
    </row>
    <row r="40" spans="1:5" s="267" customFormat="1">
      <c r="A40" s="13"/>
      <c r="B40" s="14"/>
      <c r="C40" s="15"/>
    </row>
    <row r="41" spans="1:5" ht="12.75" thickBot="1">
      <c r="A41" s="16" t="s">
        <v>197</v>
      </c>
      <c r="B41" s="491">
        <v>43921</v>
      </c>
      <c r="C41" s="17">
        <v>43830</v>
      </c>
      <c r="D41" s="267"/>
      <c r="E41" s="267"/>
    </row>
    <row r="42" spans="1:5">
      <c r="A42" s="267" t="s">
        <v>583</v>
      </c>
      <c r="B42" s="492">
        <v>115608</v>
      </c>
      <c r="C42" s="19">
        <v>111814</v>
      </c>
      <c r="D42" s="267"/>
      <c r="E42" s="267"/>
    </row>
    <row r="43" spans="1:5">
      <c r="A43" s="267" t="s">
        <v>208</v>
      </c>
      <c r="B43" s="492">
        <v>729</v>
      </c>
      <c r="C43" s="19">
        <v>487</v>
      </c>
      <c r="D43" s="267"/>
      <c r="E43" s="267"/>
    </row>
    <row r="44" spans="1:5" s="267" customFormat="1">
      <c r="A44" s="21" t="s">
        <v>141</v>
      </c>
      <c r="B44" s="493">
        <v>9443</v>
      </c>
      <c r="C44" s="227">
        <v>9443</v>
      </c>
    </row>
    <row r="45" spans="1:5" s="267" customFormat="1">
      <c r="A45" s="22" t="s">
        <v>197</v>
      </c>
      <c r="B45" s="494">
        <f>B42+B43+B44</f>
        <v>125780</v>
      </c>
      <c r="C45" s="228">
        <f>C42+C43+C44</f>
        <v>121744</v>
      </c>
    </row>
    <row r="46" spans="1:5" s="267" customFormat="1">
      <c r="A46" s="23"/>
      <c r="B46" s="495"/>
      <c r="C46" s="24"/>
    </row>
    <row r="47" spans="1:5" s="267" customFormat="1">
      <c r="A47" s="287" t="s">
        <v>214</v>
      </c>
      <c r="B47" s="492">
        <f>B45*4.5/100</f>
        <v>5660.1</v>
      </c>
      <c r="C47" s="19">
        <f>C45*4.5/100</f>
        <v>5478.48</v>
      </c>
    </row>
    <row r="48" spans="1:5" s="267" customFormat="1">
      <c r="A48" s="287" t="s">
        <v>215</v>
      </c>
      <c r="B48" s="492"/>
      <c r="C48" s="19"/>
    </row>
    <row r="49" spans="1:15" s="267" customFormat="1">
      <c r="A49" s="287" t="s">
        <v>216</v>
      </c>
      <c r="B49" s="492">
        <f>B45*2.5/100</f>
        <v>3144.5</v>
      </c>
      <c r="C49" s="19">
        <f>C45*2.5/100</f>
        <v>3043.6</v>
      </c>
    </row>
    <row r="50" spans="1:15" s="267" customFormat="1">
      <c r="A50" s="287" t="s">
        <v>707</v>
      </c>
      <c r="B50" s="492">
        <f>B45*3/100</f>
        <v>3773.4</v>
      </c>
      <c r="C50" s="19">
        <f>C45*3/100</f>
        <v>3652.32</v>
      </c>
    </row>
    <row r="51" spans="1:15" s="267" customFormat="1">
      <c r="A51" s="287" t="s">
        <v>917</v>
      </c>
      <c r="B51" s="492">
        <f>B45*1/100</f>
        <v>1257.8</v>
      </c>
      <c r="C51" s="19">
        <f>C45*2.5/100</f>
        <v>3043.6</v>
      </c>
    </row>
    <row r="52" spans="1:15">
      <c r="A52" s="287" t="s">
        <v>217</v>
      </c>
      <c r="B52" s="492">
        <f>SUM(B49:B51)</f>
        <v>8175.7</v>
      </c>
      <c r="C52" s="19">
        <f>SUM(C49:C51)</f>
        <v>9739.52</v>
      </c>
      <c r="D52" s="267"/>
      <c r="E52" s="267"/>
    </row>
    <row r="53" spans="1:15">
      <c r="A53" s="287" t="s">
        <v>218</v>
      </c>
      <c r="B53" s="492">
        <f>B28-B47-B52</f>
        <v>8363.2000000000007</v>
      </c>
      <c r="C53" s="19">
        <f>C28-C47-C52</f>
        <v>5426</v>
      </c>
      <c r="D53" s="267"/>
      <c r="E53" s="267"/>
    </row>
    <row r="54" spans="1:15">
      <c r="A54" s="23"/>
      <c r="B54" s="495"/>
      <c r="C54" s="24"/>
      <c r="D54" s="267"/>
      <c r="E54" s="267"/>
    </row>
    <row r="55" spans="1:15" s="26" customFormat="1">
      <c r="A55" s="15" t="s">
        <v>127</v>
      </c>
      <c r="B55" s="496">
        <f>B28/B45</f>
        <v>0.17649069804420417</v>
      </c>
      <c r="C55" s="25">
        <f>C28/C45</f>
        <v>0.16956893152845315</v>
      </c>
      <c r="J55" s="18"/>
      <c r="K55" s="18"/>
      <c r="L55" s="18"/>
      <c r="M55" s="18"/>
      <c r="N55" s="18"/>
      <c r="O55" s="18"/>
    </row>
    <row r="56" spans="1:15" s="26" customFormat="1">
      <c r="A56" s="15" t="s">
        <v>467</v>
      </c>
      <c r="B56" s="496">
        <f>B31/B45</f>
        <v>0.19225632055970743</v>
      </c>
      <c r="C56" s="25">
        <f>C31/C45</f>
        <v>0.18584899461164411</v>
      </c>
      <c r="J56" s="267"/>
      <c r="K56" s="267"/>
      <c r="L56" s="267"/>
      <c r="M56" s="267"/>
      <c r="N56" s="267"/>
      <c r="O56" s="267"/>
    </row>
    <row r="57" spans="1:15" s="26" customFormat="1">
      <c r="A57" s="15" t="s">
        <v>78</v>
      </c>
      <c r="B57" s="496">
        <f>B38/B45</f>
        <v>0.21005724280489743</v>
      </c>
      <c r="C57" s="25">
        <f>C38/C45</f>
        <v>0.20424825864108292</v>
      </c>
      <c r="J57" s="267"/>
      <c r="K57" s="267"/>
      <c r="L57" s="267"/>
      <c r="M57" s="267"/>
      <c r="N57" s="267"/>
      <c r="O57" s="267"/>
    </row>
    <row r="58" spans="1:15" s="26" customFormat="1">
      <c r="A58" s="15" t="s">
        <v>599</v>
      </c>
      <c r="B58" s="723">
        <v>7.8700000000000006E-2</v>
      </c>
      <c r="C58" s="466">
        <v>7.7700000000000005E-2</v>
      </c>
      <c r="J58" s="18"/>
      <c r="K58" s="18"/>
      <c r="L58" s="18"/>
      <c r="M58" s="18"/>
      <c r="N58" s="18"/>
      <c r="O58" s="18"/>
    </row>
    <row r="59" spans="1:15">
      <c r="A59" s="402"/>
      <c r="B59" s="402"/>
      <c r="C59" s="402"/>
      <c r="D59" s="27"/>
      <c r="E59" s="27"/>
    </row>
    <row r="60" spans="1:15">
      <c r="A60" s="26"/>
      <c r="B60" s="26"/>
      <c r="C60" s="26"/>
      <c r="D60" s="30"/>
      <c r="E60" s="30"/>
      <c r="F60" s="15"/>
      <c r="G60" s="15"/>
    </row>
    <row r="61" spans="1:15">
      <c r="A61" s="26"/>
      <c r="B61" s="26"/>
      <c r="C61" s="26"/>
      <c r="D61" s="31"/>
      <c r="E61" s="31"/>
      <c r="F61" s="15"/>
      <c r="G61" s="15"/>
    </row>
    <row r="62" spans="1:15">
      <c r="C62" s="27"/>
      <c r="D62" s="31"/>
      <c r="E62" s="31"/>
      <c r="F62" s="15"/>
      <c r="G62" s="15"/>
    </row>
    <row r="63" spans="1:15">
      <c r="A63" s="28"/>
      <c r="B63" s="29"/>
      <c r="C63" s="29"/>
      <c r="D63" s="31"/>
      <c r="E63" s="31"/>
      <c r="F63" s="15"/>
      <c r="G63" s="15"/>
    </row>
    <row r="64" spans="1:15">
      <c r="A64" s="15"/>
      <c r="B64" s="15"/>
      <c r="C64" s="29"/>
      <c r="D64" s="31"/>
      <c r="E64" s="31"/>
      <c r="F64" s="15"/>
      <c r="G64" s="15"/>
    </row>
    <row r="65" spans="1:7">
      <c r="A65" s="32"/>
      <c r="B65" s="32"/>
      <c r="C65" s="33"/>
      <c r="D65" s="40"/>
      <c r="E65" s="40"/>
      <c r="F65" s="15"/>
      <c r="G65" s="15"/>
    </row>
    <row r="66" spans="1:7">
      <c r="A66" s="34"/>
      <c r="B66" s="35"/>
      <c r="C66" s="31"/>
      <c r="D66" s="40"/>
      <c r="E66" s="40"/>
      <c r="F66" s="15"/>
      <c r="G66" s="15"/>
    </row>
    <row r="67" spans="1:7">
      <c r="A67" s="36"/>
      <c r="B67" s="35"/>
      <c r="C67" s="31"/>
      <c r="D67" s="40"/>
      <c r="E67" s="40"/>
      <c r="F67" s="15"/>
      <c r="G67" s="15"/>
    </row>
    <row r="68" spans="1:7">
      <c r="A68" s="38"/>
      <c r="B68" s="39"/>
      <c r="C68" s="40"/>
      <c r="D68" s="40"/>
      <c r="E68" s="40"/>
      <c r="F68" s="15"/>
      <c r="G68" s="15"/>
    </row>
    <row r="69" spans="1:7">
      <c r="A69" s="41"/>
      <c r="B69" s="39"/>
      <c r="C69" s="40"/>
      <c r="D69" s="40"/>
      <c r="E69" s="40"/>
      <c r="F69" s="15"/>
      <c r="G69" s="15"/>
    </row>
    <row r="70" spans="1:7">
      <c r="A70" s="41"/>
      <c r="B70" s="39"/>
      <c r="C70" s="40"/>
      <c r="D70" s="45"/>
      <c r="E70" s="45"/>
      <c r="F70" s="15"/>
      <c r="G70" s="15"/>
    </row>
    <row r="71" spans="1:7">
      <c r="A71" s="41"/>
      <c r="B71" s="39"/>
      <c r="C71" s="40"/>
      <c r="D71" s="45"/>
      <c r="E71" s="45"/>
      <c r="F71" s="15"/>
      <c r="G71" s="15"/>
    </row>
    <row r="72" spans="1:7">
      <c r="A72" s="42"/>
      <c r="B72" s="39"/>
      <c r="C72" s="40"/>
      <c r="D72" s="45"/>
      <c r="E72" s="45"/>
      <c r="F72" s="15"/>
      <c r="G72" s="15"/>
    </row>
    <row r="73" spans="1:7">
      <c r="A73" s="43"/>
      <c r="B73" s="44"/>
      <c r="C73" s="45"/>
      <c r="D73" s="45"/>
      <c r="E73" s="45"/>
      <c r="F73" s="15"/>
      <c r="G73" s="15"/>
    </row>
    <row r="74" spans="1:7">
      <c r="A74" s="46"/>
      <c r="B74" s="39"/>
      <c r="C74" s="45"/>
      <c r="D74" s="45"/>
      <c r="E74" s="45"/>
      <c r="F74" s="15"/>
      <c r="G74" s="15"/>
    </row>
    <row r="75" spans="1:7">
      <c r="A75" s="47"/>
      <c r="B75" s="32"/>
      <c r="C75" s="45"/>
      <c r="D75" s="45"/>
      <c r="E75" s="45"/>
      <c r="F75" s="15"/>
      <c r="G75" s="15"/>
    </row>
    <row r="76" spans="1:7">
      <c r="A76" s="41"/>
      <c r="B76" s="39"/>
      <c r="C76" s="45"/>
      <c r="D76" s="48"/>
      <c r="E76" s="48"/>
      <c r="F76" s="15"/>
      <c r="G76" s="15"/>
    </row>
    <row r="77" spans="1:7">
      <c r="A77" s="41"/>
      <c r="B77" s="39"/>
      <c r="C77" s="45"/>
      <c r="D77" s="45"/>
      <c r="E77" s="45"/>
      <c r="F77" s="15"/>
      <c r="G77" s="15"/>
    </row>
    <row r="78" spans="1:7">
      <c r="A78" s="41"/>
      <c r="B78" s="39"/>
      <c r="C78" s="45"/>
      <c r="D78" s="11"/>
      <c r="E78" s="11"/>
      <c r="F78" s="15"/>
      <c r="G78" s="15"/>
    </row>
    <row r="79" spans="1:7">
      <c r="A79" s="43"/>
      <c r="B79" s="44"/>
      <c r="C79" s="48"/>
      <c r="D79" s="51"/>
      <c r="E79" s="51"/>
      <c r="F79" s="15"/>
      <c r="G79" s="15"/>
    </row>
    <row r="80" spans="1:7">
      <c r="A80" s="49"/>
      <c r="B80" s="11"/>
      <c r="C80" s="45"/>
      <c r="D80" s="51"/>
      <c r="E80" s="51"/>
      <c r="F80" s="15"/>
      <c r="G80" s="15"/>
    </row>
    <row r="81" spans="1:10">
      <c r="A81" s="47"/>
      <c r="B81" s="50"/>
      <c r="C81" s="11"/>
      <c r="D81" s="51"/>
      <c r="E81" s="51"/>
      <c r="F81" s="15"/>
      <c r="G81" s="15"/>
    </row>
    <row r="82" spans="1:10">
      <c r="A82" s="41"/>
      <c r="B82" s="51"/>
      <c r="C82" s="51"/>
      <c r="D82" s="51"/>
      <c r="E82" s="51"/>
      <c r="F82" s="15"/>
      <c r="G82" s="15"/>
    </row>
    <row r="83" spans="1:10">
      <c r="A83" s="41"/>
      <c r="B83" s="39"/>
      <c r="C83" s="51"/>
      <c r="D83" s="51"/>
      <c r="E83" s="51"/>
      <c r="F83" s="15"/>
      <c r="G83" s="15"/>
    </row>
    <row r="84" spans="1:10">
      <c r="A84" s="41"/>
      <c r="B84" s="39"/>
      <c r="C84" s="51"/>
      <c r="D84" s="39"/>
      <c r="E84" s="39"/>
      <c r="F84" s="15"/>
      <c r="G84" s="15"/>
    </row>
    <row r="85" spans="1:10">
      <c r="A85" s="41"/>
      <c r="B85" s="39"/>
      <c r="C85" s="51"/>
      <c r="D85" s="39"/>
      <c r="E85" s="39"/>
      <c r="F85" s="15"/>
      <c r="G85" s="15"/>
    </row>
    <row r="86" spans="1:10">
      <c r="A86" s="43"/>
      <c r="B86" s="52"/>
      <c r="C86" s="51"/>
      <c r="D86" s="48"/>
      <c r="E86" s="48"/>
      <c r="F86" s="15"/>
      <c r="G86" s="15"/>
    </row>
    <row r="87" spans="1:10">
      <c r="A87" s="46"/>
      <c r="B87" s="39"/>
      <c r="C87" s="39"/>
      <c r="D87" s="15"/>
      <c r="E87" s="15"/>
      <c r="F87" s="15"/>
      <c r="G87" s="15"/>
    </row>
    <row r="88" spans="1:10">
      <c r="A88" s="46"/>
      <c r="B88" s="39"/>
      <c r="C88" s="39"/>
      <c r="D88" s="15"/>
      <c r="E88" s="15"/>
      <c r="F88" s="15"/>
      <c r="G88" s="15"/>
    </row>
    <row r="89" spans="1:10">
      <c r="A89" s="43"/>
      <c r="B89" s="44"/>
      <c r="C89" s="48"/>
      <c r="D89" s="53"/>
      <c r="E89" s="53"/>
      <c r="F89" s="32"/>
      <c r="G89" s="32"/>
      <c r="H89" s="54"/>
      <c r="I89" s="54"/>
      <c r="J89" s="54"/>
    </row>
    <row r="90" spans="1:10">
      <c r="A90" s="15"/>
      <c r="B90" s="15"/>
      <c r="C90" s="15"/>
      <c r="D90" s="53"/>
      <c r="E90" s="53"/>
      <c r="F90" s="32"/>
      <c r="G90" s="32"/>
      <c r="H90" s="54"/>
      <c r="I90" s="54"/>
      <c r="J90" s="54"/>
    </row>
    <row r="91" spans="1:10">
      <c r="A91" s="15"/>
      <c r="B91" s="15"/>
      <c r="C91" s="15"/>
      <c r="D91" s="53"/>
      <c r="E91" s="53"/>
      <c r="F91" s="32"/>
      <c r="G91" s="32"/>
      <c r="H91" s="54"/>
      <c r="I91" s="54"/>
      <c r="J91" s="54"/>
    </row>
    <row r="92" spans="1:10">
      <c r="A92" s="53"/>
      <c r="B92" s="53"/>
      <c r="C92" s="53"/>
      <c r="D92" s="53"/>
      <c r="E92" s="53"/>
      <c r="F92" s="32"/>
      <c r="G92" s="32"/>
      <c r="H92" s="54"/>
      <c r="I92" s="54"/>
      <c r="J92" s="54"/>
    </row>
    <row r="93" spans="1:10">
      <c r="A93" s="53"/>
      <c r="B93" s="53"/>
      <c r="C93" s="53"/>
      <c r="D93" s="15"/>
      <c r="E93" s="15"/>
      <c r="F93" s="15"/>
      <c r="G93" s="15"/>
    </row>
    <row r="94" spans="1:10">
      <c r="A94" s="53"/>
      <c r="B94" s="53"/>
      <c r="C94" s="53"/>
      <c r="D94" s="15"/>
      <c r="E94" s="15"/>
      <c r="F94" s="15"/>
      <c r="G94" s="15"/>
    </row>
    <row r="95" spans="1:10">
      <c r="A95" s="53"/>
      <c r="B95" s="53"/>
      <c r="C95" s="53"/>
      <c r="D95" s="15"/>
      <c r="E95" s="15"/>
      <c r="F95" s="15"/>
      <c r="G95" s="15"/>
    </row>
    <row r="96" spans="1:10">
      <c r="A96" s="15"/>
      <c r="B96" s="15"/>
      <c r="C96" s="15"/>
      <c r="D96" s="15"/>
      <c r="E96" s="15"/>
      <c r="F96" s="15"/>
      <c r="G96" s="15"/>
    </row>
    <row r="97" spans="1:7">
      <c r="A97" s="15"/>
      <c r="B97" s="15"/>
      <c r="C97" s="15"/>
      <c r="D97" s="15"/>
      <c r="E97" s="15"/>
      <c r="F97" s="15"/>
      <c r="G97" s="15"/>
    </row>
    <row r="98" spans="1:7">
      <c r="A98" s="15"/>
      <c r="B98" s="15"/>
      <c r="C98" s="15"/>
      <c r="D98" s="15"/>
      <c r="E98" s="15"/>
      <c r="F98" s="15"/>
      <c r="G98" s="15"/>
    </row>
    <row r="99" spans="1:7">
      <c r="A99" s="15"/>
      <c r="B99" s="15"/>
      <c r="C99" s="15"/>
      <c r="D99" s="15"/>
      <c r="E99" s="15"/>
      <c r="F99" s="15"/>
      <c r="G99" s="15"/>
    </row>
    <row r="100" spans="1:7">
      <c r="A100" s="15"/>
      <c r="B100" s="15"/>
      <c r="C100" s="15"/>
      <c r="D100" s="15"/>
      <c r="E100" s="15"/>
      <c r="F100" s="15"/>
      <c r="G100" s="15"/>
    </row>
    <row r="101" spans="1:7">
      <c r="A101" s="15"/>
      <c r="B101" s="15"/>
      <c r="C101" s="15"/>
      <c r="D101" s="15"/>
      <c r="E101" s="15"/>
      <c r="F101" s="15"/>
      <c r="G101" s="15"/>
    </row>
    <row r="102" spans="1:7">
      <c r="A102" s="15"/>
      <c r="B102" s="15"/>
      <c r="C102" s="15"/>
      <c r="D102" s="15"/>
      <c r="E102" s="15"/>
      <c r="F102" s="15"/>
      <c r="G102" s="15"/>
    </row>
    <row r="103" spans="1:7">
      <c r="A103" s="15"/>
      <c r="B103" s="15"/>
      <c r="C103" s="15"/>
      <c r="D103" s="15"/>
      <c r="E103" s="15"/>
      <c r="F103" s="15"/>
      <c r="G103" s="15"/>
    </row>
    <row r="104" spans="1:7">
      <c r="A104" s="15"/>
      <c r="B104" s="15"/>
      <c r="C104" s="15"/>
      <c r="D104" s="15"/>
      <c r="E104" s="15"/>
      <c r="F104" s="15"/>
      <c r="G104" s="15"/>
    </row>
    <row r="105" spans="1:7">
      <c r="A105" s="15"/>
      <c r="B105" s="15"/>
      <c r="C105" s="15"/>
      <c r="D105" s="15"/>
      <c r="E105" s="15"/>
      <c r="F105" s="15"/>
      <c r="G105" s="15"/>
    </row>
    <row r="106" spans="1:7">
      <c r="A106" s="15"/>
      <c r="B106" s="15"/>
      <c r="C106" s="15"/>
      <c r="D106" s="15"/>
      <c r="E106" s="15"/>
      <c r="F106" s="15"/>
      <c r="G106" s="15"/>
    </row>
    <row r="107" spans="1:7">
      <c r="A107" s="15"/>
      <c r="B107" s="15"/>
      <c r="C107" s="15"/>
      <c r="D107" s="15"/>
      <c r="E107" s="15"/>
      <c r="F107" s="15"/>
      <c r="G107" s="15"/>
    </row>
    <row r="108" spans="1:7">
      <c r="A108" s="15"/>
      <c r="B108" s="15"/>
      <c r="C108" s="15"/>
      <c r="D108" s="15"/>
      <c r="E108" s="15"/>
      <c r="F108" s="15"/>
      <c r="G108" s="15"/>
    </row>
    <row r="109" spans="1:7">
      <c r="A109" s="15"/>
      <c r="B109" s="15"/>
      <c r="C109" s="15"/>
      <c r="D109" s="15"/>
      <c r="E109" s="15"/>
      <c r="F109" s="15"/>
      <c r="G109" s="15"/>
    </row>
    <row r="110" spans="1:7">
      <c r="A110" s="15"/>
      <c r="B110" s="15"/>
      <c r="C110" s="15"/>
      <c r="D110" s="15"/>
      <c r="E110" s="15"/>
      <c r="F110" s="15"/>
      <c r="G110" s="15"/>
    </row>
    <row r="111" spans="1:7">
      <c r="A111" s="15"/>
      <c r="B111" s="15"/>
      <c r="C111" s="15"/>
      <c r="D111" s="15"/>
      <c r="E111" s="15"/>
      <c r="F111" s="15"/>
      <c r="G111" s="15"/>
    </row>
    <row r="112" spans="1:7">
      <c r="A112" s="15"/>
      <c r="B112" s="15"/>
      <c r="C112" s="15"/>
      <c r="D112" s="15"/>
      <c r="E112" s="15"/>
      <c r="F112" s="15"/>
      <c r="G112" s="15"/>
    </row>
    <row r="113" spans="1:7">
      <c r="A113" s="15"/>
      <c r="B113" s="15"/>
      <c r="C113" s="15"/>
      <c r="D113" s="15"/>
      <c r="E113" s="15"/>
      <c r="F113" s="15"/>
      <c r="G113" s="15"/>
    </row>
    <row r="114" spans="1:7">
      <c r="A114" s="15"/>
      <c r="B114" s="15"/>
      <c r="C114" s="15"/>
      <c r="D114" s="15"/>
      <c r="E114" s="15"/>
      <c r="F114" s="15"/>
      <c r="G114" s="15"/>
    </row>
    <row r="115" spans="1:7">
      <c r="A115" s="15"/>
      <c r="B115" s="15"/>
      <c r="C115" s="15"/>
      <c r="D115" s="15"/>
      <c r="E115" s="15"/>
      <c r="F115" s="15"/>
      <c r="G115" s="15"/>
    </row>
    <row r="116" spans="1:7">
      <c r="A116" s="15"/>
      <c r="B116" s="15"/>
      <c r="C116" s="15"/>
      <c r="D116" s="15"/>
      <c r="E116" s="15"/>
      <c r="F116" s="15"/>
      <c r="G116" s="15"/>
    </row>
    <row r="117" spans="1:7">
      <c r="A117" s="15"/>
      <c r="B117" s="15"/>
      <c r="C117" s="15"/>
      <c r="D117" s="15"/>
      <c r="E117" s="15"/>
      <c r="F117" s="15"/>
      <c r="G117" s="15"/>
    </row>
    <row r="118" spans="1:7">
      <c r="A118" s="15"/>
      <c r="B118" s="15"/>
      <c r="C118" s="15"/>
      <c r="D118" s="15"/>
      <c r="E118" s="15"/>
      <c r="F118" s="15"/>
      <c r="G118" s="15"/>
    </row>
    <row r="119" spans="1:7">
      <c r="A119" s="15"/>
      <c r="B119" s="15"/>
      <c r="C119" s="15"/>
      <c r="D119" s="15"/>
      <c r="E119" s="15"/>
      <c r="F119" s="15"/>
      <c r="G119" s="15"/>
    </row>
    <row r="120" spans="1:7">
      <c r="A120" s="15"/>
      <c r="B120" s="15"/>
      <c r="C120" s="15"/>
      <c r="D120" s="15"/>
      <c r="E120" s="15"/>
      <c r="F120" s="15"/>
      <c r="G120" s="15"/>
    </row>
    <row r="121" spans="1:7">
      <c r="A121" s="15"/>
      <c r="B121" s="15"/>
      <c r="C121" s="15"/>
      <c r="D121" s="15"/>
      <c r="E121" s="15"/>
      <c r="F121" s="15"/>
      <c r="G121" s="15"/>
    </row>
    <row r="122" spans="1:7">
      <c r="A122" s="15"/>
      <c r="B122" s="15"/>
      <c r="C122" s="15"/>
      <c r="D122" s="15"/>
      <c r="E122" s="15"/>
      <c r="F122" s="15"/>
      <c r="G122" s="15"/>
    </row>
    <row r="123" spans="1:7">
      <c r="A123" s="15"/>
      <c r="B123" s="15"/>
      <c r="C123" s="15"/>
      <c r="D123" s="15"/>
      <c r="E123" s="15"/>
      <c r="F123" s="15"/>
      <c r="G123" s="15"/>
    </row>
    <row r="124" spans="1:7">
      <c r="A124" s="15"/>
      <c r="B124" s="15"/>
      <c r="C124" s="15"/>
      <c r="D124" s="15"/>
      <c r="E124" s="15"/>
      <c r="F124" s="15"/>
      <c r="G124" s="15"/>
    </row>
    <row r="125" spans="1:7">
      <c r="A125" s="15"/>
      <c r="B125" s="15"/>
      <c r="C125" s="15"/>
      <c r="D125" s="15"/>
      <c r="E125" s="15"/>
      <c r="F125" s="15"/>
      <c r="G125" s="15"/>
    </row>
    <row r="126" spans="1:7">
      <c r="A126" s="15"/>
      <c r="B126" s="15"/>
      <c r="C126" s="15"/>
      <c r="D126" s="15"/>
      <c r="E126" s="15"/>
      <c r="F126" s="15"/>
      <c r="G126" s="15"/>
    </row>
    <row r="127" spans="1:7">
      <c r="A127" s="15"/>
      <c r="B127" s="15"/>
      <c r="C127" s="15"/>
      <c r="D127" s="15"/>
      <c r="E127" s="15"/>
      <c r="F127" s="15"/>
      <c r="G127" s="15"/>
    </row>
    <row r="128" spans="1:7">
      <c r="A128" s="15"/>
      <c r="B128" s="15"/>
      <c r="C128" s="15"/>
      <c r="D128" s="15"/>
      <c r="E128" s="15"/>
      <c r="F128" s="15"/>
      <c r="G128" s="15"/>
    </row>
    <row r="129" spans="1:7">
      <c r="A129" s="15"/>
      <c r="B129" s="15"/>
      <c r="C129" s="15"/>
      <c r="D129" s="15"/>
      <c r="E129" s="15"/>
      <c r="F129" s="15"/>
      <c r="G129" s="15"/>
    </row>
    <row r="130" spans="1:7">
      <c r="A130" s="15"/>
      <c r="B130" s="15"/>
      <c r="C130" s="15"/>
      <c r="D130" s="15"/>
      <c r="E130" s="15"/>
      <c r="F130" s="15"/>
      <c r="G130" s="15"/>
    </row>
    <row r="131" spans="1:7">
      <c r="A131" s="15"/>
      <c r="B131" s="15"/>
      <c r="C131" s="15"/>
      <c r="D131" s="15"/>
      <c r="E131" s="15"/>
      <c r="F131" s="15"/>
      <c r="G131" s="15"/>
    </row>
    <row r="132" spans="1:7">
      <c r="A132" s="15"/>
      <c r="B132" s="15"/>
      <c r="C132" s="15"/>
      <c r="D132" s="15"/>
      <c r="E132" s="15"/>
      <c r="F132" s="15"/>
      <c r="G132" s="15"/>
    </row>
    <row r="133" spans="1:7">
      <c r="A133" s="15"/>
      <c r="B133" s="15"/>
      <c r="C133" s="15"/>
      <c r="D133" s="15"/>
      <c r="E133" s="15"/>
      <c r="F133" s="15"/>
      <c r="G133" s="15"/>
    </row>
    <row r="134" spans="1:7">
      <c r="A134" s="15"/>
      <c r="B134" s="15"/>
      <c r="C134" s="15"/>
      <c r="D134" s="15"/>
      <c r="E134" s="15"/>
      <c r="F134" s="15"/>
      <c r="G134" s="15"/>
    </row>
    <row r="135" spans="1:7">
      <c r="A135" s="15"/>
      <c r="B135" s="15"/>
      <c r="C135" s="15"/>
      <c r="D135" s="15"/>
      <c r="E135" s="15"/>
      <c r="F135" s="15"/>
      <c r="G135" s="15"/>
    </row>
    <row r="136" spans="1:7">
      <c r="A136" s="15"/>
      <c r="B136" s="15"/>
      <c r="C136" s="15"/>
      <c r="D136" s="15"/>
      <c r="E136" s="15"/>
      <c r="F136" s="15"/>
      <c r="G136" s="15"/>
    </row>
    <row r="137" spans="1:7">
      <c r="A137" s="15"/>
      <c r="B137" s="15"/>
      <c r="C137" s="15"/>
      <c r="D137" s="15"/>
      <c r="E137" s="15"/>
      <c r="F137" s="15"/>
      <c r="G137" s="15"/>
    </row>
    <row r="138" spans="1:7">
      <c r="A138" s="15"/>
      <c r="B138" s="15"/>
      <c r="C138" s="15"/>
      <c r="D138" s="15"/>
      <c r="E138" s="15"/>
      <c r="F138" s="15"/>
      <c r="G138" s="15"/>
    </row>
    <row r="139" spans="1:7">
      <c r="A139" s="15"/>
      <c r="B139" s="15"/>
      <c r="C139" s="15"/>
      <c r="D139" s="15"/>
      <c r="E139" s="15"/>
      <c r="F139" s="15"/>
      <c r="G139" s="15"/>
    </row>
    <row r="140" spans="1:7">
      <c r="A140" s="15"/>
      <c r="B140" s="15"/>
      <c r="C140" s="15"/>
      <c r="D140" s="15"/>
      <c r="E140" s="15"/>
      <c r="F140" s="15"/>
      <c r="G140" s="15"/>
    </row>
    <row r="141" spans="1:7">
      <c r="A141" s="15"/>
      <c r="B141" s="15"/>
      <c r="C141" s="15"/>
      <c r="D141" s="15"/>
      <c r="E141" s="15"/>
      <c r="F141" s="15"/>
      <c r="G141" s="15"/>
    </row>
    <row r="142" spans="1:7">
      <c r="A142" s="15"/>
      <c r="B142" s="15"/>
      <c r="C142" s="15"/>
      <c r="D142" s="15"/>
      <c r="E142" s="15"/>
      <c r="F142" s="15"/>
      <c r="G142" s="15"/>
    </row>
    <row r="143" spans="1:7">
      <c r="A143" s="15"/>
      <c r="B143" s="15"/>
      <c r="C143" s="15"/>
      <c r="D143" s="15"/>
      <c r="E143" s="15"/>
      <c r="F143" s="15"/>
      <c r="G143" s="15"/>
    </row>
    <row r="144" spans="1:7">
      <c r="A144" s="15"/>
      <c r="B144" s="15"/>
      <c r="C144" s="15"/>
    </row>
    <row r="145" spans="1:3">
      <c r="A145" s="15"/>
      <c r="B145" s="15"/>
      <c r="C145" s="15"/>
    </row>
    <row r="146" spans="1:3">
      <c r="A146" s="15"/>
      <c r="B146" s="15"/>
      <c r="C146" s="15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>
    <oddHeader>&amp;R&amp;"Calibri"&amp;12&amp;KFF9100F O R T R O L I G&amp;1#</oddHeader>
    <oddFooter>&amp;R&amp;A</oddFooter>
  </headerFooter>
  <ignoredErrors>
    <ignoredError sqref="B17:C1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11">
    <tabColor rgb="FF00B050"/>
    <pageSetUpPr fitToPage="1"/>
  </sheetPr>
  <dimension ref="A1:K50"/>
  <sheetViews>
    <sheetView zoomScaleNormal="100" workbookViewId="0">
      <selection activeCell="C16" sqref="C16:F23"/>
    </sheetView>
  </sheetViews>
  <sheetFormatPr baseColWidth="10" defaultColWidth="11" defaultRowHeight="12"/>
  <cols>
    <col min="1" max="1" width="36.25" style="267" customWidth="1"/>
    <col min="2" max="2" width="29.625" style="267" customWidth="1"/>
    <col min="3" max="3" width="8.375" style="267" customWidth="1"/>
    <col min="4" max="4" width="8.875" style="267" customWidth="1"/>
    <col min="5" max="6" width="10.625" style="267" customWidth="1"/>
    <col min="7" max="7" width="14.625" style="18" customWidth="1"/>
    <col min="8" max="8" width="11" style="18"/>
    <col min="9" max="9" width="31.25" style="18" customWidth="1"/>
    <col min="10" max="16384" width="11" style="18"/>
  </cols>
  <sheetData>
    <row r="1" spans="1:11" ht="21">
      <c r="A1" s="685" t="s">
        <v>205</v>
      </c>
      <c r="B1" s="707"/>
      <c r="C1" s="231"/>
      <c r="D1" s="231"/>
      <c r="E1" s="231"/>
      <c r="F1" s="231"/>
      <c r="G1" s="55"/>
      <c r="H1" s="55"/>
      <c r="I1" s="267"/>
      <c r="J1" s="55"/>
      <c r="K1" s="267"/>
    </row>
    <row r="2" spans="1:11">
      <c r="A2" s="707" t="s">
        <v>117</v>
      </c>
      <c r="B2" s="707"/>
      <c r="C2" s="231"/>
      <c r="D2" s="231"/>
      <c r="E2" s="231"/>
      <c r="F2" s="231"/>
      <c r="G2" s="55"/>
      <c r="H2" s="55"/>
      <c r="I2" s="267"/>
      <c r="J2" s="55"/>
      <c r="K2" s="267"/>
    </row>
    <row r="3" spans="1:11">
      <c r="A3" s="708"/>
      <c r="B3" s="708"/>
      <c r="C3" s="708"/>
      <c r="D3" s="708"/>
      <c r="E3" s="232"/>
      <c r="F3" s="707"/>
      <c r="G3" s="267"/>
      <c r="H3" s="267"/>
      <c r="I3" s="267"/>
      <c r="J3" s="710"/>
      <c r="K3" s="267"/>
    </row>
    <row r="4" spans="1:11">
      <c r="A4" s="706"/>
      <c r="B4" s="706"/>
      <c r="C4" s="706"/>
      <c r="D4" s="706"/>
      <c r="E4" s="472"/>
      <c r="F4" s="472"/>
      <c r="G4" s="58"/>
      <c r="H4" s="267"/>
      <c r="I4" s="267"/>
      <c r="J4" s="267"/>
      <c r="K4" s="267"/>
    </row>
    <row r="5" spans="1:11" ht="24">
      <c r="A5" s="709"/>
      <c r="B5" s="233"/>
      <c r="C5" s="316" t="s">
        <v>42</v>
      </c>
      <c r="D5" s="316" t="s">
        <v>42</v>
      </c>
      <c r="E5" s="313" t="s">
        <v>197</v>
      </c>
      <c r="F5" s="235" t="s">
        <v>197</v>
      </c>
      <c r="G5" s="61"/>
      <c r="H5" s="267"/>
      <c r="I5" s="267"/>
      <c r="J5" s="267"/>
      <c r="K5" s="267"/>
    </row>
    <row r="6" spans="1:11">
      <c r="A6" s="709"/>
      <c r="B6" s="233"/>
      <c r="C6" s="316"/>
      <c r="D6" s="316" t="s">
        <v>43</v>
      </c>
      <c r="E6" s="313" t="s">
        <v>44</v>
      </c>
      <c r="F6" s="235" t="s">
        <v>44</v>
      </c>
      <c r="G6" s="58"/>
      <c r="H6" s="267"/>
      <c r="I6" s="267"/>
      <c r="J6" s="267"/>
      <c r="K6" s="267"/>
    </row>
    <row r="7" spans="1:11" ht="12.75" thickBot="1">
      <c r="A7" s="236"/>
      <c r="B7" s="237"/>
      <c r="C7" s="611">
        <v>43921</v>
      </c>
      <c r="D7" s="611">
        <v>43921</v>
      </c>
      <c r="E7" s="611">
        <v>43921</v>
      </c>
      <c r="F7" s="238">
        <v>43830</v>
      </c>
      <c r="G7" s="63"/>
      <c r="H7" s="267"/>
      <c r="I7" s="14"/>
      <c r="J7" s="267"/>
      <c r="K7" s="267"/>
    </row>
    <row r="8" spans="1:11">
      <c r="A8" s="90" t="s">
        <v>19</v>
      </c>
      <c r="B8" s="706" t="s">
        <v>651</v>
      </c>
      <c r="C8" s="510">
        <v>47048.631000000001</v>
      </c>
      <c r="D8" s="510">
        <v>45204.284</v>
      </c>
      <c r="E8" s="510">
        <v>23636.48</v>
      </c>
      <c r="F8" s="510">
        <v>25213.457999999999</v>
      </c>
      <c r="G8" s="65"/>
      <c r="H8" s="267"/>
      <c r="I8" s="14"/>
      <c r="J8" s="267"/>
      <c r="K8" s="267"/>
    </row>
    <row r="9" spans="1:11" s="267" customFormat="1">
      <c r="A9" s="90"/>
      <c r="B9" s="706" t="s">
        <v>225</v>
      </c>
      <c r="C9" s="510">
        <f>38037.438+0.568</f>
        <v>38038.006000000001</v>
      </c>
      <c r="D9" s="510">
        <f>33018.467+0.568</f>
        <v>33019.034999999996</v>
      </c>
      <c r="E9" s="239">
        <f>21442.67+0.73</f>
        <v>21443.399999999998</v>
      </c>
      <c r="F9" s="239">
        <f>20521.267+1.955</f>
        <v>20523.222000000002</v>
      </c>
      <c r="G9" s="65"/>
      <c r="I9" s="14"/>
    </row>
    <row r="10" spans="1:11">
      <c r="A10" s="240"/>
      <c r="B10" s="241" t="s">
        <v>83</v>
      </c>
      <c r="C10" s="511">
        <v>9195.5949999999993</v>
      </c>
      <c r="D10" s="511">
        <v>7764.3469999999998</v>
      </c>
      <c r="E10" s="511">
        <v>4625.1629999999996</v>
      </c>
      <c r="F10" s="511">
        <v>4767.491</v>
      </c>
      <c r="G10" s="65"/>
      <c r="H10" s="267"/>
      <c r="I10" s="66"/>
      <c r="J10" s="267"/>
      <c r="K10" s="267"/>
    </row>
    <row r="11" spans="1:11">
      <c r="A11" s="229" t="s">
        <v>20</v>
      </c>
      <c r="B11" s="229" t="s">
        <v>45</v>
      </c>
      <c r="C11" s="510">
        <f>6490.46+0.041</f>
        <v>6490.5010000000002</v>
      </c>
      <c r="D11" s="510">
        <f>6488.147+0.041</f>
        <v>6488.1880000000001</v>
      </c>
      <c r="E11" s="510">
        <f>1425.575+0.025</f>
        <v>1425.6000000000001</v>
      </c>
      <c r="F11" s="510">
        <v>1341.86</v>
      </c>
      <c r="G11" s="65"/>
      <c r="H11" s="267"/>
      <c r="I11" s="66"/>
      <c r="J11" s="267"/>
      <c r="K11" s="267"/>
    </row>
    <row r="12" spans="1:11" ht="12" customHeight="1">
      <c r="A12" s="229"/>
      <c r="B12" s="229" t="s">
        <v>74</v>
      </c>
      <c r="C12" s="510">
        <v>145026.63800000001</v>
      </c>
      <c r="D12" s="510">
        <v>145020.514</v>
      </c>
      <c r="E12" s="510">
        <v>32414.11</v>
      </c>
      <c r="F12" s="510">
        <v>31288.708999999999</v>
      </c>
      <c r="G12" s="65"/>
      <c r="H12" s="267"/>
      <c r="I12" s="66"/>
      <c r="J12" s="267"/>
      <c r="K12" s="267"/>
    </row>
    <row r="13" spans="1:11" ht="14.25" customHeight="1">
      <c r="A13" s="242"/>
      <c r="B13" s="242" t="s">
        <v>75</v>
      </c>
      <c r="C13" s="511">
        <f>6723.569+420.375</f>
        <v>7143.9440000000004</v>
      </c>
      <c r="D13" s="511">
        <f>6717.525+416.795</f>
        <v>7134.32</v>
      </c>
      <c r="E13" s="511">
        <f>2774.432+133.482</f>
        <v>2907.9139999999998</v>
      </c>
      <c r="F13" s="511">
        <f>2238.381+113.47</f>
        <v>2351.8509999999997</v>
      </c>
      <c r="G13" s="65"/>
      <c r="H13" s="267"/>
      <c r="I13" s="844"/>
      <c r="J13" s="844"/>
      <c r="K13" s="844"/>
    </row>
    <row r="14" spans="1:11">
      <c r="A14" s="845" t="s">
        <v>202</v>
      </c>
      <c r="B14" s="845"/>
      <c r="C14" s="512">
        <f>SUM(C8:C13)</f>
        <v>252943.315</v>
      </c>
      <c r="D14" s="512">
        <f>SUM(D8:D13)</f>
        <v>244630.68799999997</v>
      </c>
      <c r="E14" s="512">
        <f>SUM(E8:E13)</f>
        <v>86452.667000000001</v>
      </c>
      <c r="F14" s="510">
        <f>SUM(F8:F13)</f>
        <v>85486.591</v>
      </c>
      <c r="G14" s="68"/>
      <c r="H14" s="267"/>
      <c r="I14" s="267"/>
      <c r="J14" s="267"/>
      <c r="K14" s="267"/>
    </row>
    <row r="15" spans="1:11">
      <c r="A15" s="233"/>
      <c r="B15" s="233"/>
      <c r="C15" s="481"/>
      <c r="D15" s="481"/>
      <c r="E15" s="513"/>
      <c r="F15" s="513"/>
      <c r="G15" s="69"/>
      <c r="H15" s="267"/>
      <c r="I15" s="267"/>
      <c r="J15" s="267"/>
      <c r="K15" s="267"/>
    </row>
    <row r="16" spans="1:11" s="267" customFormat="1" ht="12" customHeight="1">
      <c r="A16" s="706" t="s">
        <v>708</v>
      </c>
      <c r="B16" s="706"/>
      <c r="C16" s="510">
        <v>5883.5209999999997</v>
      </c>
      <c r="D16" s="478"/>
      <c r="E16" s="510">
        <v>62.335999999999999</v>
      </c>
      <c r="F16" s="510">
        <v>25.123999999999999</v>
      </c>
      <c r="G16" s="69"/>
    </row>
    <row r="17" spans="1:11" ht="12" customHeight="1">
      <c r="A17" s="706" t="s">
        <v>709</v>
      </c>
      <c r="B17" s="706"/>
      <c r="C17" s="239">
        <f>1721.014+3.698+7719.686</f>
        <v>9444.3979999999992</v>
      </c>
      <c r="D17" s="478"/>
      <c r="E17" s="239">
        <f>361.27+0.739</f>
        <v>362.00899999999996</v>
      </c>
      <c r="F17" s="239">
        <f>72.562+0.814</f>
        <v>73.375999999999991</v>
      </c>
      <c r="G17" s="65"/>
      <c r="H17" s="70"/>
      <c r="I17" s="267"/>
      <c r="J17" s="267"/>
      <c r="K17" s="267"/>
    </row>
    <row r="18" spans="1:11">
      <c r="A18" s="706" t="s">
        <v>24</v>
      </c>
      <c r="B18" s="706"/>
      <c r="C18" s="510">
        <v>25844.085999999999</v>
      </c>
      <c r="D18" s="478"/>
      <c r="E18" s="510">
        <v>1516.46</v>
      </c>
      <c r="F18" s="510">
        <v>1196.181</v>
      </c>
      <c r="G18" s="65"/>
      <c r="H18" s="70"/>
      <c r="I18" s="267"/>
      <c r="J18" s="267"/>
      <c r="K18" s="267"/>
    </row>
    <row r="19" spans="1:11">
      <c r="A19" s="706" t="s">
        <v>19</v>
      </c>
      <c r="B19" s="706"/>
      <c r="C19" s="510">
        <f>12612.366+62.335</f>
        <v>12674.700999999999</v>
      </c>
      <c r="D19" s="478"/>
      <c r="E19" s="510">
        <f>10111.664+59.524</f>
        <v>10171.188</v>
      </c>
      <c r="F19" s="510">
        <f>8794.033+60.659</f>
        <v>8854.6919999999991</v>
      </c>
      <c r="G19" s="65"/>
      <c r="H19" s="70"/>
      <c r="I19" s="267"/>
      <c r="J19" s="267"/>
      <c r="K19" s="267"/>
    </row>
    <row r="20" spans="1:11" ht="12" customHeight="1">
      <c r="A20" s="706" t="s">
        <v>20</v>
      </c>
      <c r="B20" s="706"/>
      <c r="C20" s="510">
        <f>12382.23+1750.156</f>
        <v>14132.385999999999</v>
      </c>
      <c r="D20" s="478"/>
      <c r="E20" s="510">
        <f>3859.399+1133.266</f>
        <v>4992.665</v>
      </c>
      <c r="F20" s="510">
        <f>3617.794+1114.978</f>
        <v>4732.7719999999999</v>
      </c>
      <c r="G20" s="65"/>
      <c r="H20" s="70"/>
      <c r="I20" s="267"/>
      <c r="J20" s="267"/>
      <c r="K20" s="267"/>
    </row>
    <row r="21" spans="1:11" s="267" customFormat="1" ht="12" customHeight="1">
      <c r="A21" s="706" t="s">
        <v>588</v>
      </c>
      <c r="B21" s="706"/>
      <c r="C21" s="510">
        <v>22599.4</v>
      </c>
      <c r="D21" s="478"/>
      <c r="E21" s="510">
        <v>2332.3609999999999</v>
      </c>
      <c r="F21" s="510">
        <v>2316.7130000000002</v>
      </c>
      <c r="G21" s="65"/>
      <c r="H21" s="70"/>
    </row>
    <row r="22" spans="1:11" s="267" customFormat="1" ht="12" customHeight="1">
      <c r="A22" s="706" t="s">
        <v>600</v>
      </c>
      <c r="B22" s="706"/>
      <c r="C22" s="510">
        <v>2750.9090000000001</v>
      </c>
      <c r="D22" s="478"/>
      <c r="E22" s="510">
        <v>5867.6030000000001</v>
      </c>
      <c r="F22" s="510">
        <v>5475.1909999999998</v>
      </c>
      <c r="G22" s="65"/>
      <c r="H22" s="70"/>
    </row>
    <row r="23" spans="1:11" ht="12" customHeight="1">
      <c r="A23" s="241" t="s">
        <v>48</v>
      </c>
      <c r="B23" s="241"/>
      <c r="C23" s="511">
        <v>3628.57</v>
      </c>
      <c r="D23" s="479"/>
      <c r="E23" s="511">
        <v>3850.9749999999999</v>
      </c>
      <c r="F23" s="511">
        <v>3653.3719999999998</v>
      </c>
      <c r="G23" s="65"/>
      <c r="H23" s="70"/>
      <c r="I23" s="267"/>
      <c r="J23" s="267"/>
      <c r="K23" s="267"/>
    </row>
    <row r="24" spans="1:11">
      <c r="A24" s="845" t="s">
        <v>203</v>
      </c>
      <c r="B24" s="845"/>
      <c r="C24" s="525">
        <f>SUM(C16:C23)</f>
        <v>96957.971000000005</v>
      </c>
      <c r="D24" s="480"/>
      <c r="E24" s="512">
        <f t="shared" ref="E24" si="0">SUM(E16:E23)</f>
        <v>29155.596999999998</v>
      </c>
      <c r="F24" s="510">
        <f t="shared" ref="F24" si="1">SUM(F16:F23)</f>
        <v>26327.420999999998</v>
      </c>
      <c r="G24" s="68"/>
      <c r="H24" s="549"/>
      <c r="I24" s="267"/>
      <c r="J24" s="267"/>
      <c r="K24" s="267"/>
    </row>
    <row r="25" spans="1:11">
      <c r="A25" s="233"/>
      <c r="B25" s="233"/>
      <c r="C25" s="480"/>
      <c r="D25" s="480"/>
      <c r="E25" s="512"/>
      <c r="F25" s="510"/>
      <c r="G25" s="68"/>
      <c r="H25" s="549"/>
      <c r="I25" s="267"/>
      <c r="J25" s="267"/>
      <c r="K25" s="267"/>
    </row>
    <row r="26" spans="1:11">
      <c r="A26" s="244" t="s">
        <v>204</v>
      </c>
      <c r="B26" s="245"/>
      <c r="C26" s="482"/>
      <c r="D26" s="483"/>
      <c r="E26" s="514">
        <f>E14+E24</f>
        <v>115608.264</v>
      </c>
      <c r="F26" s="827">
        <f>F14+F24</f>
        <v>111814.012</v>
      </c>
      <c r="G26" s="74"/>
      <c r="H26" s="267"/>
      <c r="I26" s="267"/>
      <c r="J26" s="267"/>
      <c r="K26" s="267"/>
    </row>
    <row r="27" spans="1:11">
      <c r="G27" s="267"/>
      <c r="H27" s="267"/>
      <c r="I27" s="267"/>
      <c r="J27" s="267"/>
      <c r="K27" s="267"/>
    </row>
    <row r="28" spans="1:11">
      <c r="G28" s="267"/>
      <c r="H28" s="267"/>
      <c r="I28" s="267"/>
      <c r="J28" s="267"/>
      <c r="K28" s="267"/>
    </row>
    <row r="29" spans="1:11">
      <c r="A29" s="707" t="s">
        <v>652</v>
      </c>
      <c r="B29" s="707"/>
      <c r="C29" s="707"/>
      <c r="D29" s="707"/>
      <c r="E29" s="707"/>
      <c r="F29" s="707"/>
      <c r="G29" s="707"/>
      <c r="H29" s="267"/>
      <c r="I29" s="267"/>
      <c r="J29" s="267"/>
      <c r="K29" s="267"/>
    </row>
    <row r="30" spans="1:11">
      <c r="A30" s="707" t="s">
        <v>653</v>
      </c>
      <c r="B30" s="707"/>
      <c r="C30" s="707"/>
      <c r="D30" s="707"/>
      <c r="E30" s="707"/>
      <c r="F30" s="19"/>
      <c r="G30" s="707"/>
      <c r="H30" s="267"/>
      <c r="I30" s="267"/>
      <c r="J30" s="267"/>
      <c r="K30" s="267"/>
    </row>
    <row r="31" spans="1:11">
      <c r="A31" s="707" t="s">
        <v>656</v>
      </c>
      <c r="B31" s="707"/>
      <c r="C31" s="707"/>
      <c r="D31" s="707"/>
      <c r="E31" s="707"/>
      <c r="F31" s="707"/>
      <c r="G31" s="707"/>
      <c r="H31" s="267"/>
      <c r="I31" s="267"/>
      <c r="J31" s="267"/>
      <c r="K31" s="267"/>
    </row>
    <row r="32" spans="1:11">
      <c r="A32" s="707" t="s">
        <v>654</v>
      </c>
      <c r="B32" s="707"/>
      <c r="C32" s="707"/>
      <c r="D32" s="707"/>
      <c r="E32" s="707"/>
      <c r="F32" s="707"/>
      <c r="G32" s="707"/>
      <c r="H32" s="267"/>
      <c r="I32" s="267"/>
      <c r="J32" s="267"/>
      <c r="K32" s="267"/>
    </row>
    <row r="33" spans="1:11">
      <c r="A33" s="707" t="s">
        <v>655</v>
      </c>
      <c r="B33" s="707"/>
      <c r="C33" s="707"/>
      <c r="D33" s="707"/>
      <c r="E33" s="707"/>
      <c r="F33" s="707"/>
      <c r="G33" s="707"/>
      <c r="H33" s="267"/>
      <c r="I33" s="267"/>
      <c r="J33" s="267"/>
      <c r="K33" s="267"/>
    </row>
    <row r="34" spans="1:11">
      <c r="A34" s="707" t="s">
        <v>839</v>
      </c>
      <c r="B34" s="707"/>
      <c r="C34" s="707"/>
      <c r="D34" s="707"/>
      <c r="E34" s="707"/>
      <c r="F34" s="707"/>
      <c r="G34" s="707"/>
      <c r="H34" s="267"/>
      <c r="I34" s="267"/>
      <c r="J34" s="267"/>
      <c r="K34" s="267"/>
    </row>
    <row r="35" spans="1:11">
      <c r="A35" s="402"/>
      <c r="B35" s="402"/>
      <c r="C35" s="402"/>
      <c r="D35" s="402"/>
      <c r="E35" s="402"/>
      <c r="F35" s="402"/>
      <c r="G35" s="20"/>
    </row>
    <row r="36" spans="1:11">
      <c r="A36" s="402"/>
      <c r="B36" s="402"/>
      <c r="C36" s="402"/>
      <c r="D36" s="402"/>
      <c r="E36" s="402"/>
      <c r="F36" s="402"/>
      <c r="G36" s="20"/>
    </row>
    <row r="37" spans="1:11">
      <c r="A37" s="612"/>
      <c r="B37" s="402"/>
      <c r="C37" s="402"/>
      <c r="D37" s="402"/>
      <c r="E37" s="402"/>
      <c r="F37" s="402"/>
      <c r="G37" s="20"/>
    </row>
    <row r="38" spans="1:11">
      <c r="A38" s="402"/>
      <c r="B38" s="402"/>
      <c r="C38" s="402"/>
      <c r="D38" s="402"/>
      <c r="E38" s="402"/>
      <c r="F38" s="402"/>
      <c r="G38" s="20"/>
    </row>
    <row r="39" spans="1:11">
      <c r="A39" s="402"/>
      <c r="B39" s="402"/>
      <c r="C39" s="402"/>
      <c r="D39" s="402"/>
      <c r="E39" s="402"/>
      <c r="F39" s="402"/>
      <c r="G39" s="20"/>
    </row>
    <row r="40" spans="1:11">
      <c r="A40" s="402"/>
      <c r="B40" s="402"/>
      <c r="C40" s="402"/>
      <c r="D40" s="402"/>
      <c r="E40" s="402"/>
      <c r="F40" s="402"/>
      <c r="G40" s="20"/>
    </row>
    <row r="41" spans="1:11">
      <c r="A41" s="402"/>
      <c r="B41" s="402"/>
      <c r="C41" s="402"/>
      <c r="D41" s="402"/>
      <c r="E41" s="402"/>
      <c r="F41" s="402"/>
      <c r="G41" s="20"/>
    </row>
    <row r="50" spans="2:2">
      <c r="B50" s="715"/>
    </row>
  </sheetData>
  <mergeCells count="3">
    <mergeCell ref="I13:K13"/>
    <mergeCell ref="A14:B14"/>
    <mergeCell ref="A24:B2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2" max="5" man="1"/>
  </rowBreaks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19">
    <tabColor rgb="FF00B050"/>
    <pageSetUpPr fitToPage="1"/>
  </sheetPr>
  <dimension ref="A1:H53"/>
  <sheetViews>
    <sheetView workbookViewId="0">
      <selection activeCell="C13" sqref="C13:G16"/>
    </sheetView>
  </sheetViews>
  <sheetFormatPr baseColWidth="10" defaultColWidth="11" defaultRowHeight="12"/>
  <cols>
    <col min="1" max="1" width="35" style="267" customWidth="1"/>
    <col min="2" max="2" width="1" style="267" customWidth="1"/>
    <col min="3" max="6" width="12.625" style="267" customWidth="1"/>
    <col min="7" max="7" width="12.625" style="18" customWidth="1"/>
    <col min="8" max="8" width="11" style="18"/>
    <col min="9" max="9" width="31.25" style="18" customWidth="1"/>
    <col min="10" max="16384" width="11" style="18"/>
  </cols>
  <sheetData>
    <row r="1" spans="1:8" ht="21">
      <c r="A1" s="685" t="s">
        <v>222</v>
      </c>
      <c r="B1" s="707"/>
      <c r="C1" s="707"/>
      <c r="D1" s="707"/>
      <c r="E1" s="707"/>
      <c r="F1" s="707"/>
      <c r="G1" s="707"/>
      <c r="H1" s="267"/>
    </row>
    <row r="2" spans="1:8">
      <c r="A2" s="707" t="s">
        <v>117</v>
      </c>
      <c r="B2" s="707"/>
      <c r="C2" s="707"/>
      <c r="D2" s="707"/>
      <c r="E2" s="707"/>
      <c r="F2" s="707"/>
      <c r="G2" s="707"/>
      <c r="H2" s="267"/>
    </row>
    <row r="3" spans="1:8">
      <c r="A3" s="91"/>
      <c r="B3" s="91"/>
      <c r="C3" s="234"/>
      <c r="E3" s="234"/>
      <c r="F3" s="234"/>
      <c r="G3" s="234"/>
      <c r="H3" s="267"/>
    </row>
    <row r="4" spans="1:8" ht="24.75" thickBot="1">
      <c r="A4" s="692">
        <v>43921</v>
      </c>
      <c r="B4" s="269"/>
      <c r="C4" s="477" t="s">
        <v>44</v>
      </c>
      <c r="D4" s="477" t="s">
        <v>552</v>
      </c>
      <c r="E4" s="477" t="s">
        <v>557</v>
      </c>
      <c r="F4" s="477" t="s">
        <v>187</v>
      </c>
      <c r="G4" s="477" t="s">
        <v>772</v>
      </c>
      <c r="H4" s="267"/>
    </row>
    <row r="5" spans="1:8">
      <c r="A5" s="847" t="s">
        <v>62</v>
      </c>
      <c r="B5" s="847"/>
      <c r="C5" s="196">
        <v>4255</v>
      </c>
      <c r="D5" s="485"/>
      <c r="E5" s="485"/>
      <c r="F5" s="485"/>
      <c r="G5" s="485"/>
      <c r="H5" s="104"/>
    </row>
    <row r="6" spans="1:8">
      <c r="A6" s="847" t="s">
        <v>63</v>
      </c>
      <c r="B6" s="847"/>
      <c r="C6" s="196">
        <v>4312</v>
      </c>
      <c r="D6" s="485"/>
      <c r="E6" s="485"/>
      <c r="F6" s="485"/>
      <c r="G6" s="485"/>
      <c r="H6" s="104"/>
    </row>
    <row r="7" spans="1:8">
      <c r="A7" s="847" t="s">
        <v>64</v>
      </c>
      <c r="B7" s="847"/>
      <c r="C7" s="196">
        <v>160</v>
      </c>
      <c r="D7" s="485"/>
      <c r="E7" s="485"/>
      <c r="F7" s="485"/>
      <c r="G7" s="485"/>
      <c r="H7" s="104"/>
    </row>
    <row r="8" spans="1:8" s="267" customFormat="1">
      <c r="A8" s="847" t="s">
        <v>188</v>
      </c>
      <c r="B8" s="847"/>
      <c r="C8" s="196">
        <f>SUM(D8:G8)</f>
        <v>716</v>
      </c>
      <c r="D8" s="196">
        <v>17</v>
      </c>
      <c r="E8" s="196">
        <v>25</v>
      </c>
      <c r="F8" s="196">
        <v>494</v>
      </c>
      <c r="G8" s="196">
        <v>180</v>
      </c>
      <c r="H8" s="104"/>
    </row>
    <row r="9" spans="1:8">
      <c r="A9" s="244" t="s">
        <v>65</v>
      </c>
      <c r="B9" s="244"/>
      <c r="C9" s="270">
        <f>SUM(C5:C8)</f>
        <v>9443</v>
      </c>
      <c r="D9" s="270">
        <f t="shared" ref="D9:G9" si="0">SUM(D5:D8)</f>
        <v>17</v>
      </c>
      <c r="E9" s="270">
        <f t="shared" si="0"/>
        <v>25</v>
      </c>
      <c r="F9" s="270">
        <f t="shared" si="0"/>
        <v>494</v>
      </c>
      <c r="G9" s="270">
        <f t="shared" si="0"/>
        <v>180</v>
      </c>
      <c r="H9" s="104"/>
    </row>
    <row r="10" spans="1:8">
      <c r="A10" s="707"/>
      <c r="B10" s="707"/>
      <c r="C10" s="271"/>
      <c r="D10" s="271"/>
      <c r="E10" s="271"/>
      <c r="F10" s="271"/>
      <c r="G10" s="271"/>
      <c r="H10" s="104"/>
    </row>
    <row r="11" spans="1:8" s="267" customFormat="1" ht="12" customHeight="1">
      <c r="A11" s="91"/>
      <c r="B11" s="91"/>
      <c r="C11" s="234"/>
      <c r="D11" s="484"/>
      <c r="E11" s="234"/>
      <c r="F11" s="234"/>
      <c r="G11" s="271"/>
      <c r="H11" s="104"/>
    </row>
    <row r="12" spans="1:8" s="267" customFormat="1" ht="24.75" thickBot="1">
      <c r="A12" s="692">
        <v>43830</v>
      </c>
      <c r="B12" s="559"/>
      <c r="C12" s="477" t="s">
        <v>44</v>
      </c>
      <c r="D12" s="477" t="s">
        <v>552</v>
      </c>
      <c r="E12" s="477" t="s">
        <v>557</v>
      </c>
      <c r="F12" s="477" t="s">
        <v>187</v>
      </c>
      <c r="G12" s="477" t="s">
        <v>772</v>
      </c>
      <c r="H12" s="104"/>
    </row>
    <row r="13" spans="1:8" s="267" customFormat="1">
      <c r="A13" s="847" t="s">
        <v>62</v>
      </c>
      <c r="B13" s="847"/>
      <c r="C13" s="196">
        <v>4255</v>
      </c>
      <c r="D13" s="485"/>
      <c r="E13" s="485"/>
      <c r="F13" s="485"/>
      <c r="G13" s="485"/>
      <c r="H13" s="104"/>
    </row>
    <row r="14" spans="1:8" s="267" customFormat="1">
      <c r="A14" s="847" t="s">
        <v>63</v>
      </c>
      <c r="B14" s="847"/>
      <c r="C14" s="196">
        <v>4312</v>
      </c>
      <c r="D14" s="485"/>
      <c r="E14" s="485"/>
      <c r="F14" s="485"/>
      <c r="G14" s="485"/>
      <c r="H14" s="104"/>
    </row>
    <row r="15" spans="1:8" s="267" customFormat="1">
      <c r="A15" s="847" t="s">
        <v>64</v>
      </c>
      <c r="B15" s="847"/>
      <c r="C15" s="196">
        <v>160</v>
      </c>
      <c r="D15" s="485"/>
      <c r="E15" s="485"/>
      <c r="F15" s="485"/>
      <c r="G15" s="485"/>
      <c r="H15" s="104"/>
    </row>
    <row r="16" spans="1:8" s="267" customFormat="1">
      <c r="A16" s="847" t="s">
        <v>188</v>
      </c>
      <c r="B16" s="847"/>
      <c r="C16" s="196">
        <f>SUM(D16:G16)</f>
        <v>716</v>
      </c>
      <c r="D16" s="196">
        <v>17</v>
      </c>
      <c r="E16" s="196">
        <v>25</v>
      </c>
      <c r="F16" s="196">
        <v>494</v>
      </c>
      <c r="G16" s="196">
        <v>180</v>
      </c>
      <c r="H16" s="104"/>
    </row>
    <row r="17" spans="1:8">
      <c r="A17" s="244" t="s">
        <v>65</v>
      </c>
      <c r="B17" s="244"/>
      <c r="C17" s="270">
        <f>SUM(C13:C16)</f>
        <v>9443</v>
      </c>
      <c r="D17" s="270">
        <f t="shared" ref="D17:G17" si="1">SUM(D13:D16)</f>
        <v>17</v>
      </c>
      <c r="E17" s="270">
        <f t="shared" si="1"/>
        <v>25</v>
      </c>
      <c r="F17" s="270">
        <f t="shared" si="1"/>
        <v>494</v>
      </c>
      <c r="G17" s="270">
        <f t="shared" si="1"/>
        <v>180</v>
      </c>
      <c r="H17" s="104"/>
    </row>
    <row r="18" spans="1:8">
      <c r="A18" s="707"/>
      <c r="B18" s="707"/>
      <c r="C18" s="271"/>
      <c r="D18" s="271"/>
      <c r="E18" s="271"/>
      <c r="F18" s="271"/>
      <c r="G18" s="271"/>
      <c r="H18" s="104"/>
    </row>
    <row r="19" spans="1:8">
      <c r="A19" s="707"/>
      <c r="B19" s="707"/>
      <c r="C19" s="271"/>
      <c r="D19" s="271"/>
      <c r="E19" s="271"/>
      <c r="F19" s="271"/>
      <c r="G19" s="271"/>
      <c r="H19" s="104"/>
    </row>
    <row r="20" spans="1:8">
      <c r="A20" s="846" t="s">
        <v>209</v>
      </c>
      <c r="B20" s="846"/>
      <c r="C20" s="846"/>
      <c r="D20" s="846"/>
      <c r="E20" s="846"/>
      <c r="F20" s="846"/>
      <c r="G20" s="846"/>
      <c r="H20" s="267"/>
    </row>
    <row r="21" spans="1:8">
      <c r="A21" s="846" t="s">
        <v>165</v>
      </c>
      <c r="B21" s="846"/>
      <c r="C21" s="846"/>
      <c r="D21" s="846"/>
      <c r="E21" s="846"/>
      <c r="F21" s="846"/>
      <c r="G21" s="846"/>
      <c r="H21" s="267"/>
    </row>
    <row r="22" spans="1:8">
      <c r="A22" s="707" t="s">
        <v>166</v>
      </c>
      <c r="B22" s="707"/>
      <c r="C22" s="707"/>
      <c r="D22" s="707"/>
      <c r="E22" s="707"/>
      <c r="F22" s="707"/>
      <c r="G22" s="707"/>
      <c r="H22" s="267"/>
    </row>
    <row r="23" spans="1:8">
      <c r="A23" s="707"/>
      <c r="B23" s="707"/>
      <c r="C23" s="707"/>
      <c r="D23" s="707"/>
      <c r="E23" s="707"/>
      <c r="F23" s="707"/>
      <c r="G23" s="707"/>
      <c r="H23" s="267"/>
    </row>
    <row r="24" spans="1:8" ht="14.25">
      <c r="A24" s="288" t="s">
        <v>223</v>
      </c>
      <c r="B24" s="707"/>
      <c r="C24" s="707"/>
      <c r="D24" s="707"/>
      <c r="E24" s="707"/>
      <c r="F24" s="707"/>
      <c r="G24" s="707"/>
    </row>
    <row r="50" spans="2:2">
      <c r="B50" s="715">
        <v>43646</v>
      </c>
    </row>
    <row r="51" spans="2:2">
      <c r="B51" s="267">
        <v>5903</v>
      </c>
    </row>
    <row r="52" spans="2:2">
      <c r="B52" s="267">
        <v>26293</v>
      </c>
    </row>
    <row r="53" spans="2:2">
      <c r="B53" s="267">
        <v>22.45</v>
      </c>
    </row>
  </sheetData>
  <mergeCells count="10">
    <mergeCell ref="A20:G20"/>
    <mergeCell ref="A21:G21"/>
    <mergeCell ref="A5:B5"/>
    <mergeCell ref="A6:B6"/>
    <mergeCell ref="A7:B7"/>
    <mergeCell ref="A13:B13"/>
    <mergeCell ref="A14:B14"/>
    <mergeCell ref="A15:B15"/>
    <mergeCell ref="A8:B8"/>
    <mergeCell ref="A16:B1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64"/>
  <sheetViews>
    <sheetView showGridLines="0" zoomScaleNormal="100" workbookViewId="0">
      <selection activeCell="F45" sqref="F45"/>
    </sheetView>
  </sheetViews>
  <sheetFormatPr baseColWidth="10" defaultColWidth="11" defaultRowHeight="12"/>
  <cols>
    <col min="1" max="1" width="20.375" style="18" customWidth="1"/>
    <col min="2" max="2" width="2.75" style="18" customWidth="1"/>
    <col min="3" max="3" width="40.875" style="18" customWidth="1"/>
    <col min="4" max="4" width="12" style="18" customWidth="1"/>
    <col min="5" max="5" width="10.625" style="18" customWidth="1"/>
    <col min="6" max="6" width="9.875" style="18" customWidth="1"/>
    <col min="7" max="9" width="11" style="18"/>
    <col min="10" max="10" width="9.875" style="18" bestFit="1" customWidth="1"/>
    <col min="11" max="11" width="19.75" style="18" bestFit="1" customWidth="1"/>
    <col min="12" max="16384" width="11" style="18"/>
  </cols>
  <sheetData>
    <row r="1" spans="1:7" ht="21">
      <c r="A1" s="685" t="s">
        <v>591</v>
      </c>
      <c r="B1" s="27"/>
      <c r="C1" s="27"/>
      <c r="D1" s="106"/>
      <c r="E1" s="106"/>
    </row>
    <row r="2" spans="1:7">
      <c r="C2" s="27"/>
      <c r="D2" s="31"/>
      <c r="E2" s="27"/>
    </row>
    <row r="3" spans="1:7">
      <c r="A3" s="54"/>
      <c r="B3" s="54"/>
      <c r="C3" s="54"/>
      <c r="D3" s="107"/>
      <c r="E3" s="31" t="s">
        <v>105</v>
      </c>
      <c r="F3" s="54"/>
      <c r="G3" s="54"/>
    </row>
    <row r="4" spans="1:7">
      <c r="A4" s="848" t="s">
        <v>79</v>
      </c>
      <c r="B4" s="848"/>
      <c r="C4" s="108" t="s">
        <v>82</v>
      </c>
      <c r="D4" s="109" t="s">
        <v>80</v>
      </c>
      <c r="E4" s="109" t="s">
        <v>99</v>
      </c>
      <c r="F4" s="497">
        <v>2019</v>
      </c>
      <c r="G4" s="110">
        <v>2018</v>
      </c>
    </row>
    <row r="5" spans="1:7">
      <c r="A5" s="36"/>
      <c r="B5" s="111"/>
      <c r="C5" s="35"/>
      <c r="D5" s="31"/>
      <c r="E5" s="31"/>
      <c r="F5" s="36"/>
      <c r="G5" s="37"/>
    </row>
    <row r="6" spans="1:7">
      <c r="A6" s="849" t="s">
        <v>100</v>
      </c>
      <c r="B6" s="849"/>
      <c r="C6" s="4"/>
      <c r="D6" s="112"/>
      <c r="E6" s="112"/>
      <c r="F6" s="498"/>
      <c r="G6" s="113"/>
    </row>
    <row r="7" spans="1:7" s="267" customFormat="1">
      <c r="A7" s="114" t="s">
        <v>751</v>
      </c>
      <c r="B7" s="115"/>
      <c r="C7" s="4" t="s">
        <v>728</v>
      </c>
      <c r="D7" s="112">
        <v>2029</v>
      </c>
      <c r="E7" s="112">
        <v>2024</v>
      </c>
      <c r="F7" s="527">
        <v>703</v>
      </c>
      <c r="G7" s="515">
        <v>703</v>
      </c>
    </row>
    <row r="8" spans="1:7" s="267" customFormat="1" ht="12.75">
      <c r="A8" s="114" t="s">
        <v>727</v>
      </c>
      <c r="B8" s="115"/>
      <c r="C8" s="4" t="s">
        <v>729</v>
      </c>
      <c r="D8" s="112">
        <v>2028</v>
      </c>
      <c r="E8" s="475">
        <v>0</v>
      </c>
      <c r="F8" s="527">
        <v>629</v>
      </c>
      <c r="G8" s="515">
        <v>628</v>
      </c>
    </row>
    <row r="9" spans="1:7" s="267" customFormat="1">
      <c r="A9" s="114" t="s">
        <v>726</v>
      </c>
      <c r="B9" s="115"/>
      <c r="C9" s="4" t="s">
        <v>728</v>
      </c>
      <c r="D9" s="112">
        <v>2028</v>
      </c>
      <c r="E9" s="112">
        <v>2023</v>
      </c>
      <c r="F9" s="527">
        <v>300</v>
      </c>
      <c r="G9" s="515">
        <v>300</v>
      </c>
    </row>
    <row r="10" spans="1:7" ht="12.75">
      <c r="A10" s="114" t="s">
        <v>584</v>
      </c>
      <c r="B10" s="115"/>
      <c r="C10" s="4" t="s">
        <v>730</v>
      </c>
      <c r="D10" s="112">
        <v>2030</v>
      </c>
      <c r="E10" s="475">
        <v>0</v>
      </c>
      <c r="F10" s="527">
        <v>493</v>
      </c>
      <c r="G10" s="515">
        <v>498</v>
      </c>
    </row>
    <row r="11" spans="1:7">
      <c r="A11" s="116" t="s">
        <v>16</v>
      </c>
      <c r="B11" s="117"/>
      <c r="C11" s="118"/>
      <c r="D11" s="119"/>
      <c r="E11" s="119"/>
      <c r="F11" s="526">
        <f>SUM(F7:F10)</f>
        <v>2125</v>
      </c>
      <c r="G11" s="516">
        <f>SUM(G7:G10)</f>
        <v>2129</v>
      </c>
    </row>
    <row r="12" spans="1:7">
      <c r="A12" s="114"/>
      <c r="B12" s="115"/>
      <c r="C12" s="4"/>
      <c r="D12" s="120"/>
      <c r="E12" s="120"/>
      <c r="F12" s="528"/>
      <c r="G12" s="517"/>
    </row>
    <row r="13" spans="1:7" ht="14.25">
      <c r="A13" s="121"/>
      <c r="B13" s="122"/>
      <c r="C13" s="6"/>
      <c r="D13" s="120"/>
      <c r="E13" s="120"/>
      <c r="F13" s="529"/>
      <c r="G13" s="518"/>
    </row>
    <row r="14" spans="1:7" ht="14.25">
      <c r="A14" s="849" t="s">
        <v>96</v>
      </c>
      <c r="B14" s="849"/>
      <c r="C14" s="123"/>
      <c r="D14" s="6"/>
      <c r="E14" s="6"/>
      <c r="F14" s="530"/>
      <c r="G14" s="519"/>
    </row>
    <row r="15" spans="1:7" ht="12.75">
      <c r="A15" s="124" t="s">
        <v>91</v>
      </c>
      <c r="B15" s="115"/>
      <c r="C15" s="4" t="s">
        <v>586</v>
      </c>
      <c r="D15" s="51"/>
      <c r="E15" s="358">
        <v>2019</v>
      </c>
      <c r="F15" s="475">
        <v>0</v>
      </c>
      <c r="G15" s="515">
        <v>706</v>
      </c>
    </row>
    <row r="16" spans="1:7" ht="12.75">
      <c r="A16" s="125" t="s">
        <v>92</v>
      </c>
      <c r="B16" s="126"/>
      <c r="C16" s="127" t="s">
        <v>587</v>
      </c>
      <c r="D16" s="128"/>
      <c r="E16" s="385">
        <v>2019</v>
      </c>
      <c r="F16" s="752">
        <v>0</v>
      </c>
      <c r="G16" s="520">
        <v>116</v>
      </c>
    </row>
    <row r="17" spans="1:12" ht="12.75">
      <c r="A17" s="129" t="s">
        <v>17</v>
      </c>
      <c r="B17" s="126"/>
      <c r="C17" s="130"/>
      <c r="D17" s="128"/>
      <c r="E17" s="128"/>
      <c r="F17" s="752">
        <f>SUM(F15:F16)</f>
        <v>0</v>
      </c>
      <c r="G17" s="520">
        <f>SUM(G15:G16)</f>
        <v>822</v>
      </c>
    </row>
    <row r="18" spans="1:12">
      <c r="A18" s="114"/>
      <c r="B18" s="131"/>
      <c r="C18" s="4"/>
      <c r="D18" s="4"/>
      <c r="E18" s="4"/>
      <c r="F18" s="487"/>
      <c r="G18" s="521"/>
    </row>
    <row r="19" spans="1:12">
      <c r="A19" s="116" t="s">
        <v>18</v>
      </c>
      <c r="B19" s="132"/>
      <c r="C19" s="118"/>
      <c r="D19" s="133"/>
      <c r="E19" s="133"/>
      <c r="F19" s="526">
        <f>+F17+F11</f>
        <v>2125</v>
      </c>
      <c r="G19" s="560">
        <f>+G17+G11</f>
        <v>2951</v>
      </c>
    </row>
    <row r="21" spans="1:12">
      <c r="A21" s="134" t="s">
        <v>867</v>
      </c>
      <c r="B21" s="54"/>
      <c r="C21" s="134"/>
      <c r="D21" s="134"/>
      <c r="E21" s="134"/>
      <c r="F21" s="134"/>
      <c r="G21" s="134"/>
      <c r="H21" s="54"/>
      <c r="I21" s="54"/>
    </row>
    <row r="22" spans="1:12">
      <c r="A22" s="524" t="s">
        <v>868</v>
      </c>
      <c r="B22" s="54"/>
      <c r="C22" s="524"/>
      <c r="D22" s="524"/>
      <c r="E22" s="524"/>
      <c r="F22" s="524"/>
      <c r="G22" s="524"/>
      <c r="H22" s="54"/>
      <c r="I22" s="54"/>
    </row>
    <row r="23" spans="1:12">
      <c r="A23" s="134" t="s">
        <v>869</v>
      </c>
      <c r="B23" s="54"/>
      <c r="C23" s="134"/>
      <c r="D23" s="134"/>
      <c r="E23" s="134"/>
      <c r="F23" s="134"/>
      <c r="G23" s="134"/>
      <c r="H23" s="54"/>
      <c r="I23" s="54"/>
    </row>
    <row r="24" spans="1:12">
      <c r="A24" s="851"/>
      <c r="B24" s="851"/>
      <c r="C24" s="851"/>
      <c r="D24" s="851"/>
      <c r="E24" s="851"/>
      <c r="F24" s="851"/>
      <c r="G24" s="54"/>
      <c r="H24" s="54"/>
      <c r="I24" s="54"/>
      <c r="J24" s="54"/>
      <c r="K24" s="54"/>
      <c r="L24" s="54"/>
    </row>
    <row r="25" spans="1:12">
      <c r="A25" s="851"/>
      <c r="B25" s="851"/>
      <c r="C25" s="851"/>
      <c r="D25" s="851"/>
      <c r="E25" s="851"/>
      <c r="F25" s="851"/>
      <c r="G25" s="54"/>
      <c r="H25" s="54"/>
      <c r="I25" s="54"/>
      <c r="J25" s="54"/>
      <c r="K25" s="54"/>
      <c r="L25" s="54"/>
    </row>
    <row r="26" spans="1:12">
      <c r="A26" s="134"/>
      <c r="B26" s="134"/>
      <c r="C26" s="134"/>
      <c r="D26" s="134"/>
      <c r="E26" s="134"/>
      <c r="F26" s="134"/>
      <c r="G26" s="54"/>
      <c r="H26" s="54"/>
      <c r="I26" s="54"/>
      <c r="J26" s="54"/>
      <c r="K26" s="54"/>
      <c r="L26" s="54"/>
    </row>
    <row r="27" spans="1:12">
      <c r="A27" s="851"/>
      <c r="B27" s="851"/>
      <c r="C27" s="851"/>
      <c r="D27" s="851"/>
      <c r="E27" s="851"/>
      <c r="F27" s="851"/>
      <c r="G27" s="54"/>
      <c r="H27" s="54"/>
      <c r="I27" s="54"/>
      <c r="J27" s="54"/>
      <c r="K27" s="54"/>
      <c r="L27" s="54"/>
    </row>
    <row r="33" spans="1:7" ht="12.75">
      <c r="A33" s="135"/>
      <c r="B33" s="135"/>
      <c r="C33" s="135"/>
      <c r="D33" s="135"/>
      <c r="E33" s="135"/>
      <c r="F33" s="135"/>
      <c r="G33" s="135"/>
    </row>
    <row r="34" spans="1:7">
      <c r="A34" s="136"/>
      <c r="B34" s="137"/>
      <c r="C34" s="137"/>
      <c r="D34" s="137"/>
      <c r="E34" s="137"/>
      <c r="F34" s="850"/>
      <c r="G34" s="850"/>
    </row>
    <row r="60" spans="10:12" ht="12.75">
      <c r="J60" s="54"/>
      <c r="K60" s="135"/>
      <c r="L60" s="135"/>
    </row>
    <row r="61" spans="10:12" ht="12.75">
      <c r="J61" s="54"/>
      <c r="K61" s="135"/>
      <c r="L61" s="135"/>
    </row>
    <row r="62" spans="10:12" ht="12.75">
      <c r="J62" s="54"/>
      <c r="K62" s="135"/>
      <c r="L62" s="135"/>
    </row>
    <row r="63" spans="10:12" ht="12.75">
      <c r="J63" s="54"/>
      <c r="K63" s="135"/>
      <c r="L63" s="135"/>
    </row>
    <row r="64" spans="10:12" ht="12.75">
      <c r="J64" s="54"/>
      <c r="K64" s="135"/>
      <c r="L64" s="135"/>
    </row>
  </sheetData>
  <mergeCells count="7">
    <mergeCell ref="A4:B4"/>
    <mergeCell ref="A6:B6"/>
    <mergeCell ref="A14:B14"/>
    <mergeCell ref="F34:G34"/>
    <mergeCell ref="A24:F24"/>
    <mergeCell ref="A25:F25"/>
    <mergeCell ref="A27:F27"/>
  </mergeCells>
  <pageMargins left="0.74803149606299213" right="0.27559055118110237" top="0.98425196850393704" bottom="0.98425196850393704" header="0.51181102362204722" footer="0.51181102362204722"/>
  <pageSetup paperSize="9" scale="63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5">
    <pageSetUpPr fitToPage="1"/>
  </sheetPr>
  <dimension ref="A1:N27"/>
  <sheetViews>
    <sheetView zoomScaleNormal="100" workbookViewId="0">
      <selection activeCell="F45" sqref="F45"/>
    </sheetView>
  </sheetViews>
  <sheetFormatPr baseColWidth="10" defaultColWidth="11" defaultRowHeight="12"/>
  <cols>
    <col min="1" max="1" width="22.75" style="247" customWidth="1"/>
    <col min="2" max="2" width="14.25" style="247" customWidth="1"/>
    <col min="3" max="3" width="12.875" style="247" customWidth="1"/>
    <col min="4" max="4" width="11.5" style="247" customWidth="1"/>
    <col min="5" max="5" width="10.375" style="247" customWidth="1"/>
    <col min="6" max="6" width="10.375" style="18" customWidth="1"/>
    <col min="7" max="16384" width="11" style="18"/>
  </cols>
  <sheetData>
    <row r="1" spans="1:11" ht="21">
      <c r="A1" s="685" t="s">
        <v>840</v>
      </c>
      <c r="B1" s="71"/>
    </row>
    <row r="2" spans="1:11">
      <c r="A2" s="67" t="s">
        <v>117</v>
      </c>
      <c r="B2" s="71"/>
      <c r="H2" s="214"/>
      <c r="I2" s="214"/>
      <c r="J2" s="214"/>
      <c r="K2" s="214"/>
    </row>
    <row r="3" spans="1:11">
      <c r="A3" s="76"/>
      <c r="B3" s="71"/>
      <c r="H3" s="214"/>
      <c r="I3" s="214"/>
      <c r="J3" s="214"/>
      <c r="K3" s="214"/>
    </row>
    <row r="4" spans="1:11" s="267" customFormat="1" ht="12.75" thickBot="1">
      <c r="A4" s="410">
        <v>2019</v>
      </c>
      <c r="B4" s="263" t="s">
        <v>129</v>
      </c>
      <c r="C4" s="138" t="s">
        <v>30</v>
      </c>
      <c r="D4" s="138" t="s">
        <v>31</v>
      </c>
      <c r="E4" s="138" t="s">
        <v>73</v>
      </c>
    </row>
    <row r="5" spans="1:11" s="267" customFormat="1">
      <c r="A5" s="71" t="s">
        <v>26</v>
      </c>
      <c r="B5" s="83">
        <v>129686</v>
      </c>
      <c r="C5" s="83">
        <v>13977</v>
      </c>
      <c r="D5" s="83">
        <v>6136</v>
      </c>
      <c r="E5" s="83">
        <f>SUM(B5:D5)</f>
        <v>149799</v>
      </c>
    </row>
    <row r="6" spans="1:11" s="267" customFormat="1">
      <c r="A6" s="71" t="s">
        <v>886</v>
      </c>
      <c r="B6" s="83">
        <v>19271</v>
      </c>
      <c r="C6" s="83">
        <v>2077</v>
      </c>
      <c r="D6" s="83">
        <v>912</v>
      </c>
      <c r="E6" s="83">
        <f t="shared" ref="E6:E9" si="0">SUM(B6:D6)</f>
        <v>22260</v>
      </c>
    </row>
    <row r="7" spans="1:11" s="267" customFormat="1">
      <c r="A7" s="15" t="s">
        <v>887</v>
      </c>
      <c r="B7" s="83">
        <v>31567</v>
      </c>
      <c r="C7" s="83">
        <v>3402</v>
      </c>
      <c r="D7" s="83">
        <v>1494</v>
      </c>
      <c r="E7" s="83">
        <f t="shared" si="0"/>
        <v>36463</v>
      </c>
    </row>
    <row r="8" spans="1:11" s="267" customFormat="1">
      <c r="A8" s="15" t="s">
        <v>888</v>
      </c>
      <c r="B8" s="83">
        <v>18043</v>
      </c>
      <c r="C8" s="83">
        <v>1945</v>
      </c>
      <c r="D8" s="83">
        <v>854</v>
      </c>
      <c r="E8" s="83">
        <f t="shared" si="0"/>
        <v>20842</v>
      </c>
    </row>
    <row r="9" spans="1:11" s="267" customFormat="1">
      <c r="A9" s="15" t="s">
        <v>29</v>
      </c>
      <c r="B9" s="83">
        <v>8547</v>
      </c>
      <c r="C9" s="83">
        <v>921</v>
      </c>
      <c r="D9" s="83">
        <v>404</v>
      </c>
      <c r="E9" s="83">
        <f t="shared" si="0"/>
        <v>9872</v>
      </c>
    </row>
    <row r="10" spans="1:11" s="267" customFormat="1">
      <c r="A10" s="84" t="s">
        <v>32</v>
      </c>
      <c r="B10" s="140">
        <f>SUM(B5:B9)</f>
        <v>207114</v>
      </c>
      <c r="C10" s="140">
        <f t="shared" ref="C10:D10" si="1">SUM(C5:C9)</f>
        <v>22322</v>
      </c>
      <c r="D10" s="140">
        <f t="shared" si="1"/>
        <v>9800</v>
      </c>
      <c r="E10" s="140">
        <f>SUM(E5:E9)</f>
        <v>239236</v>
      </c>
    </row>
    <row r="11" spans="1:11" s="267" customFormat="1">
      <c r="A11" s="76"/>
      <c r="B11" s="71"/>
    </row>
    <row r="12" spans="1:11" s="267" customFormat="1">
      <c r="A12" s="76"/>
      <c r="B12" s="71"/>
    </row>
    <row r="13" spans="1:11" ht="12.75" thickBot="1">
      <c r="A13" s="284">
        <v>2018</v>
      </c>
      <c r="B13" s="263" t="s">
        <v>129</v>
      </c>
      <c r="C13" s="138" t="s">
        <v>30</v>
      </c>
      <c r="D13" s="138" t="s">
        <v>31</v>
      </c>
      <c r="E13" s="138" t="s">
        <v>73</v>
      </c>
      <c r="F13" s="60"/>
      <c r="H13" s="214"/>
      <c r="I13" s="214"/>
      <c r="J13" s="214"/>
      <c r="K13" s="214"/>
    </row>
    <row r="14" spans="1:11">
      <c r="A14" s="71" t="s">
        <v>26</v>
      </c>
      <c r="B14" s="83">
        <v>124680</v>
      </c>
      <c r="C14" s="83">
        <v>15026</v>
      </c>
      <c r="D14" s="83">
        <v>6248</v>
      </c>
      <c r="E14" s="83">
        <f>SUM(B14:D14)</f>
        <v>145954</v>
      </c>
      <c r="F14" s="139"/>
    </row>
    <row r="15" spans="1:11">
      <c r="A15" s="71" t="s">
        <v>27</v>
      </c>
      <c r="B15" s="83">
        <v>16994</v>
      </c>
      <c r="C15" s="83">
        <v>2048</v>
      </c>
      <c r="D15" s="83">
        <v>852</v>
      </c>
      <c r="E15" s="83">
        <f t="shared" ref="E15:E17" si="2">SUM(B15:D15)</f>
        <v>19894</v>
      </c>
      <c r="F15" s="139"/>
    </row>
    <row r="16" spans="1:11">
      <c r="A16" s="15" t="s">
        <v>28</v>
      </c>
      <c r="B16" s="83">
        <v>28013</v>
      </c>
      <c r="C16" s="83">
        <v>3376</v>
      </c>
      <c r="D16" s="83">
        <v>1404</v>
      </c>
      <c r="E16" s="83">
        <f t="shared" si="2"/>
        <v>32793</v>
      </c>
      <c r="F16" s="139"/>
    </row>
    <row r="17" spans="1:14">
      <c r="A17" s="15" t="s">
        <v>29</v>
      </c>
      <c r="B17" s="83">
        <v>22418</v>
      </c>
      <c r="C17" s="83">
        <v>2702</v>
      </c>
      <c r="D17" s="83">
        <v>1123</v>
      </c>
      <c r="E17" s="83">
        <f t="shared" si="2"/>
        <v>26243</v>
      </c>
      <c r="F17" s="139"/>
    </row>
    <row r="18" spans="1:14">
      <c r="A18" s="178" t="s">
        <v>32</v>
      </c>
      <c r="B18" s="561">
        <f>SUM(B14:B17)</f>
        <v>192105</v>
      </c>
      <c r="C18" s="561">
        <f>SUM(C14:C17)</f>
        <v>23152</v>
      </c>
      <c r="D18" s="561">
        <f>SUM(D14:D17)</f>
        <v>9627</v>
      </c>
      <c r="E18" s="561">
        <f>SUM(E14:E17)</f>
        <v>224884</v>
      </c>
      <c r="F18" s="139"/>
      <c r="I18" s="22"/>
    </row>
    <row r="19" spans="1:14">
      <c r="A19" s="267"/>
      <c r="B19" s="267"/>
      <c r="C19" s="267"/>
      <c r="D19" s="267"/>
      <c r="E19" s="267"/>
      <c r="F19" s="15"/>
      <c r="I19" s="22"/>
    </row>
    <row r="20" spans="1:14">
      <c r="A20" s="267"/>
      <c r="B20" s="267"/>
      <c r="C20" s="267"/>
      <c r="D20" s="267"/>
      <c r="E20" s="267"/>
      <c r="F20" s="60"/>
    </row>
    <row r="22" spans="1:14">
      <c r="J22" s="141"/>
      <c r="K22" s="142"/>
      <c r="L22" s="214"/>
      <c r="M22" s="214"/>
      <c r="N22" s="214"/>
    </row>
    <row r="23" spans="1:14">
      <c r="K23" s="142"/>
      <c r="L23" s="214"/>
      <c r="M23" s="214"/>
      <c r="N23" s="214"/>
    </row>
    <row r="24" spans="1:14">
      <c r="L24" s="214"/>
      <c r="M24" s="214"/>
      <c r="N24" s="214"/>
    </row>
    <row r="25" spans="1:14">
      <c r="L25" s="142"/>
      <c r="M25" s="214"/>
      <c r="N25" s="142"/>
    </row>
    <row r="26" spans="1:14">
      <c r="L26" s="214"/>
      <c r="M26" s="214"/>
      <c r="N26" s="214"/>
    </row>
    <row r="27" spans="1:14">
      <c r="L27" s="214"/>
      <c r="M27" s="214"/>
      <c r="N27" s="214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34</vt:i4>
      </vt:variant>
      <vt:variant>
        <vt:lpstr>Navngitte områder</vt:lpstr>
      </vt:variant>
      <vt:variant>
        <vt:i4>26</vt:i4>
      </vt:variant>
    </vt:vector>
  </HeadingPairs>
  <TitlesOfParts>
    <vt:vector size="60" baseType="lpstr">
      <vt:lpstr>Innholdsfortegnelse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'1'!Utskriftsområde</vt:lpstr>
      <vt:lpstr>'10'!Utskriftsområde</vt:lpstr>
      <vt:lpstr>'11'!Utskriftsområde</vt:lpstr>
      <vt:lpstr>'12'!Utskriftsområde</vt:lpstr>
      <vt:lpstr>'13'!Utskriftsområde</vt:lpstr>
      <vt:lpstr>'14'!Utskriftsområde</vt:lpstr>
      <vt:lpstr>'15'!Utskriftsområde</vt:lpstr>
      <vt:lpstr>'16'!Utskriftsområde</vt:lpstr>
      <vt:lpstr>'17'!Utskriftsområde</vt:lpstr>
      <vt:lpstr>'18'!Utskriftsområde</vt:lpstr>
      <vt:lpstr>'19'!Utskriftsområde</vt:lpstr>
      <vt:lpstr>'2'!Utskriftsområde</vt:lpstr>
      <vt:lpstr>'21'!Utskriftsområde</vt:lpstr>
      <vt:lpstr>'22'!Utskriftsområde</vt:lpstr>
      <vt:lpstr>'23'!Utskriftsområde</vt:lpstr>
      <vt:lpstr>'24'!Utskriftsområde</vt:lpstr>
      <vt:lpstr>'25'!Utskriftsområde</vt:lpstr>
      <vt:lpstr>'26'!Utskriftsområde</vt:lpstr>
      <vt:lpstr>'27'!Utskriftsområde</vt:lpstr>
      <vt:lpstr>'28'!Utskriftsområde</vt:lpstr>
      <vt:lpstr>'3'!Utskriftsområde</vt:lpstr>
      <vt:lpstr>'4'!Utskriftsområde</vt:lpstr>
      <vt:lpstr>'5'!Utskriftsområde</vt:lpstr>
      <vt:lpstr>'7'!Utskriftsområde</vt:lpstr>
      <vt:lpstr>'8'!Utskriftsområde</vt:lpstr>
      <vt:lpstr>'9'!Utskriftsområde</vt:lpstr>
    </vt:vector>
  </TitlesOfParts>
  <Company>SR-Bank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hjustnes</dc:creator>
  <cp:lastModifiedBy>Thomas Emil Tande Tungland</cp:lastModifiedBy>
  <cp:lastPrinted>2020-02-18T14:26:40Z</cp:lastPrinted>
  <dcterms:created xsi:type="dcterms:W3CDTF">2008-04-01T14:46:24Z</dcterms:created>
  <dcterms:modified xsi:type="dcterms:W3CDTF">2020-05-06T10:28:14Z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5809a7-3794-4347-8703-acc6c58e2a7b_Enabled">
    <vt:lpwstr>True</vt:lpwstr>
  </property>
  <property fmtid="{D5CDD505-2E9C-101B-9397-08002B2CF9AE}" pid="3" name="MSIP_Label_6b5809a7-3794-4347-8703-acc6c58e2a7b_SiteId">
    <vt:lpwstr>aa041025-ad66-491f-b117-929458960abd</vt:lpwstr>
  </property>
  <property fmtid="{D5CDD505-2E9C-101B-9397-08002B2CF9AE}" pid="4" name="MSIP_Label_6b5809a7-3794-4347-8703-acc6c58e2a7b_Owner">
    <vt:lpwstr>Frank.Skogen@sr-bank.no</vt:lpwstr>
  </property>
  <property fmtid="{D5CDD505-2E9C-101B-9397-08002B2CF9AE}" pid="5" name="MSIP_Label_6b5809a7-3794-4347-8703-acc6c58e2a7b_SetDate">
    <vt:lpwstr>2020-02-18T19:51:07.0431106Z</vt:lpwstr>
  </property>
  <property fmtid="{D5CDD505-2E9C-101B-9397-08002B2CF9AE}" pid="6" name="MSIP_Label_6b5809a7-3794-4347-8703-acc6c58e2a7b_Name">
    <vt:lpwstr>Fortrolig</vt:lpwstr>
  </property>
  <property fmtid="{D5CDD505-2E9C-101B-9397-08002B2CF9AE}" pid="7" name="MSIP_Label_6b5809a7-3794-4347-8703-acc6c58e2a7b_Application">
    <vt:lpwstr>Microsoft Azure Information Protection</vt:lpwstr>
  </property>
  <property fmtid="{D5CDD505-2E9C-101B-9397-08002B2CF9AE}" pid="8" name="MSIP_Label_6b5809a7-3794-4347-8703-acc6c58e2a7b_ActionId">
    <vt:lpwstr>72a4d0b5-c8b8-46ef-b985-2e155b7d8b8e</vt:lpwstr>
  </property>
  <property fmtid="{D5CDD505-2E9C-101B-9397-08002B2CF9AE}" pid="9" name="MSIP_Label_6b5809a7-3794-4347-8703-acc6c58e2a7b_Extended_MSFT_Method">
    <vt:lpwstr>Manual</vt:lpwstr>
  </property>
  <property fmtid="{D5CDD505-2E9C-101B-9397-08002B2CF9AE}" pid="10" name="Sensitivity">
    <vt:lpwstr>Fortrolig</vt:lpwstr>
  </property>
</Properties>
</file>