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Risikostyring\Pilar 3\2021\"/>
    </mc:Choice>
  </mc:AlternateContent>
  <xr:revisionPtr revIDLastSave="0" documentId="13_ncr:1_{378AD178-F8D5-4D61-8AE2-324FDE36FEAB}" xr6:coauthVersionLast="46" xr6:coauthVersionMax="46" xr10:uidLastSave="{00000000-0000-0000-0000-000000000000}"/>
  <bookViews>
    <workbookView xWindow="-120" yWindow="-120" windowWidth="29040" windowHeight="17640" tabRatio="936" xr2:uid="{00000000-000D-0000-FFFF-FFFF00000000}"/>
  </bookViews>
  <sheets>
    <sheet name="Innholdsfortegnelse" sheetId="27" r:id="rId1"/>
    <sheet name="1" sheetId="32" r:id="rId2"/>
    <sheet name="2" sheetId="36" r:id="rId3"/>
    <sheet name="3" sheetId="31" r:id="rId4"/>
    <sheet name="4" sheetId="4" r:id="rId5"/>
    <sheet name="5" sheetId="14" r:id="rId6"/>
    <sheet name="6" sheetId="6" r:id="rId7"/>
    <sheet name="7" sheetId="28" r:id="rId8"/>
    <sheet name="8" sheetId="20" r:id="rId9"/>
    <sheet name="9" sheetId="21" r:id="rId10"/>
    <sheet name="10" sheetId="19" r:id="rId11"/>
    <sheet name="11" sheetId="18" r:id="rId12"/>
    <sheet name="12" sheetId="17" r:id="rId13"/>
    <sheet name="13" sheetId="9" r:id="rId14"/>
    <sheet name="14" sheetId="16" r:id="rId15"/>
    <sheet name="15" sheetId="15" r:id="rId16"/>
    <sheet name="16" sheetId="13" r:id="rId17"/>
    <sheet name="17" sheetId="29" r:id="rId18"/>
    <sheet name="18" sheetId="42" r:id="rId19"/>
    <sheet name="19" sheetId="30" r:id="rId20"/>
    <sheet name="20" sheetId="43" r:id="rId21"/>
    <sheet name="21" sheetId="8" r:id="rId22"/>
    <sheet name="22" sheetId="10" r:id="rId23"/>
    <sheet name="23" sheetId="5" r:id="rId24"/>
    <sheet name="24" sheetId="26" r:id="rId25"/>
    <sheet name="25" sheetId="25" r:id="rId26"/>
    <sheet name="26" sheetId="23" r:id="rId27"/>
    <sheet name="27" sheetId="11" r:id="rId28"/>
    <sheet name="28" sheetId="37" r:id="rId29"/>
    <sheet name="29" sheetId="38" r:id="rId30"/>
    <sheet name="30" sheetId="39" r:id="rId31"/>
    <sheet name="31" sheetId="41" r:id="rId32"/>
    <sheet name="32" sheetId="45" r:id="rId33"/>
    <sheet name="33" sheetId="47" r:id="rId34"/>
  </sheets>
  <definedNames>
    <definedName name="_Toc288045747" localSheetId="1">'1'!#REF!</definedName>
    <definedName name="_Toc288045747" localSheetId="2">'2'!#REF!</definedName>
    <definedName name="_Toc288045747" localSheetId="3">'3'!#REF!</definedName>
    <definedName name="_Toc288045748" localSheetId="4">'4'!#REF!</definedName>
    <definedName name="_xlnm.Print_Area" localSheetId="1">'1'!$A$1:$F$55</definedName>
    <definedName name="_xlnm.Print_Area" localSheetId="10">'10'!$A$1:$G$39</definedName>
    <definedName name="_xlnm.Print_Area" localSheetId="11">'11'!$A$1:$F$21</definedName>
    <definedName name="_xlnm.Print_Area" localSheetId="12">'12'!$A$1:$E$40</definedName>
    <definedName name="_xlnm.Print_Area" localSheetId="13">'13'!$A$1:$D$5</definedName>
    <definedName name="_xlnm.Print_Area" localSheetId="14">'14'!$A$1:$D$23</definedName>
    <definedName name="_xlnm.Print_Area" localSheetId="15">'15'!$A$1:$E$33</definedName>
    <definedName name="_xlnm.Print_Area" localSheetId="16">'16'!$A$1:$G$158</definedName>
    <definedName name="_xlnm.Print_Area" localSheetId="17">'17'!$A$1:$D$2</definedName>
    <definedName name="_xlnm.Print_Area" localSheetId="18">'18'!$A$1:$D$3</definedName>
    <definedName name="_xlnm.Print_Area" localSheetId="19">'19'!$A$1:$E$3</definedName>
    <definedName name="_xlnm.Print_Area" localSheetId="2">'2'!$A$1:$G$24</definedName>
    <definedName name="_xlnm.Print_Area" localSheetId="21">'21'!$A$1:$I$21</definedName>
    <definedName name="_xlnm.Print_Area" localSheetId="22">'22'!$A$1:$I$15</definedName>
    <definedName name="_xlnm.Print_Area" localSheetId="23">'23'!$A$1:$E$23</definedName>
    <definedName name="_xlnm.Print_Area" localSheetId="24">'24'!$A$1:$F$18</definedName>
    <definedName name="_xlnm.Print_Area" localSheetId="25">'25'!$A$1:$E$10</definedName>
    <definedName name="_xlnm.Print_Area" localSheetId="26">'26'!$A$1:$E$10</definedName>
    <definedName name="_xlnm.Print_Area" localSheetId="27">'27'!$A$1:$E$43</definedName>
    <definedName name="_xlnm.Print_Area" localSheetId="28">'28'!$A$1:$K$46</definedName>
    <definedName name="_xlnm.Print_Area" localSheetId="3">'3'!$A$1:$H$16</definedName>
    <definedName name="_xlnm.Print_Area" localSheetId="4">'4'!$A$1:$E$59</definedName>
    <definedName name="_xlnm.Print_Area" localSheetId="5">'5'!$A$1:$F$27</definedName>
    <definedName name="_xlnm.Print_Area" localSheetId="7">'7'!$A$1:$I$21</definedName>
    <definedName name="_xlnm.Print_Area" localSheetId="8">'8'!$A$1:$G$21</definedName>
    <definedName name="_xlnm.Print_Area" localSheetId="9">'9'!$A$1:$C$30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9" l="1"/>
  <c r="F39" i="39"/>
  <c r="F32" i="39"/>
  <c r="F17" i="39"/>
  <c r="B36" i="41" l="1"/>
  <c r="B33" i="41"/>
  <c r="B32" i="41"/>
  <c r="B31" i="41"/>
  <c r="C121" i="38" l="1"/>
  <c r="C120" i="38"/>
  <c r="C119" i="38"/>
  <c r="C20" i="38"/>
  <c r="C53" i="38"/>
  <c r="C110" i="38"/>
  <c r="C81" i="38"/>
  <c r="C33" i="38"/>
  <c r="C16" i="38" l="1"/>
  <c r="C8" i="6" l="1"/>
  <c r="E13" i="14"/>
  <c r="D13" i="14"/>
  <c r="C13" i="14"/>
  <c r="E9" i="14"/>
  <c r="D9" i="14"/>
  <c r="C9" i="14"/>
  <c r="E23" i="14"/>
  <c r="C23" i="14"/>
  <c r="E20" i="14"/>
  <c r="C20" i="14"/>
  <c r="E19" i="14"/>
  <c r="C19" i="14"/>
  <c r="C17" i="14"/>
  <c r="E17" i="14"/>
  <c r="B43" i="4"/>
  <c r="F20" i="18" l="1"/>
  <c r="F19" i="18"/>
  <c r="F17" i="18"/>
  <c r="E17" i="18"/>
  <c r="D17" i="18"/>
  <c r="C17" i="18"/>
  <c r="B17" i="18"/>
  <c r="F16" i="18"/>
  <c r="F15" i="18"/>
  <c r="F14" i="18"/>
  <c r="F11" i="18"/>
  <c r="F10" i="18"/>
  <c r="E8" i="18"/>
  <c r="D8" i="18"/>
  <c r="B8" i="18"/>
  <c r="F6" i="18"/>
  <c r="C5" i="18"/>
  <c r="C8" i="18" s="1"/>
  <c r="F5" i="18" l="1"/>
  <c r="F8" i="18" s="1"/>
  <c r="G9" i="6" l="1"/>
  <c r="H7" i="39"/>
  <c r="D32" i="39"/>
  <c r="E39" i="39" l="1"/>
  <c r="C127" i="38" l="1"/>
  <c r="K8" i="45"/>
  <c r="C16" i="32" l="1"/>
  <c r="B18" i="4" l="1"/>
  <c r="H21" i="39" l="1"/>
  <c r="H22" i="39"/>
  <c r="H23" i="39"/>
  <c r="H24" i="39"/>
  <c r="H25" i="39"/>
  <c r="H26" i="39"/>
  <c r="H27" i="39"/>
  <c r="H28" i="39"/>
  <c r="H29" i="39"/>
  <c r="H30" i="39"/>
  <c r="H20" i="39"/>
  <c r="H32" i="39" l="1"/>
  <c r="D37" i="17"/>
  <c r="D39" i="17" s="1"/>
  <c r="C37" i="17"/>
  <c r="C39" i="17" s="1"/>
  <c r="B37" i="17"/>
  <c r="B39" i="17" s="1"/>
  <c r="C17" i="39" l="1"/>
  <c r="G39" i="39" l="1"/>
  <c r="H38" i="39"/>
  <c r="H35" i="39"/>
  <c r="E6" i="26" l="1"/>
  <c r="E5" i="26"/>
  <c r="B13" i="26" l="1"/>
  <c r="C13" i="26"/>
  <c r="D13" i="26"/>
  <c r="E13" i="26"/>
  <c r="F13" i="26"/>
  <c r="D14" i="5"/>
  <c r="D18" i="5"/>
  <c r="D19" i="5"/>
  <c r="C4" i="10"/>
  <c r="C11" i="10" s="1"/>
  <c r="E4" i="10"/>
  <c r="F4" i="10" s="1"/>
  <c r="H4" i="10"/>
  <c r="D5" i="10"/>
  <c r="D6" i="10"/>
  <c r="D7" i="10"/>
  <c r="D8" i="10"/>
  <c r="D9" i="10"/>
  <c r="D10" i="10"/>
  <c r="D13" i="8"/>
  <c r="D11" i="8"/>
  <c r="D12" i="8"/>
  <c r="D9" i="8"/>
  <c r="D7" i="8"/>
  <c r="C13" i="8"/>
  <c r="C8" i="8"/>
  <c r="D8" i="8" s="1"/>
  <c r="G11" i="8"/>
  <c r="G12" i="8"/>
  <c r="F13" i="8"/>
  <c r="G13" i="8"/>
  <c r="G7" i="8"/>
  <c r="F8" i="8"/>
  <c r="G8" i="8" s="1"/>
  <c r="G9" i="8"/>
  <c r="D16" i="19"/>
  <c r="B22" i="16"/>
  <c r="C22" i="16"/>
  <c r="D22" i="16"/>
  <c r="E14" i="20"/>
  <c r="E19" i="20" s="1"/>
  <c r="E15" i="20"/>
  <c r="E16" i="20"/>
  <c r="E17" i="20"/>
  <c r="E18" i="20"/>
  <c r="B19" i="20"/>
  <c r="C19" i="20"/>
  <c r="D19" i="20"/>
  <c r="C15" i="15"/>
  <c r="D15" i="15"/>
  <c r="E15" i="15"/>
  <c r="B15" i="15"/>
  <c r="C10" i="15"/>
  <c r="D10" i="15"/>
  <c r="B10" i="15"/>
  <c r="E14" i="15"/>
  <c r="E13" i="15"/>
  <c r="E9" i="15"/>
  <c r="E8" i="15"/>
  <c r="E7" i="15"/>
  <c r="E10" i="15" s="1"/>
  <c r="B25" i="9"/>
  <c r="C63" i="38"/>
  <c r="C54" i="38"/>
  <c r="C82" i="38" s="1"/>
  <c r="C111" i="38" s="1"/>
  <c r="B38" i="41"/>
  <c r="C24" i="14"/>
  <c r="D4" i="10" l="1"/>
  <c r="H8" i="39"/>
  <c r="B39" i="41" l="1"/>
  <c r="E14" i="14" l="1"/>
  <c r="B32" i="39" l="1"/>
  <c r="B8" i="32" l="1"/>
  <c r="B46" i="4" l="1"/>
  <c r="B48" i="4" l="1"/>
  <c r="B51" i="4"/>
  <c r="C12" i="16" l="1"/>
  <c r="D12" i="16"/>
  <c r="B12" i="16"/>
  <c r="E17" i="19"/>
  <c r="I41" i="9" l="1"/>
  <c r="H41" i="9"/>
  <c r="G41" i="9"/>
  <c r="D41" i="9"/>
  <c r="C41" i="9"/>
  <c r="B41" i="9"/>
  <c r="A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A29" i="9"/>
  <c r="J28" i="9"/>
  <c r="E28" i="9"/>
  <c r="A28" i="9"/>
  <c r="I22" i="9"/>
  <c r="H22" i="9"/>
  <c r="G22" i="9"/>
  <c r="D22" i="9"/>
  <c r="C22" i="9"/>
  <c r="B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9" i="9"/>
  <c r="E9" i="9"/>
  <c r="D18" i="19"/>
  <c r="C16" i="19"/>
  <c r="C18" i="19" s="1"/>
  <c r="E35" i="19"/>
  <c r="D36" i="19"/>
  <c r="C36" i="19"/>
  <c r="E33" i="19"/>
  <c r="E32" i="19"/>
  <c r="E31" i="19"/>
  <c r="E30" i="19"/>
  <c r="E29" i="19"/>
  <c r="E28" i="19"/>
  <c r="E27" i="19"/>
  <c r="E26" i="19"/>
  <c r="E25" i="19"/>
  <c r="E24" i="19"/>
  <c r="E23" i="19"/>
  <c r="C20" i="21"/>
  <c r="C23" i="21" s="1"/>
  <c r="C27" i="21" s="1"/>
  <c r="B20" i="21"/>
  <c r="B23" i="21" s="1"/>
  <c r="B27" i="21" s="1"/>
  <c r="C13" i="21"/>
  <c r="C12" i="21"/>
  <c r="C9" i="21"/>
  <c r="C8" i="21"/>
  <c r="B7" i="21"/>
  <c r="B10" i="21" s="1"/>
  <c r="B14" i="21" s="1"/>
  <c r="C6" i="21"/>
  <c r="C5" i="21"/>
  <c r="J41" i="9" l="1"/>
  <c r="E22" i="9"/>
  <c r="C7" i="21"/>
  <c r="C10" i="21" s="1"/>
  <c r="C14" i="21" s="1"/>
  <c r="E41" i="9"/>
  <c r="J22" i="9"/>
  <c r="E34" i="19"/>
  <c r="E36" i="19" s="1"/>
  <c r="E9" i="20" l="1"/>
  <c r="E5" i="20"/>
  <c r="C10" i="20"/>
  <c r="D10" i="20"/>
  <c r="B10" i="20" l="1"/>
  <c r="H36" i="39" l="1"/>
  <c r="H6" i="39"/>
  <c r="H13" i="39"/>
  <c r="H12" i="39"/>
  <c r="H11" i="39"/>
  <c r="H9" i="39"/>
  <c r="B17" i="39"/>
  <c r="E17" i="39" l="1"/>
  <c r="H10" i="39"/>
  <c r="H16" i="39"/>
  <c r="H14" i="39"/>
  <c r="H37" i="39"/>
  <c r="H15" i="39"/>
  <c r="D17" i="39"/>
  <c r="B10" i="11"/>
  <c r="B23" i="11"/>
  <c r="C33" i="11"/>
  <c r="C23" i="11"/>
  <c r="C10" i="11"/>
  <c r="C14" i="5" l="1"/>
  <c r="C9" i="6" l="1"/>
  <c r="J9" i="45" l="1"/>
  <c r="I9" i="45"/>
  <c r="H9" i="45"/>
  <c r="G9" i="45"/>
  <c r="F9" i="45"/>
  <c r="E9" i="45"/>
  <c r="D9" i="45"/>
  <c r="C9" i="45"/>
  <c r="B9" i="45"/>
  <c r="K9" i="45"/>
  <c r="D39" i="39"/>
  <c r="C39" i="39"/>
  <c r="B39" i="39"/>
  <c r="G32" i="39"/>
  <c r="C32" i="39"/>
  <c r="E32" i="39"/>
  <c r="E41" i="39" s="1"/>
  <c r="C109" i="38"/>
  <c r="C91" i="38"/>
  <c r="F9" i="6"/>
  <c r="E9" i="6"/>
  <c r="D9" i="6"/>
  <c r="E24" i="14"/>
  <c r="E26" i="14" s="1"/>
  <c r="D14" i="14"/>
  <c r="C14" i="14"/>
  <c r="B52" i="4"/>
  <c r="B37" i="4"/>
  <c r="B29" i="4"/>
  <c r="B56" i="4" l="1"/>
  <c r="D41" i="39"/>
  <c r="C41" i="39"/>
  <c r="B41" i="39"/>
  <c r="H17" i="39"/>
  <c r="G17" i="39"/>
  <c r="B32" i="4"/>
  <c r="B57" i="4" s="1"/>
  <c r="B50" i="4"/>
  <c r="B39" i="4" l="1"/>
  <c r="B58" i="4" s="1"/>
  <c r="B53" i="4"/>
  <c r="B54" i="4" s="1"/>
  <c r="D8" i="47" l="1"/>
  <c r="C8" i="47"/>
  <c r="B8" i="47"/>
  <c r="C16" i="17" l="1"/>
  <c r="D16" i="17"/>
  <c r="B16" i="17"/>
  <c r="D18" i="17" l="1"/>
  <c r="C18" i="17"/>
  <c r="B18" i="17"/>
  <c r="D32" i="15" l="1"/>
  <c r="C32" i="15"/>
  <c r="B32" i="15"/>
  <c r="E31" i="15"/>
  <c r="E30" i="15"/>
  <c r="D27" i="15"/>
  <c r="C27" i="15"/>
  <c r="B27" i="15"/>
  <c r="E26" i="15"/>
  <c r="E25" i="15"/>
  <c r="E24" i="15"/>
  <c r="E27" i="15" l="1"/>
  <c r="E32" i="15"/>
  <c r="C18" i="5" l="1"/>
  <c r="C19" i="5" s="1"/>
  <c r="E15" i="19" l="1"/>
  <c r="D7" i="26" l="1"/>
  <c r="E6" i="20" l="1"/>
  <c r="E7" i="20"/>
  <c r="E8" i="20"/>
  <c r="E10" i="20" l="1"/>
  <c r="E6" i="19"/>
  <c r="E7" i="19"/>
  <c r="E8" i="19"/>
  <c r="E9" i="19"/>
  <c r="E10" i="19"/>
  <c r="E11" i="19"/>
  <c r="E12" i="19"/>
  <c r="E13" i="19"/>
  <c r="E14" i="19"/>
  <c r="E5" i="19"/>
  <c r="E16" i="19" l="1"/>
  <c r="E18" i="19" s="1"/>
  <c r="G11" i="28" l="1"/>
  <c r="E7" i="23" l="1"/>
  <c r="C7" i="25" l="1"/>
  <c r="I11" i="10" l="1"/>
  <c r="F14" i="8" l="1"/>
  <c r="H10" i="10" l="1"/>
  <c r="H9" i="10"/>
  <c r="H8" i="10"/>
  <c r="H7" i="10"/>
  <c r="H6" i="10"/>
  <c r="H5" i="10"/>
  <c r="C10" i="31" l="1"/>
  <c r="F11" i="28" l="1"/>
  <c r="F10" i="10" l="1"/>
  <c r="F9" i="10"/>
  <c r="C14" i="8" l="1"/>
  <c r="F6" i="10" l="1"/>
  <c r="D7" i="23" l="1"/>
  <c r="E11" i="10" l="1"/>
  <c r="D11" i="10" s="1"/>
  <c r="G11" i="10"/>
  <c r="H11" i="10" s="1"/>
  <c r="F11" i="10" l="1"/>
  <c r="B33" i="11" l="1"/>
  <c r="F8" i="10" l="1"/>
  <c r="F7" i="10"/>
  <c r="F5" i="10"/>
  <c r="C7" i="23" l="1"/>
  <c r="F7" i="26" l="1"/>
  <c r="C7" i="26"/>
  <c r="B7" i="26"/>
  <c r="E7" i="26"/>
  <c r="B7" i="25" l="1"/>
  <c r="G41" i="39"/>
  <c r="H39" i="39" l="1"/>
  <c r="H41" i="39" s="1"/>
</calcChain>
</file>

<file path=xl/sharedStrings.xml><?xml version="1.0" encoding="utf-8"?>
<sst xmlns="http://schemas.openxmlformats.org/spreadsheetml/2006/main" count="2098" uniqueCount="896">
  <si>
    <t>Antall aksjer</t>
  </si>
  <si>
    <t>Bokført verdi</t>
  </si>
  <si>
    <t>Stemmerett</t>
  </si>
  <si>
    <t>Selskaper som er fullt konsolidert</t>
  </si>
  <si>
    <t>Oppkjøpsmetoden</t>
  </si>
  <si>
    <t>Sum</t>
  </si>
  <si>
    <t>Konsolideringsmetode er lik for regnskapsformål og kapitaldekningsformål.</t>
  </si>
  <si>
    <t>Øvrige finansinstitusjoner</t>
  </si>
  <si>
    <t>Overkursfond</t>
  </si>
  <si>
    <t>Avsatt utbytte</t>
  </si>
  <si>
    <t>Annen egenkapital</t>
  </si>
  <si>
    <t>Sum balanseført egenkapital</t>
  </si>
  <si>
    <t>Utsatt skatt, goodwill og andre immaterielle eiendeler</t>
  </si>
  <si>
    <t>Sum kjernekapital</t>
  </si>
  <si>
    <t>Tilleggskapital utover kjernekapital</t>
  </si>
  <si>
    <t>Netto ansvarlig kapital</t>
  </si>
  <si>
    <t>Sum tidsbegrenset</t>
  </si>
  <si>
    <t>Foretak</t>
  </si>
  <si>
    <t>Massemarked</t>
  </si>
  <si>
    <t>Brutto engasjement kunder</t>
  </si>
  <si>
    <t>Netto engasjement kunder</t>
  </si>
  <si>
    <t>Stater (Norges Bank)</t>
  </si>
  <si>
    <t>Institusjoner</t>
  </si>
  <si>
    <t>Sum engasjementsbeløp</t>
  </si>
  <si>
    <t>Rogaland</t>
  </si>
  <si>
    <t>Øvrige</t>
  </si>
  <si>
    <t>Ubenyttet kreditt</t>
  </si>
  <si>
    <t>Garantier</t>
  </si>
  <si>
    <t>Sum brutto engasjement kunder</t>
  </si>
  <si>
    <t>Industri</t>
  </si>
  <si>
    <t>Varehandel, hotell og restaurantvirksomhet</t>
  </si>
  <si>
    <t>Tjenesteytende virksomhet</t>
  </si>
  <si>
    <t>Offentlig forvaltning og finansielle tjenester</t>
  </si>
  <si>
    <t>Sum foretak</t>
  </si>
  <si>
    <t>På forespørsel</t>
  </si>
  <si>
    <t>&lt;1 år</t>
  </si>
  <si>
    <t>1-5 år</t>
  </si>
  <si>
    <t>over 5 år</t>
  </si>
  <si>
    <t>Engasjement</t>
  </si>
  <si>
    <t>EAD</t>
  </si>
  <si>
    <t>Konsolidert</t>
  </si>
  <si>
    <t>Massemarked SMB</t>
  </si>
  <si>
    <t>Unotert</t>
  </si>
  <si>
    <t>Omsatt på børs</t>
  </si>
  <si>
    <t>Øvrige eiendeler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</si>
  <si>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</si>
  <si>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</si>
  <si>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</si>
  <si>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</si>
  <si>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</si>
  <si>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</si>
  <si>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</si>
  <si>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</si>
  <si>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</si>
  <si>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</si>
  <si>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</si>
  <si>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Massemarkedsengasjementer</t>
  </si>
  <si>
    <t xml:space="preserve">  -herav massemarked SMB</t>
  </si>
  <si>
    <t>Banktjenester for massemarkedskunder</t>
  </si>
  <si>
    <t>Banktjenester for bedriftskunder</t>
  </si>
  <si>
    <t>Betaling og oppgjørstjenester</t>
  </si>
  <si>
    <t>Totalt</t>
  </si>
  <si>
    <t>Investeringer</t>
  </si>
  <si>
    <t>Finansielle investeringer til virkelig verdi over resultat</t>
  </si>
  <si>
    <t>Øvrige finansielle investeringer</t>
  </si>
  <si>
    <t>Strategiske investeringer til virkelig verdi over resultat</t>
  </si>
  <si>
    <t>Øvrige strategiske investeringer</t>
  </si>
  <si>
    <t>Beløp medregnet i kjernekapital eller tilleggskapital</t>
  </si>
  <si>
    <t>Nominell verdi</t>
  </si>
  <si>
    <t xml:space="preserve">Sum </t>
  </si>
  <si>
    <t>Engasjementer med pant i fast eiendom</t>
  </si>
  <si>
    <t>Øvrige massemarkedsengasjementer</t>
  </si>
  <si>
    <t>kategoriseres ikke som engasjement med fast eiendom, men som øvrig massemarked.</t>
  </si>
  <si>
    <t>2)</t>
  </si>
  <si>
    <t>Kapitaldekning</t>
  </si>
  <si>
    <t>Hovedstol</t>
  </si>
  <si>
    <t>Forfall</t>
  </si>
  <si>
    <t>Sum finansielle investeringer til virkelig verdi over resultatet</t>
  </si>
  <si>
    <t>Betingelser</t>
  </si>
  <si>
    <t>Øvrige foretak</t>
  </si>
  <si>
    <t>Spesialiserte foretak</t>
  </si>
  <si>
    <t>Fradrag for avsatt utbytte</t>
  </si>
  <si>
    <t>EiendomsMegler 1 SR-Eiendom AS</t>
  </si>
  <si>
    <t>NOK</t>
  </si>
  <si>
    <t>EUR</t>
  </si>
  <si>
    <t>USD</t>
  </si>
  <si>
    <t xml:space="preserve">  -  </t>
  </si>
  <si>
    <t>SpareBank 1 Næringskreditt AS</t>
  </si>
  <si>
    <t>Sandnes Sparebank</t>
  </si>
  <si>
    <t>Kjernekapital</t>
  </si>
  <si>
    <t>Fondsobligasjon</t>
  </si>
  <si>
    <t>Tidsbegrenset ansvarlig kapital</t>
  </si>
  <si>
    <t>Sum tilleggskapital</t>
  </si>
  <si>
    <t>tidspunkt</t>
  </si>
  <si>
    <t>Tidsbegrenset</t>
  </si>
  <si>
    <t>Sum strategiske investeringer til virkelig verdi over resultat</t>
  </si>
  <si>
    <t>Øvrig massemarked</t>
  </si>
  <si>
    <t>Beløp i mill kroner</t>
  </si>
  <si>
    <t>Beløp i tusen kroner</t>
  </si>
  <si>
    <t>Første forfalls-</t>
  </si>
  <si>
    <t>Bokført 
verdi</t>
  </si>
  <si>
    <t>Virkelig
 verdi</t>
  </si>
  <si>
    <t>SR-Forvaltning AS</t>
  </si>
  <si>
    <t>Datterselskap som rapporterer etter standardmetode</t>
  </si>
  <si>
    <t>Kapitaldekning %</t>
  </si>
  <si>
    <t>Investeringer i tilknyttede selskaper</t>
  </si>
  <si>
    <t>Investeringer i felleskontrollert virksomhet</t>
  </si>
  <si>
    <t>Sum finansielle derivater</t>
  </si>
  <si>
    <t>Konsoliderings metode</t>
  </si>
  <si>
    <t>Ubenyttet kreditt og garantier</t>
  </si>
  <si>
    <t>(beløp i mill kroner)</t>
  </si>
  <si>
    <t>Datterselskap</t>
  </si>
  <si>
    <t>(beløp i tusen kroner)</t>
  </si>
  <si>
    <t xml:space="preserve">                  Engasjementsbeløp</t>
  </si>
  <si>
    <t>Engasjementskategori</t>
  </si>
  <si>
    <t>Aksjekapital</t>
  </si>
  <si>
    <t>Rygir Industrier AS konsern</t>
  </si>
  <si>
    <t xml:space="preserve">  -herav engasjementer med pant i fast eiendom</t>
  </si>
  <si>
    <t xml:space="preserve">  -herav øvrige massemarkedsengasjementer</t>
  </si>
  <si>
    <t xml:space="preserve">Øvrige foretak </t>
  </si>
  <si>
    <t>Ren kjernekapitaldekning</t>
  </si>
  <si>
    <t>Sum øvrig massemarked</t>
  </si>
  <si>
    <t xml:space="preserve">Brutto utlån </t>
  </si>
  <si>
    <t xml:space="preserve">
Engasjementsbeløp</t>
  </si>
  <si>
    <t xml:space="preserve">Gjennomsnittlig 
engasjementsbeløp </t>
  </si>
  <si>
    <t>Pilar 3 - Vedlegg</t>
  </si>
  <si>
    <t>Arkfane</t>
  </si>
  <si>
    <t>Innhold</t>
  </si>
  <si>
    <t xml:space="preserve">Side i Pilar 3 </t>
  </si>
  <si>
    <t>Oppdateres</t>
  </si>
  <si>
    <t>Årlig</t>
  </si>
  <si>
    <t>Kvartalsvis</t>
  </si>
  <si>
    <t xml:space="preserve"> Konsolideringsgrunnlag</t>
  </si>
  <si>
    <t xml:space="preserve"> Ansvarlig kapital i andre finansinstitusjoner</t>
  </si>
  <si>
    <t xml:space="preserve">Operasjonell risiko </t>
  </si>
  <si>
    <r>
      <rPr>
        <b/>
        <sz val="9"/>
        <rFont val="Calibri"/>
        <family val="2"/>
        <scheme val="minor"/>
      </rPr>
      <t>Konsern</t>
    </r>
    <r>
      <rPr>
        <sz val="9"/>
        <rFont val="Calibri"/>
        <family val="2"/>
        <scheme val="minor"/>
      </rPr>
      <t xml:space="preserve"> (beløp i mill kroner)</t>
    </r>
  </si>
  <si>
    <r>
      <t>Fondsobligasjon</t>
    </r>
    <r>
      <rPr>
        <vertAlign val="superscript"/>
        <sz val="9"/>
        <rFont val="Calibri"/>
        <family val="2"/>
        <scheme val="minor"/>
      </rPr>
      <t xml:space="preserve"> 1)</t>
    </r>
  </si>
  <si>
    <t xml:space="preserve"> Engasjementsbeløp for hver engasjementstype fordelt på  bransjer før fradrag for nedskrivninger</t>
  </si>
  <si>
    <t xml:space="preserve"> Engasjementsbeløp for hver engasjementstype fordelt etter gjenstående løpetid</t>
  </si>
  <si>
    <t xml:space="preserve"> De faktiske verdiendringene for den enkelte engasjementskategori og utvikling fra tidligere perioder (IRB)</t>
  </si>
  <si>
    <t>Oversikt over bokført verdi og virkelig verdi, gevinster og tap</t>
  </si>
  <si>
    <t>Oversikt over type og verdi av børsnoterte aksjer, unoterte aksjer i diversifiserte porteføljer og andre engasjementer</t>
  </si>
  <si>
    <t xml:space="preserve"> Avstemming av endringer i henholdsvis verdiendringer og nedskrivinger for engasjementer med verdifall</t>
  </si>
  <si>
    <r>
      <t xml:space="preserve">Herav sikret med pant i fast eiendom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</si>
  <si>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Herav sikret med pant i fast eiendom </t>
    </r>
    <r>
      <rPr>
        <vertAlign val="superscript"/>
        <sz val="9"/>
        <rFont val="Calibri"/>
        <family val="2"/>
        <scheme val="minor"/>
      </rPr>
      <t>1)</t>
    </r>
  </si>
  <si>
    <t>Konsolidering - datterselskap</t>
  </si>
  <si>
    <t>Ansvarlig kapital i andre finansinstitusjoner</t>
  </si>
  <si>
    <t>Ansvarlig kapital</t>
  </si>
  <si>
    <t>Investering i tilknyttede selskaper og felleskontrollert virksomhet</t>
  </si>
  <si>
    <t>Engasjementsbeløp for hver engasjementstype fordelt på geografiske områder før fradrag for nedskrivninger.</t>
  </si>
  <si>
    <t>Engasjementsbeløp for hver engasjementstype fordelt på  bransjer før fradrag for nedskrivninger</t>
  </si>
  <si>
    <t>Engasjementsbeløp for hver engasjementstype fordelt etter gjenstående løpetid</t>
  </si>
  <si>
    <t>Avstemming av endringer i henholdsvis verdiendringer og nedskrivinger for engasjementer med verdifall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</si>
  <si>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</si>
  <si>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</si>
  <si>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Investeringer (egenkapitalposisjoner utenfor handelsportefølje) fordelt etter formål</t>
  </si>
  <si>
    <t>Oversikt over motpartsrisiko for derivater mv. utenfor handelsporteføljen</t>
  </si>
  <si>
    <t>Sensitivitet på netto rentekost før skatt (renteendring på ett prosentpoeng)</t>
  </si>
  <si>
    <r>
      <rPr>
        <vertAlign val="superscript"/>
        <sz val="9"/>
        <rFont val="Calibri"/>
        <family val="2"/>
        <scheme val="minor"/>
      </rPr>
      <t xml:space="preserve">1) </t>
    </r>
    <r>
      <rPr>
        <sz val="9"/>
        <rFont val="Calibri"/>
        <family val="2"/>
        <scheme val="minor"/>
      </rPr>
      <t>Betingelser fremgår av tabellen "Ansvarlig lånekapital og Fondsobligasjon"</t>
    </r>
  </si>
  <si>
    <t>Finansparken Bjergsted AS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</si>
  <si>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</si>
  <si>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</si>
  <si>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</si>
  <si>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</si>
  <si>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</si>
  <si>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</si>
  <si>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</si>
  <si>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</si>
  <si>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</si>
  <si>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 9 mnd</t>
  </si>
  <si>
    <t>9 - 12 mnd</t>
  </si>
  <si>
    <t>12 - 18 mnd</t>
  </si>
  <si>
    <t>18 - 24 mnd</t>
  </si>
  <si>
    <t>2 - 10 år</t>
  </si>
  <si>
    <t>10 år +</t>
  </si>
  <si>
    <t xml:space="preserve">CHF </t>
  </si>
  <si>
    <t>Renterisiko oppstår ved at konsernet kan ha ulik rentebindingstid på sine eiendeler og forpliktelser. Handelsaktivitetene knyttet til</t>
  </si>
  <si>
    <t>omsetning av renteinstrumenter skal til enhver tid skje innenfor vedtatte rammer og fullmakter. Konsernets rammer definerer kvantitative</t>
  </si>
  <si>
    <t>BN Bank</t>
  </si>
  <si>
    <t>Andel operasjonell risiko konsoliderte selskap</t>
  </si>
  <si>
    <t>SpareBank 1 Gruppen</t>
  </si>
  <si>
    <t>Fradrag i forventet tap IRB fratrukket tapsavsetninger</t>
  </si>
  <si>
    <t>Fradrag ren kjernekapital for vesentlige investeringer i finansinstitusjoner</t>
  </si>
  <si>
    <t>Fradrag for vesentlige investeringer i finansinstitusjoner</t>
  </si>
  <si>
    <t>og fradragene tas i samme kapitalklasse som det instrumentet man eier tilhører. Investeringer i rene</t>
  </si>
  <si>
    <t>Investeringer som overstiger 10 % av egen ren kjernekapital etter fradrag kommer til fradrag i ansvarlig kapital</t>
  </si>
  <si>
    <t>Det skilles mellom vesentlige eierandeler &gt; 10 % og ikke vesentlige eierandeler i finansinstitusjoner.</t>
  </si>
  <si>
    <t>Risikovektet balanse</t>
  </si>
  <si>
    <t>Investeringene blir behandlet likt for kapitaldekningsformål.</t>
  </si>
  <si>
    <t>Sum ren kjernekapital</t>
  </si>
  <si>
    <t>Risikovektet balanse for kredittrisiko fordelt på engasjementskategorier og underkategorier</t>
  </si>
  <si>
    <t xml:space="preserve">Risikovektet balanse for operasjonell risiko </t>
  </si>
  <si>
    <t>Risikovektet balanse kredittrisiko IRB</t>
  </si>
  <si>
    <t>Risikovektet balanse standardmetoden</t>
  </si>
  <si>
    <t>Samlet risikovektet balanse knyttet til kredittrisiko</t>
  </si>
  <si>
    <t xml:space="preserve"> Risikovektet balanse for kredittrisiko fordelt på engasjementskategorier og underkategorier </t>
  </si>
  <si>
    <t>SR-PE-Feeder III KS</t>
  </si>
  <si>
    <t>SR-Forvaltning</t>
  </si>
  <si>
    <t>Svekket kredittverdighet motpart (CVA)</t>
  </si>
  <si>
    <t xml:space="preserve">Samlede realiserte gevinster
 eller tap </t>
  </si>
  <si>
    <t xml:space="preserve">Urealiserte gevinster
 eller tap </t>
  </si>
  <si>
    <t xml:space="preserve"> Oversikt over motpartsrisiko for derivater mv. </t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</si>
  <si>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</si>
  <si>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Minimumskrav ren kjernekapital 4,5 %</t>
  </si>
  <si>
    <t>Bufferkrav</t>
  </si>
  <si>
    <t>Bevaringsbuffer 2,5 %</t>
  </si>
  <si>
    <t>Sum bufferkrav til ren kjernekapital</t>
  </si>
  <si>
    <t>Tilgjengelig ren kjernekapital etter bufferkrav</t>
  </si>
  <si>
    <t>Eierandel i %</t>
  </si>
  <si>
    <t xml:space="preserve"> Ansvarlig kapital </t>
  </si>
  <si>
    <t>Ansvarlig kapital, herunder kjernekapital og tilleggskapital samt aktuelle tillegg, fradrag og begrensninger.</t>
  </si>
  <si>
    <r>
      <t xml:space="preserve"> Risikovektet balanse for operasjonell risiko etter sjablongmetoden </t>
    </r>
    <r>
      <rPr>
        <i/>
        <vertAlign val="superscript"/>
        <sz val="9"/>
        <rFont val="Calibri"/>
        <family val="2"/>
        <scheme val="minor"/>
      </rPr>
      <t>1)</t>
    </r>
  </si>
  <si>
    <r>
      <t xml:space="preserve">1) </t>
    </r>
    <r>
      <rPr>
        <sz val="9"/>
        <rFont val="Calibri"/>
        <family val="2"/>
        <scheme val="minor"/>
      </rPr>
      <t>SpareBank 1 SR-Bank konsern benytter sjablongmetoden.  Øvrige selskaper benytter basismetoden.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</si>
  <si>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</si>
  <si>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>Foretak SMB</t>
  </si>
  <si>
    <t>Utsteder</t>
  </si>
  <si>
    <t>Entydig identifikasjonskode (f.eks. CUSIP, ISIN eller Bloombergs identifikasjonskode for rettede emisjoner)</t>
  </si>
  <si>
    <t>Gjeldende lovgivning for instrumentet</t>
  </si>
  <si>
    <t>Norge</t>
  </si>
  <si>
    <t>Behandling etter kapitalregelverket</t>
  </si>
  <si>
    <t>Regler som gjelder i overgansperioden</t>
  </si>
  <si>
    <t xml:space="preserve"> Tier 1</t>
  </si>
  <si>
    <t>Tier 2</t>
  </si>
  <si>
    <t>Regler som gjelder etter overgansperioden</t>
  </si>
  <si>
    <t>Medregning på selskaps- eller (del)konsolidert nivå, selskaps- og (del)konsolidert nivå</t>
  </si>
  <si>
    <t>Selskap og konsern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</si>
  <si>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</si>
  <si>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</si>
  <si>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</si>
  <si>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Emisjonskurs</t>
  </si>
  <si>
    <t>100 prosent</t>
  </si>
  <si>
    <t>Innløsningskurs</t>
  </si>
  <si>
    <t>100 prosent av Nominelt beløp</t>
  </si>
  <si>
    <t>Regnskapsmessig klassifisering</t>
  </si>
  <si>
    <t>Ansvar - amortisert kost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</si>
  <si>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</si>
  <si>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</si>
  <si>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</si>
  <si>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</si>
  <si>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</si>
  <si>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</si>
  <si>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</si>
  <si>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</si>
  <si>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</si>
  <si>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 på termindato</t>
  </si>
  <si>
    <t>Renter/utbytte</t>
  </si>
  <si>
    <t>Fast eller flytende rente/utbytte</t>
  </si>
  <si>
    <t>Fast til flytende</t>
  </si>
  <si>
    <t>Flytende</t>
  </si>
  <si>
    <t>Rentesats og eventuell tilknyttet referanserente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</si>
  <si>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</si>
  <si>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</si>
  <si>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</si>
  <si>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</si>
  <si>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</si>
  <si>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</si>
  <si>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</si>
  <si>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</si>
  <si>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</si>
  <si>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Ikke-kumulativ</t>
  </si>
  <si>
    <t>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</si>
  <si>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</si>
  <si>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</si>
  <si>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</si>
  <si>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</si>
  <si>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</si>
  <si>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</si>
  <si>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</si>
  <si>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</si>
  <si>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</si>
  <si>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</si>
  <si>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</si>
  <si>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</si>
  <si>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Hvis nedskrivning, hel eller delvis</t>
  </si>
  <si>
    <t>Hel eller delvis</t>
  </si>
  <si>
    <t>Hvis nedskrivning, med endelig virkning eller midlertidig</t>
  </si>
  <si>
    <t>Midlertidig</t>
  </si>
  <si>
    <t>Hvis midlertidig nedskrivning, beskrivelse av oppskrivningsmekanismen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</si>
  <si>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</si>
  <si>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</si>
  <si>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</si>
  <si>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</si>
  <si>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Ren kjernekapital: Instrumenter og opptjent kapital</t>
  </si>
  <si>
    <t>Kapitalinstrumenter og tilhørende overkursfond</t>
  </si>
  <si>
    <t>26 (1), 27,     28 og 29</t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</si>
  <si>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</si>
  <si>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</si>
  <si>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</si>
  <si>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</si>
  <si>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</si>
  <si>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</si>
  <si>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</si>
  <si>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</si>
  <si>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</si>
  <si>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</si>
  <si>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</si>
  <si>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</si>
  <si>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</si>
  <si>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</si>
  <si>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</si>
  <si>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</si>
  <si>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</si>
  <si>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</si>
  <si>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</si>
  <si>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</si>
  <si>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</si>
  <si>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</si>
  <si>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</si>
  <si>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</si>
  <si>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</si>
  <si>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</si>
  <si>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</si>
  <si>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</si>
  <si>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</si>
  <si>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</si>
  <si>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</si>
  <si>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</si>
  <si>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</si>
  <si>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</si>
  <si>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</si>
  <si>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</si>
  <si>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</si>
  <si>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</si>
  <si>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</si>
  <si>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</si>
  <si>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</si>
  <si>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</si>
  <si>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</si>
  <si>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</si>
  <si>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</si>
  <si>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</si>
  <si>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</si>
  <si>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</si>
  <si>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</si>
  <si>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</si>
  <si>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</si>
  <si>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</si>
  <si>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</si>
  <si>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</si>
  <si>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</si>
  <si>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</si>
  <si>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</si>
  <si>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</si>
  <si>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</si>
  <si>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</si>
  <si>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</si>
  <si>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</si>
  <si>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</si>
  <si>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</si>
  <si>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</si>
  <si>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</si>
  <si>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</si>
  <si>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</si>
  <si>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</si>
  <si>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</si>
  <si>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</si>
  <si>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</si>
  <si>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</si>
  <si>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</si>
  <si>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</si>
  <si>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</si>
  <si>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</si>
  <si>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</si>
  <si>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</si>
  <si>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</si>
  <si>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</si>
  <si>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</si>
  <si>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</si>
  <si>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</si>
  <si>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</si>
  <si>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</si>
  <si>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</si>
  <si>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</si>
  <si>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</si>
  <si>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</si>
  <si>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</si>
  <si>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</si>
  <si>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</si>
  <si>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</si>
  <si>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</si>
  <si>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</si>
  <si>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</si>
  <si>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</si>
  <si>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</si>
  <si>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</si>
  <si>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</si>
  <si>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</si>
  <si>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</si>
  <si>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</si>
  <si>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</si>
  <si>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</si>
  <si>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</si>
  <si>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</si>
  <si>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</si>
  <si>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</si>
  <si>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</si>
  <si>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</si>
  <si>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</si>
  <si>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</si>
  <si>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</si>
  <si>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</si>
  <si>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</si>
  <si>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</si>
  <si>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</si>
  <si>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</si>
  <si>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Annen godkjent kjernekapital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</si>
  <si>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</si>
  <si>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</si>
  <si>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</si>
  <si>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</si>
  <si>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</si>
  <si>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</si>
  <si>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</si>
  <si>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</si>
  <si>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</si>
  <si>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</si>
  <si>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</si>
  <si>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</si>
  <si>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</si>
  <si>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</si>
  <si>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</si>
  <si>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</si>
  <si>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</si>
  <si>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</si>
  <si>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</si>
  <si>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</si>
  <si>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</si>
  <si>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</si>
  <si>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</si>
  <si>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</si>
  <si>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</si>
  <si>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</si>
  <si>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</si>
  <si>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</si>
  <si>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</si>
  <si>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</si>
  <si>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</si>
  <si>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</si>
  <si>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</si>
  <si>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</si>
  <si>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</si>
  <si>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</si>
  <si>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</si>
  <si>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Tilleggskapital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</si>
  <si>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</si>
  <si>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</si>
  <si>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</si>
  <si>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</si>
  <si>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</si>
  <si>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</si>
  <si>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</si>
  <si>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</si>
  <si>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</si>
  <si>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Beregningsgrunnlag</t>
  </si>
  <si>
    <t>Kapitaldekning og buffere</t>
  </si>
  <si>
    <t>92 (2) (a)</t>
  </si>
  <si>
    <t>Kjernekapitaldekning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</si>
  <si>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</si>
  <si>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</si>
  <si>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</si>
  <si>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</si>
  <si>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</si>
  <si>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</si>
  <si>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</si>
  <si>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</si>
  <si>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</si>
  <si>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</si>
  <si>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</si>
  <si>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</si>
  <si>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</si>
  <si>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</si>
  <si>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</si>
  <si>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</si>
  <si>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</si>
  <si>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</si>
  <si>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</si>
  <si>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</si>
  <si>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</si>
  <si>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</si>
  <si>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</si>
  <si>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</si>
  <si>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</si>
  <si>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</si>
  <si>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</si>
  <si>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</si>
  <si>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</si>
  <si>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</si>
  <si>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</si>
  <si>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</si>
  <si>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</si>
  <si>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>Referanse</t>
  </si>
  <si>
    <t>Eiendeler</t>
  </si>
  <si>
    <t>Kontanter og fordringer på sentralbanker</t>
  </si>
  <si>
    <t>Utlån til og fordringer på kredittinstitusjoner</t>
  </si>
  <si>
    <t>Sertifikater og obligasjoner</t>
  </si>
  <si>
    <t>Finansielle derivater</t>
  </si>
  <si>
    <t>Aksjer, andeler og andre egenkapitalinteresser</t>
  </si>
  <si>
    <t>Investering i eierinteresser</t>
  </si>
  <si>
    <t>Virksomhet som skal selges</t>
  </si>
  <si>
    <t>Immaterielle eiendeler</t>
  </si>
  <si>
    <t>Andre eiendeler</t>
  </si>
  <si>
    <t>Sum eiendeler</t>
  </si>
  <si>
    <t xml:space="preserve">Forpliktelser </t>
  </si>
  <si>
    <t>Gjeld til kredittinstitusjoner</t>
  </si>
  <si>
    <t>Innskudd fra kunder</t>
  </si>
  <si>
    <t>Utsatt skatt</t>
  </si>
  <si>
    <t>Annen gjeld og balanseført forpliktelse</t>
  </si>
  <si>
    <t>Ansvarlig lånekapital</t>
  </si>
  <si>
    <t>Herav ansvarlig lånekapital som kvalifiserer som godkjent tilleggskapital</t>
  </si>
  <si>
    <t>Herav ansvarlig lån under overgangsregler</t>
  </si>
  <si>
    <t>Herav fondsobligasjoner under overgangsregler</t>
  </si>
  <si>
    <t>Sum gjeld</t>
  </si>
  <si>
    <t>Egenkapital</t>
  </si>
  <si>
    <t>Innskutt egenkapital</t>
  </si>
  <si>
    <t>Sum egenkapital</t>
  </si>
  <si>
    <t>Sum gjeld og egenkapital</t>
  </si>
  <si>
    <t>(B) Referanser til artikler i forordningen (CRR)</t>
  </si>
  <si>
    <t>(C) Beløp omfattet av overgangs-regler</t>
  </si>
  <si>
    <t>(A) Beløp på datoen for offentliggjøring</t>
  </si>
  <si>
    <t>Uvektet kjernekapitalandel (Leverage ratio)</t>
  </si>
  <si>
    <t xml:space="preserve">Derivater: Fremtidig eksponering ved bruk av markedsverdimetoden </t>
  </si>
  <si>
    <t xml:space="preserve">Øvrige eiendeler </t>
  </si>
  <si>
    <t xml:space="preserve">Kjernekapital </t>
  </si>
  <si>
    <t xml:space="preserve">Uvektet kjernekapitalandel </t>
  </si>
  <si>
    <t xml:space="preserve"> Oversikt over bokført verdi og virkelig verdi, gevinster og tap</t>
  </si>
  <si>
    <t>De viktigste avtalevilkårene for kapitalinstrumenter</t>
  </si>
  <si>
    <t xml:space="preserve"> Beregning av uvektet kjernekapitalandel (Leverage ratio)</t>
  </si>
  <si>
    <t>9a</t>
  </si>
  <si>
    <t>9b</t>
  </si>
  <si>
    <t xml:space="preserve"> De viktigste avtalevilkårene for kapitalinstrumenter</t>
  </si>
  <si>
    <t>SpareBank1 SR-Bank ASA</t>
  </si>
  <si>
    <t>BN Bank ASA</t>
  </si>
  <si>
    <t xml:space="preserve">SpareBank 1 SR-Bank ASA sin andel i SpareBank 1 Næringskreditt </t>
  </si>
  <si>
    <t>SpareBank 1 SR-Bank ASA sin andel i BN Bank</t>
  </si>
  <si>
    <t xml:space="preserve">Elimineringer </t>
  </si>
  <si>
    <t>1)</t>
  </si>
  <si>
    <t>Forholdet mellom ansvarlig kapital i regnskapet og den ansvarlige kapitalen som beregnes for kapitaldekningsformål</t>
  </si>
  <si>
    <t>Gjeld-amortisert kost</t>
  </si>
  <si>
    <t>Kvartalsvis påfølgende</t>
  </si>
  <si>
    <t>Full fleksibilitet</t>
  </si>
  <si>
    <t>SpareBank 1 Næringskreditt</t>
  </si>
  <si>
    <t>Delkonsolidert nivå</t>
  </si>
  <si>
    <t>Tier 1</t>
  </si>
  <si>
    <t>Portefølje</t>
  </si>
  <si>
    <t>Estimert mislighold</t>
  </si>
  <si>
    <t>Faktisk mislighold</t>
  </si>
  <si>
    <t>Massemarked med pant i fast eiendom</t>
  </si>
  <si>
    <t>Estimert tapsgrad</t>
  </si>
  <si>
    <t>Faktisk tapsgrad</t>
  </si>
  <si>
    <t>Uvektet IRB Misligholdsnivå - PD per misligholdsklasse</t>
  </si>
  <si>
    <t>IRB Misligholdsnivå - PD per misligholdsklasse</t>
  </si>
  <si>
    <t>Uvektet IRB Misligholdsnivå - PD-modeller</t>
  </si>
  <si>
    <t>IRB Misligholdsnivå - PD-modeller</t>
  </si>
  <si>
    <t>IRB Tapsgrad for misligholdte lån - LGD</t>
  </si>
  <si>
    <t xml:space="preserve"> IRB Tapsgrad for misligholdte lån - LGD (uvektet) </t>
  </si>
  <si>
    <t>SR-Boligkreditt AS</t>
  </si>
  <si>
    <t>kjernekapitalinstumenter som ikke kommer til fradrag i ansvarlig kapital vektes 250 % i beregningsgrunnlaget.</t>
  </si>
  <si>
    <t xml:space="preserve">Skal stå tilbake for utstederens alminnelige ikke-subordinerte gjeld, dog slik at obligasjonene med renter skal ha prioritet likt med annen Tilleggskapital og skal dekkes foran utstederens kjernekapital 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</si>
  <si>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</si>
  <si>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</si>
  <si>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</si>
  <si>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>Datterselskap som rapporterer etter IRB metode</t>
  </si>
  <si>
    <t xml:space="preserve">Kredittrisiko- og motpartsrisiko  </t>
  </si>
  <si>
    <t>EUR 50</t>
  </si>
  <si>
    <t>Visa Norge IFS</t>
  </si>
  <si>
    <t>Obligasjoner med fortrinnsrett</t>
  </si>
  <si>
    <t xml:space="preserve">SpareBank 1 SR-Bank har ingen sikkerhetsstillelser som medfører redusert engasjementsbeløp. </t>
  </si>
  <si>
    <t>Utlån til kunder</t>
  </si>
  <si>
    <t xml:space="preserve"> Ansvarlig lånekapital og fondsobligasjoner</t>
  </si>
  <si>
    <t xml:space="preserve"> Samlet engasjementsbeløp og andelen som er sikret med pant i fast eiendom fordelt på engasjementskategorier (IRB)</t>
  </si>
  <si>
    <t>Ansvarlig lånekapital og fondsobligasjoner</t>
  </si>
  <si>
    <t>Sum massemarked med pant i fast eiendom</t>
  </si>
  <si>
    <t xml:space="preserve">Foretak   </t>
  </si>
  <si>
    <t>Finansielle investeringer til virkelig verdi over resultatet</t>
  </si>
  <si>
    <t xml:space="preserve">Sammensetningen av ansvarlig kapital </t>
  </si>
  <si>
    <t>Delårsresultat</t>
  </si>
  <si>
    <t>Uvektet kjernekapitaldekning</t>
  </si>
  <si>
    <t>Egenkapital posisjoner</t>
  </si>
  <si>
    <t>XS1334772255</t>
  </si>
  <si>
    <t xml:space="preserve"> Tier 2</t>
  </si>
  <si>
    <t>EUR 50 mill</t>
  </si>
  <si>
    <t>Nei</t>
  </si>
  <si>
    <t>4,00 % til 21.12.17, deretter 6 mnd EURIBOR + 1,725 %</t>
  </si>
  <si>
    <t xml:space="preserve">(-) Mottatt godkjent løpende margin i form av kontanter som motregnes mot endring i markedsverdi 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</si>
  <si>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</si>
  <si>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</si>
  <si>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</si>
  <si>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</si>
  <si>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</si>
  <si>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</si>
  <si>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CCP-element  av kundeclearede engasjementer i form av eksponeringer i derivater (markedsverdi) 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</si>
  <si>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</si>
  <si>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</si>
  <si>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</si>
  <si>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</si>
  <si>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</si>
  <si>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</si>
  <si>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</si>
  <si>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</si>
  <si>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</si>
  <si>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</si>
  <si>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</si>
  <si>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</si>
  <si>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</si>
  <si>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</si>
  <si>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</si>
  <si>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</si>
  <si>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</si>
  <si>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</si>
  <si>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</si>
  <si>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</si>
  <si>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Kjernekapital etter overgangsregler </t>
  </si>
  <si>
    <t xml:space="preserve">Uvektet kjernekapitalandel etter overgangsregler </t>
  </si>
  <si>
    <t xml:space="preserve">Kapital </t>
  </si>
  <si>
    <t>HitecVision Asset Solutions LP</t>
  </si>
  <si>
    <t xml:space="preserve">Strategiske investeringer til virkelig verdi over resultat </t>
  </si>
  <si>
    <t>År</t>
  </si>
  <si>
    <t>Gjennomsnitt</t>
  </si>
  <si>
    <t xml:space="preserve">Estimert mislighold </t>
  </si>
  <si>
    <t xml:space="preserve">Faktisk mislighold </t>
  </si>
  <si>
    <t xml:space="preserve"> IRB Tapsgrad for misligholdte lån - LGD (EAD-vektet) </t>
  </si>
  <si>
    <t>EAD-vektet IRB Misligholdsnivå - PD-modeller</t>
  </si>
  <si>
    <t xml:space="preserve">Massemarked </t>
  </si>
  <si>
    <t>Forventet tap</t>
  </si>
  <si>
    <t>Faktisk tap</t>
  </si>
  <si>
    <t xml:space="preserve">IRB Forventet tap (EL) og faktisk netto regnskapsført tap </t>
  </si>
  <si>
    <t xml:space="preserve">Spesialiserte foretak* </t>
  </si>
  <si>
    <t xml:space="preserve">* SpareBank 1 SR-Bank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</si>
  <si>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</si>
  <si>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</si>
  <si>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</si>
  <si>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</si>
  <si>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</si>
  <si>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</si>
  <si>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</si>
  <si>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</si>
  <si>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</si>
  <si>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</si>
  <si>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</si>
  <si>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</si>
  <si>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</si>
  <si>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</si>
  <si>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</si>
  <si>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Verdipapiriserings-engasjementer</t>
  </si>
  <si>
    <t>Vekter for kapitalkrav</t>
  </si>
  <si>
    <t>Motsyklisk kapitalbuffersats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</si>
  <si>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</si>
  <si>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</si>
  <si>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</si>
  <si>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</si>
  <si>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</si>
  <si>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Engasjements-beløp for SA</t>
  </si>
  <si>
    <t>Engasjements-beløp for IRB</t>
  </si>
  <si>
    <t>Overholdelse av krav om motsyklisk kapitalbuffer</t>
  </si>
  <si>
    <r>
      <t xml:space="preserve">BN Bank ASA </t>
    </r>
    <r>
      <rPr>
        <vertAlign val="superscript"/>
        <sz val="9"/>
        <rFont val="Calibri"/>
        <family val="2"/>
        <scheme val="minor"/>
      </rPr>
      <t>1)</t>
    </r>
  </si>
  <si>
    <t xml:space="preserve">2) I enkelte av de tilknyttede selskapene foretas det en omallokering basert på solgte utlån ved årsslutt som medfører at eierandelen endres pr 31.12. Den bokførte verdien av disse selskapene   </t>
  </si>
  <si>
    <t>NOK 625 mill</t>
  </si>
  <si>
    <t>NO0010792476</t>
  </si>
  <si>
    <t>NO0010799323</t>
  </si>
  <si>
    <t>NOK 150 mill</t>
  </si>
  <si>
    <t>3 mnd NIBOR + 1,52%</t>
  </si>
  <si>
    <t>3 mnd NIBOR + 3,20%</t>
  </si>
  <si>
    <t>Innenfor maksimalt disponeringsbeløp iht CRDIV/CRR-forskriften § 6</t>
  </si>
  <si>
    <t>Hybridkapital</t>
  </si>
  <si>
    <t>Hybridkapital som ikke kan medregnes i ren kjernekapital</t>
  </si>
  <si>
    <t xml:space="preserve">Herav fondsobligasjoner som kvalifiserer som annen godkjent kjernekapital  </t>
  </si>
  <si>
    <t xml:space="preserve">Hybridkapital som kvalifiserer som annen godkjent kjernekapital </t>
  </si>
  <si>
    <t xml:space="preserve">    SR-Boligkreditt</t>
  </si>
  <si>
    <t>Investeringer i felleskontrollert virksomhet blir bokført etter egenkapitalmetoden i konsernet og etter kostmetoden i morbanken.</t>
  </si>
  <si>
    <t>NO0010802382</t>
  </si>
  <si>
    <t>NOK 300 mill</t>
  </si>
  <si>
    <t>3 mnd NIBOR + 1,45%</t>
  </si>
  <si>
    <t>SpareBank 1 Betaling</t>
  </si>
  <si>
    <t>Visa</t>
  </si>
  <si>
    <r>
      <t xml:space="preserve">Hybridkapital </t>
    </r>
    <r>
      <rPr>
        <vertAlign val="superscript"/>
        <sz val="9"/>
        <rFont val="Calibri"/>
        <family val="2"/>
        <scheme val="minor"/>
      </rPr>
      <t>1)</t>
    </r>
  </si>
  <si>
    <t>Stater og sentralbanker</t>
  </si>
  <si>
    <t>Lokale og regionale myndigheter, offentlige foretak</t>
  </si>
  <si>
    <t>Verdi 
31.12.2017</t>
  </si>
  <si>
    <t xml:space="preserve">Foretak SMB </t>
  </si>
  <si>
    <t>Monner AS</t>
  </si>
  <si>
    <t>SR PE Feeder IV AS</t>
  </si>
  <si>
    <t>Optimarin AS</t>
  </si>
  <si>
    <t>Offshore Merchant Partners Asset Yield Fund LP</t>
  </si>
  <si>
    <t>SpareBank 1 Markets</t>
  </si>
  <si>
    <t xml:space="preserve">mål for maksimalt potensielt tap ved et parallellskift i rentekurven på ett prosentpoeng. </t>
  </si>
  <si>
    <t>Rammen er totalt 85 mill kroner fordelt på 50 mill kroner og 35 mill kroner på totalbalansen for henholdsvis Treasury og SR-Bank Markets.</t>
  </si>
  <si>
    <t xml:space="preserve">Den kommersielle risikoen kvantifiseres og overvåkes kontinuerlig. </t>
  </si>
  <si>
    <t>NOK 300</t>
  </si>
  <si>
    <t>NOK 625</t>
  </si>
  <si>
    <t>3 mnd Nibor + 1,45 % p.a.</t>
  </si>
  <si>
    <t>3 mnd Nibor + 1,52 % p.a.</t>
  </si>
  <si>
    <t>6 mnd Euribor + 1,725 % p.a.</t>
  </si>
  <si>
    <t>NOK 472 mill</t>
  </si>
  <si>
    <t>Egenkapital-amortisert kost</t>
  </si>
  <si>
    <t>FinStart Nordic AS</t>
  </si>
  <si>
    <t>Verdiendring 
i 2018 (i %)</t>
  </si>
  <si>
    <t>Verdi 
31.12.2018</t>
  </si>
  <si>
    <t>Bjergsted Terrasse AS</t>
  </si>
  <si>
    <t>Trinn 3</t>
  </si>
  <si>
    <t>Nedskrivninger på utlån</t>
  </si>
  <si>
    <t>Nedskrivninger på finansielle forpliktelser</t>
  </si>
  <si>
    <t>Fiske/ fiskeoppdrett</t>
  </si>
  <si>
    <t>Jordbruk/ skogbruk</t>
  </si>
  <si>
    <t xml:space="preserve">Energi, olje og gass </t>
  </si>
  <si>
    <t>Bygg og anlegg</t>
  </si>
  <si>
    <t>Kraft og vannforsyning</t>
  </si>
  <si>
    <t>Eiendom</t>
  </si>
  <si>
    <t>Shipping og øvrig transport</t>
  </si>
  <si>
    <t>Fradrag ren kjernekapital for ikke vesentlige investeringer i finansinstitusjoner</t>
  </si>
  <si>
    <t>Verdijustering som følge av kravene om forsvarlig verdsettelse</t>
  </si>
  <si>
    <t>NOK 700</t>
  </si>
  <si>
    <t>HitecVision Private Equity IV LP</t>
  </si>
  <si>
    <t>Boost AI AS</t>
  </si>
  <si>
    <t>Trinn 1</t>
  </si>
  <si>
    <t>Trinn 2</t>
  </si>
  <si>
    <t>Varehandel, hotell og restaurantvirksomh.</t>
  </si>
  <si>
    <t>Sum Næring</t>
  </si>
  <si>
    <t>Sum Personkunder</t>
  </si>
  <si>
    <t xml:space="preserve">Trinn 1 </t>
  </si>
  <si>
    <t>Total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</si>
  <si>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</si>
  <si>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</si>
  <si>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</si>
  <si>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</si>
  <si>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</si>
  <si>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</si>
  <si>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Endring pga modifikasjoner som ikke har resultert i fraregning</t>
  </si>
  <si>
    <t>Periodens konstaterte tap</t>
  </si>
  <si>
    <t>Periodens konstaterte tap hvor det tidligere er nedskrevet</t>
  </si>
  <si>
    <t xml:space="preserve">Endringer i modell/risikoparametre </t>
  </si>
  <si>
    <t>Andre bevegelser</t>
  </si>
  <si>
    <t>Nedskrivninger på utlån og finansielle forpliktelser</t>
  </si>
  <si>
    <t>Endring nedskrivning på utlån</t>
  </si>
  <si>
    <t>Endring nedskrivning på finansielle forpliktelser</t>
  </si>
  <si>
    <t>Nedskrivninger etter amortisert kost - Bedriftsmarked</t>
  </si>
  <si>
    <t>Nedskrivninger etter amortisert kost - Privatmarked</t>
  </si>
  <si>
    <t>Boliglån til virkelig verdi over utvidet resultat</t>
  </si>
  <si>
    <t>Sum nedskrivninger på utlån og finansielle forpliktelser</t>
  </si>
  <si>
    <t>Presentert som:</t>
  </si>
  <si>
    <t>Finansielle forpliktelser - nedskrivninger på garantier, ubenyttet kreditt, lånetilsagn</t>
  </si>
  <si>
    <t>NO0010833486</t>
  </si>
  <si>
    <t>NOK 700 mill</t>
  </si>
  <si>
    <t>NOK 400 mill</t>
  </si>
  <si>
    <t>3 mnd NIBOR + 3,50%</t>
  </si>
  <si>
    <t>3 mnd NIBOR + 3.75 %</t>
  </si>
  <si>
    <t>full fleksibilitet</t>
  </si>
  <si>
    <t>Om kapitaldekning faller under 8,0 % eller kjernekapital under 5,125 %</t>
  </si>
  <si>
    <t>Stå tilbake for all annen gjeld og skal, med mindre annet er avtalt eller fremkommer av offentlige reguleringer, ha prioritet likt med annen hybridkapital
- Instrumenter i kolonne L har bedre prioritet</t>
  </si>
  <si>
    <t>NO0010834930</t>
  </si>
  <si>
    <t xml:space="preserve"> - Når dekningen av Ren Kjernekapital faller under 5,125 prosent på Utsteders selskapsnivå eller på konsolidert nivå, regnet både for (i)Utsteder alene og (ii)den gruppe der Utsteder er Deltagende Foretak. - Finanstilsynet eller annen kompetent offentlig myndighet kan instruere nedskrivning med endelig virkning.</t>
  </si>
  <si>
    <t>3)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</si>
  <si>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Andel er totalt engasjement med slik sikkerhetsstillelse i forhold til totalt engasjement for gjeldende engasjementskategori</t>
    </r>
  </si>
  <si>
    <r>
      <rPr>
        <vertAlign val="superscript"/>
        <sz val="9"/>
        <rFont val="Calibri"/>
        <family val="2"/>
        <scheme val="minor"/>
      </rPr>
      <t>2)</t>
    </r>
    <r>
      <rPr>
        <sz val="9"/>
        <rFont val="Calibri"/>
        <family val="2"/>
        <scheme val="minor"/>
      </rPr>
      <t xml:space="preserve"> Et engasjement på en massemarkedskunde der realisasjonsverdi av boligen vurderes lavere enn 30 % av kundens engasjement</t>
    </r>
  </si>
  <si>
    <t xml:space="preserve">
Beløp i mill kroner</t>
  </si>
  <si>
    <t>Balanseførte nedskrivinger på utlån og finansielle forpliktelser, trinnvis fordelt på geografiske områder,</t>
  </si>
  <si>
    <t>Balanseførte nedskrivninger på utlån og finansielle forpliktelser</t>
  </si>
  <si>
    <t>Balanseførte nedskrivninger på utlån, trinnvis fordelt per næring.</t>
  </si>
  <si>
    <t>NO0010846025</t>
  </si>
  <si>
    <t>NOK 450 mill</t>
  </si>
  <si>
    <t>Balanseførte nedskrivninger på utlån</t>
  </si>
  <si>
    <t>Samlet engasjementsbeløp fordelt på engasjementstype</t>
  </si>
  <si>
    <t>Kredittkvalitet for eksponeringer etter IRB metode</t>
  </si>
  <si>
    <t>Risikoklasse</t>
  </si>
  <si>
    <t>Brutto engasjementsbeløp på balansen</t>
  </si>
  <si>
    <t>Brutto engasjementsbeløp utenom balansen</t>
  </si>
  <si>
    <t>Vektet gjennomsnittlig PD</t>
  </si>
  <si>
    <t>Vektet gjennomsnittlig LGD</t>
  </si>
  <si>
    <t>RWA</t>
  </si>
  <si>
    <t>Gjennomsnittlig risikovekt</t>
  </si>
  <si>
    <t>SMB</t>
  </si>
  <si>
    <t xml:space="preserve">I </t>
  </si>
  <si>
    <t>Subtotal</t>
  </si>
  <si>
    <t>Øvrig foretak</t>
  </si>
  <si>
    <t>Massemarked pant i fast eiendom</t>
  </si>
  <si>
    <t>Total (all portfolios)</t>
  </si>
  <si>
    <t>2008-2018</t>
  </si>
  <si>
    <t>Merk at validering av tapsgrad er endret fra rapportering per realisasjonsår til rapportering per misligholdsår.</t>
  </si>
  <si>
    <t xml:space="preserve"> Investeringer (egenkapitalposisjoner utenfor handelsportefølje) fordelt etter formål</t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</si>
  <si>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</si>
  <si>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</si>
  <si>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 Forholdet mellom ansvarlig kapital i konsernregnskapet og den ansvarlige kapitalen som beregnes for kapitaldekningsformål</t>
  </si>
  <si>
    <t xml:space="preserve">Dette arbeidet vil fullføres samtidig med tilpasning til ny Basel standard. </t>
  </si>
  <si>
    <t xml:space="preserve"> Engasjementsbeløp for hver engasjementstype fordelt på geografiske områder før fradrag for nedskrivninger</t>
  </si>
  <si>
    <t xml:space="preserve"> Samlet engasjementsbeløp fordelt på engasjementstype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</si>
  <si>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</si>
  <si>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</si>
  <si>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>Balanseførte nedskrivninger på utlån, trinnfordelt per næring</t>
  </si>
  <si>
    <t>Balanseførte nedskrivinger på utlån og finansielle forpliktelser, trinnvis fordelt på geografiske områder</t>
  </si>
  <si>
    <t>NO0010832421</t>
  </si>
  <si>
    <t>Offentliggjøring av godtgjørelse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</si>
  <si>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</si>
  <si>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</si>
  <si>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</si>
  <si>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</si>
  <si>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</si>
  <si>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Ansatte som er ansvarlig for uavhengig kontrollfunksjon</t>
  </si>
  <si>
    <t>Tillitsvalgte</t>
  </si>
  <si>
    <t/>
  </si>
  <si>
    <t>NO0010856164</t>
  </si>
  <si>
    <t>NOK 250 mill</t>
  </si>
  <si>
    <t>3 mnd NIBOR + 3,35%</t>
  </si>
  <si>
    <t>RWA etter SMB rabatt</t>
  </si>
  <si>
    <t>Verdi 
31.12.2019</t>
  </si>
  <si>
    <t>Verdiendring 
i 2019 (i %)</t>
  </si>
  <si>
    <t>3 mnd NIBOR + 1,37 %</t>
  </si>
  <si>
    <t>18.12.2024
Regulatorisk eller skatterelatert call
Callkurs 100</t>
  </si>
  <si>
    <t>25.10.2023
Regulatorisk eller skatterelatert call
Callkurs 100</t>
  </si>
  <si>
    <t>NO0010871445</t>
  </si>
  <si>
    <t>NO0010866635</t>
  </si>
  <si>
    <t>NOK 600 mill</t>
  </si>
  <si>
    <t>3 mnd NIBOR + 3,25%</t>
  </si>
  <si>
    <t>Utsatt skattefordel</t>
  </si>
  <si>
    <t>1) Bokført verdi av aksjene i de respektive selskapene erstattes av SpareBank 1 SR-Bank sin andel av selskapene sine poster i balansen.</t>
  </si>
  <si>
    <t>til fradrag i ren kjernekapital.</t>
  </si>
  <si>
    <t>Agder</t>
  </si>
  <si>
    <t>Vestland</t>
  </si>
  <si>
    <t>Oslo/Viken</t>
  </si>
  <si>
    <t xml:space="preserve"> Endring nedskrivning på finansielle forpliktelser</t>
  </si>
  <si>
    <t>Total 
31.12.2019</t>
  </si>
  <si>
    <t>Nedskrivning etter amortisert kost - Bedriftsmarked</t>
  </si>
  <si>
    <t>Nedskrivning etter amortisert kost - Privatmarked</t>
  </si>
  <si>
    <t>Nedskrivning på utlån</t>
  </si>
  <si>
    <t>01.01.2019 - 31.12.2019</t>
  </si>
  <si>
    <t>Balanse 01.01.</t>
  </si>
  <si>
    <t>Endringer 01.01. - 31.12.</t>
  </si>
  <si>
    <t>Balanse 31.12.</t>
  </si>
  <si>
    <t>2019 (Etter IFRS 9)</t>
  </si>
  <si>
    <t xml:space="preserve">Som følge av Finanstilsynets tilrådning til Finansdepartementet, avsnitt 4.6 går hele eksponeringen mot SB1 Betaling </t>
  </si>
  <si>
    <t>Konsern
Total balanseført nedskrivning finansielle forpliktelser</t>
  </si>
  <si>
    <t>Konsern 
Total balanseført nedskrivning utlån</t>
  </si>
  <si>
    <r>
      <t xml:space="preserve">1)  </t>
    </r>
    <r>
      <rPr>
        <sz val="9"/>
        <rFont val="Calibri"/>
        <family val="2"/>
        <scheme val="minor"/>
      </rPr>
      <t>SpareBank 1 SR-Bank sin andel</t>
    </r>
  </si>
  <si>
    <t>Delårsresultat som ikke kan medregnes i ren kjernekapital</t>
  </si>
  <si>
    <t xml:space="preserve">Motsykliskbuffer 1,0 % </t>
  </si>
  <si>
    <t xml:space="preserve">                                                                                                              SpareBank 1 SR-Bank ASA eier 35,02 % av BN Bank </t>
  </si>
  <si>
    <t>Havbruk</t>
  </si>
  <si>
    <t xml:space="preserve">  </t>
  </si>
  <si>
    <t>SpareBank 1 SR-Bank ASA sin andel i SpareBank 1 Kreditt</t>
  </si>
  <si>
    <t>SpareBank 1 Kreditt AS</t>
  </si>
  <si>
    <t xml:space="preserve">SpareBank 1 SR-Bank Forretningspartner AS </t>
  </si>
  <si>
    <t>Pr 31.12.2020</t>
  </si>
  <si>
    <t>Kapitaldekning i prosent 31.12.2020</t>
  </si>
  <si>
    <t>Ikke-kontrollerende eierinteresser</t>
  </si>
  <si>
    <t>Systemrisikobuffer 4,5 %</t>
  </si>
  <si>
    <t>31.12.2020 (Etter IFRS 9)</t>
  </si>
  <si>
    <t>01.01.2020- 31.12.2020</t>
  </si>
  <si>
    <t>Konsern - 2019</t>
  </si>
  <si>
    <t>Konsern - 2020
Nedskrivninger på utlån og finansielle forpliktelser</t>
  </si>
  <si>
    <t>Total 
31.12.2020</t>
  </si>
  <si>
    <t>2020 (Etter IFRS 9)</t>
  </si>
  <si>
    <t>Ansvarlig lånekapital og fondsobligasjon i utenlandsk valuta inngår i konsernets totale valutaposisjon slik at det ikke er valutarisiko knyttet til lånene. Av totalt</t>
  </si>
  <si>
    <t>2.154 mill kroner i ansvarlig lånekapital teller 2.097 mill kroner som tidsbegrenset ansvarlig kapital. Aktiverte kostnader ved låneopptak blir reflektert i</t>
  </si>
  <si>
    <t>beregning av amortisert kost.</t>
  </si>
  <si>
    <t>Verdiendring 
i 2020 (i %)</t>
  </si>
  <si>
    <t>Verdi 
31.12.2020</t>
  </si>
  <si>
    <t>Verdi
 2019</t>
  </si>
  <si>
    <t>Verdi
 2020</t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</si>
  <si>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</si>
  <si>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</si>
  <si>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t>baserer seg på resultatandelen i 2020 og det er denne resultatandelen som benyttes ved utbytteutbetaling.</t>
  </si>
  <si>
    <t>Eierandel i prosent 31.12.2020</t>
  </si>
  <si>
    <r>
      <t xml:space="preserve">Risikovektet balanse </t>
    </r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31.12.2020</t>
    </r>
  </si>
  <si>
    <t xml:space="preserve"> 31.12.2020</t>
  </si>
  <si>
    <t xml:space="preserve">BN Bank AS bruker IRB metoden i sin kapitaldekningsrapportering. </t>
  </si>
  <si>
    <t>SpareBank 1 Kreditt</t>
  </si>
  <si>
    <t>3) BN Bank foretar en proporsjonal konsolidering av selskapet SB1 Kredittkort i sin kapitaldekning, regnskapsmessig bruker BN Bank kostmetoden.</t>
  </si>
  <si>
    <t>SpareBank 1 Forvaltning</t>
  </si>
  <si>
    <t>prosent. Kravet består av 4,5 prosent i minstekrav, i tillegg til øvrige bufferkrav hvorav kravet til bevaringsbuffer er 2,5 prosent, systemrisikobuffer 4,5</t>
  </si>
  <si>
    <t>prosent og motsyklisk kapitalbuffer 1,0 prosent. Motsyklisk kapitalbuffer ble som følge av Covid-19 situasjonen redusert med 1,5 prosent-poeng i mars</t>
  </si>
  <si>
    <t>2020. Den 17. juni 2021 besluttet Finansdepartementet å øke kapitalkravet for motsyklisk kapitalbuffer med 0,5 prosent-poeng til 1,5 prosent med virkning</t>
  </si>
  <si>
    <t>fra 30. juni 2022. Videre har Finanstilsynet fastsatt et individuelt Pilar 2-krav på 1,7 prosent.</t>
  </si>
  <si>
    <t>Pr 30.09.2021</t>
  </si>
  <si>
    <t>Eierandel i prosent   30.09.2021</t>
  </si>
  <si>
    <r>
      <t xml:space="preserve">Risikovektet balanse </t>
    </r>
    <r>
      <rPr>
        <b/>
        <vertAlign val="superscript"/>
        <sz val="9"/>
        <rFont val="Calibri"/>
        <family val="2"/>
        <scheme val="minor"/>
      </rPr>
      <t>1)</t>
    </r>
    <r>
      <rPr>
        <b/>
        <sz val="9"/>
        <rFont val="Calibri"/>
        <family val="2"/>
        <scheme val="minor"/>
      </rPr>
      <t xml:space="preserve"> 30.09.2021</t>
    </r>
  </si>
  <si>
    <t>Kapitaldekning i prosent 30.09.2021</t>
  </si>
  <si>
    <t xml:space="preserve"> 30.09.2021</t>
  </si>
  <si>
    <t>Samlet minstekrav for SpareBank 1 SR-Bank til ren kjernekapitaldekning inkludert motsyklisk kapitalbuffer og Pilar 2 påslag var pr 30.09.2021 14,2</t>
  </si>
  <si>
    <t>30.09.2021 (Etter IFRS 9)</t>
  </si>
  <si>
    <t xml:space="preserve"> SpareBank 1 SR-Bank ASA Balanse etter regnskap 30.09.2021</t>
  </si>
  <si>
    <t>SpareBank 1 SR-Bank ASA Balanse etter kapitaldekning 30.09.2021</t>
  </si>
  <si>
    <t>Standardtabell for offentliggjøring av opplysninger om foretaks overholdelse av krav om motsyklisk kapitalbuffer per 30.09.2021</t>
  </si>
  <si>
    <t>Oppdatert per 3. kvartal 2021</t>
  </si>
  <si>
    <t>Risikovektet balanse for operasjonell risiko er beregnet i prosent av snitt inntekt for hvert forretningsområde de 3 siste årene.</t>
  </si>
  <si>
    <t xml:space="preserve">Banktjenester for massemarkedet 12 %, banktjenester for bedriftsmarkedet 15 % og for øvrige tjenester 18 %. </t>
  </si>
  <si>
    <t>SpareBank 1 SR-Bank ASA sin andel i SpareBank 1 Forvaltning</t>
  </si>
  <si>
    <t>SpareBank 1 Næringskreditt AS, SpareBank 1 Kreditt AS og Sparebank 1 Forvaltning bruker standardmetoden i sin kapitaldekningsrapportering.</t>
  </si>
  <si>
    <t>Sist oppdatert</t>
  </si>
  <si>
    <t>Q4 2020</t>
  </si>
  <si>
    <t>Q3 2021</t>
  </si>
  <si>
    <t xml:space="preserve">Internt estimert uvektet tapsgrad for misligholdte lån mot massemarked med pant i fast eiendom (uten regulatoriske minimumskrav) var 11,9 % i 2018 og 13,7 % i årene 2008-2018. </t>
  </si>
  <si>
    <t xml:space="preserve">Internt estimert EAD-vektet tapsgrad for misligholdte lån mot massemarked med pant i fast eiendom (uten regulatoriske minimumskrav) var 12,5 % i 2018 og 14,1 % i årene 2008-2018. </t>
  </si>
  <si>
    <t>Validering av tapsgrad for 2019 og 2020 var under utarbeidelse ved publisering av rapporten. Forsinkelsen skyldes utvikling av nye modeller for å etterleve nytt regelverk.</t>
  </si>
  <si>
    <t>2010-2020</t>
  </si>
  <si>
    <t>Innholdsfortegnelse</t>
  </si>
  <si>
    <t>SpareBank 1 Forvaltning AS</t>
  </si>
  <si>
    <t>Investeringene blir behandlet likt for kapitaldekningsformål bortsett fra konsernets investeringer i BN Bank, Sparebank 1 Forvaltning og SpareBank 1</t>
  </si>
  <si>
    <t>Kreditt. I konsernets kapitaldekning foretas en forholdsmessig konsolidering. SpareBank 1 Næringskreditt ble solgt med virkning fra 30.09.2021.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</si>
</sst>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#,##0.0"/>
    <numFmt numFmtId="173" formatCode="dd/mm/yyyy;@"/>
    <numFmt numFmtId="174" formatCode="_ * #,##0_ ;_ * \-#,##0_ ;_ * &quot;-&quot;??_ ;_ @_ "/>
    <numFmt numFmtId="175" formatCode="dd/mm/yy;@"/>
    <numFmt numFmtId="176" formatCode="_-* #,##0_-;\-* #,##0_-;_-* &quot;-&quot;??_-;_-@_-"/>
    <numFmt numFmtId="177" formatCode="#,##0.000"/>
    <numFmt numFmtId="178" formatCode="dd\/mm\/yyyy"/>
    <numFmt numFmtId="179" formatCode="_ * #,##0.00_ ;_ * \-#,##0.00_ ;_ * &quot;-&quot;??_ ;_ @_ "/>
  </numFmts>
  <fonts count="5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i/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28">
    <xf numFmtId="0" fontId="0" fillId="0" borderId="0"/>
    <xf numFmtId="169" fontId="7" fillId="0" borderId="0" applyFill="0" applyBorder="0">
      <alignment horizontal="right" vertical="top"/>
    </xf>
    <xf numFmtId="0" fontId="8" fillId="0" borderId="0">
      <alignment horizontal="center" wrapText="1"/>
    </xf>
    <xf numFmtId="165" fontId="7" fillId="0" borderId="0" applyFill="0" applyBorder="0" applyAlignment="0" applyProtection="0">
      <alignment horizontal="right" vertical="top"/>
    </xf>
    <xf numFmtId="167" fontId="6" fillId="0" borderId="0"/>
    <xf numFmtId="0" fontId="7" fillId="0" borderId="0" applyFill="0" applyBorder="0">
      <alignment horizontal="left" vertical="top"/>
    </xf>
    <xf numFmtId="168" fontId="5" fillId="0" borderId="0"/>
    <xf numFmtId="0" fontId="9" fillId="0" borderId="0"/>
    <xf numFmtId="0" fontId="7" fillId="0" borderId="0"/>
    <xf numFmtId="0" fontId="9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5" fillId="6" borderId="12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6" fillId="0" borderId="0"/>
    <xf numFmtId="166" fontId="4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" fillId="0" borderId="0"/>
    <xf numFmtId="3" fontId="44" fillId="0" borderId="0"/>
    <xf numFmtId="179" fontId="5" fillId="0" borderId="0" applyFont="0" applyFill="0" applyBorder="0" applyAlignment="0" applyProtection="0"/>
    <xf numFmtId="0" fontId="1" fillId="0" borderId="0"/>
  </cellStyleXfs>
  <cellXfs count="895">
    <xf numFmtId="0" fontId="0" fillId="0" borderId="0" xfId="0"/>
    <xf numFmtId="0" fontId="11" fillId="2" borderId="5" xfId="0" applyFont="1" applyFill="1" applyBorder="1"/>
    <xf numFmtId="14" fontId="12" fillId="2" borderId="5" xfId="0" applyNumberFormat="1" applyFont="1" applyFill="1" applyBorder="1"/>
    <xf numFmtId="14" fontId="11" fillId="2" borderId="5" xfId="0" applyNumberFormat="1" applyFont="1" applyFill="1" applyBorder="1"/>
    <xf numFmtId="0" fontId="11" fillId="0" borderId="0" xfId="5" applyFont="1" applyFill="1">
      <alignment horizontal="left" vertical="top"/>
    </xf>
    <xf numFmtId="164" fontId="11" fillId="0" borderId="0" xfId="1" applyNumberFormat="1" applyFont="1" applyFill="1" applyAlignment="1">
      <alignment vertical="top"/>
    </xf>
    <xf numFmtId="0" fontId="11" fillId="0" borderId="0" xfId="5" applyFont="1" applyFill="1" applyAlignment="1">
      <alignment horizontal="left" vertical="top"/>
    </xf>
    <xf numFmtId="0" fontId="12" fillId="0" borderId="6" xfId="5" applyFont="1" applyFill="1" applyBorder="1" applyAlignment="1">
      <alignment horizontal="left" vertical="top"/>
    </xf>
    <xf numFmtId="164" fontId="11" fillId="0" borderId="6" xfId="1" applyNumberFormat="1" applyFont="1" applyFill="1" applyBorder="1" applyAlignment="1">
      <alignment vertical="top"/>
    </xf>
    <xf numFmtId="0" fontId="12" fillId="0" borderId="0" xfId="5" applyFont="1" applyFill="1">
      <alignment horizontal="left" vertical="top"/>
    </xf>
    <xf numFmtId="0" fontId="11" fillId="0" borderId="0" xfId="5" applyFont="1" applyFill="1" applyBorder="1" applyAlignment="1">
      <alignment horizontal="left" vertical="top"/>
    </xf>
    <xf numFmtId="164" fontId="11" fillId="0" borderId="0" xfId="1" applyNumberFormat="1" applyFont="1" applyFill="1" applyBorder="1" applyAlignment="1">
      <alignment vertical="top"/>
    </xf>
    <xf numFmtId="0" fontId="12" fillId="0" borderId="0" xfId="5" applyFont="1" applyFill="1" applyBorder="1" applyAlignment="1">
      <alignment horizontal="left" vertical="top"/>
    </xf>
    <xf numFmtId="0" fontId="12" fillId="2" borderId="0" xfId="0" applyFont="1" applyFill="1" applyBorder="1"/>
    <xf numFmtId="0" fontId="11" fillId="2" borderId="0" xfId="0" applyFont="1" applyFill="1" applyBorder="1"/>
    <xf numFmtId="0" fontId="12" fillId="0" borderId="5" xfId="5" applyFont="1" applyFill="1" applyBorder="1">
      <alignment horizontal="left" vertical="top"/>
    </xf>
    <xf numFmtId="14" fontId="11" fillId="3" borderId="5" xfId="0" applyNumberFormat="1" applyFont="1" applyFill="1" applyBorder="1"/>
    <xf numFmtId="0" fontId="11" fillId="2" borderId="0" xfId="0" applyFont="1" applyFill="1"/>
    <xf numFmtId="3" fontId="11" fillId="3" borderId="0" xfId="0" applyNumberFormat="1" applyFont="1" applyFill="1"/>
    <xf numFmtId="0" fontId="11" fillId="3" borderId="0" xfId="0" applyFont="1" applyFill="1"/>
    <xf numFmtId="0" fontId="11" fillId="2" borderId="4" xfId="0" applyFont="1" applyFill="1" applyBorder="1"/>
    <xf numFmtId="0" fontId="12" fillId="2" borderId="0" xfId="0" applyFont="1" applyFill="1"/>
    <xf numFmtId="0" fontId="11" fillId="0" borderId="0" xfId="5" applyFont="1" applyFill="1" applyAlignment="1">
      <alignment horizontal="center" vertical="top"/>
    </xf>
    <xf numFmtId="169" fontId="11" fillId="0" borderId="0" xfId="1" applyFont="1" applyFill="1" applyAlignment="1">
      <alignment vertical="top"/>
    </xf>
    <xf numFmtId="10" fontId="11" fillId="0" borderId="0" xfId="1" applyNumberFormat="1" applyFont="1" applyFill="1" applyAlignment="1">
      <alignment vertical="top"/>
    </xf>
    <xf numFmtId="0" fontId="11" fillId="0" borderId="0" xfId="0" applyFont="1"/>
    <xf numFmtId="168" fontId="11" fillId="2" borderId="0" xfId="6" applyFont="1" applyFill="1"/>
    <xf numFmtId="167" fontId="11" fillId="2" borderId="0" xfId="4" applyFont="1" applyFill="1" applyBorder="1"/>
    <xf numFmtId="168" fontId="11" fillId="2" borderId="0" xfId="6" applyFont="1" applyFill="1" applyBorder="1"/>
    <xf numFmtId="168" fontId="12" fillId="2" borderId="0" xfId="6" applyFont="1" applyFill="1" applyBorder="1"/>
    <xf numFmtId="168" fontId="12" fillId="0" borderId="0" xfId="6" applyFont="1" applyFill="1" applyBorder="1" applyAlignment="1">
      <alignment horizontal="right"/>
    </xf>
    <xf numFmtId="168" fontId="11" fillId="0" borderId="0" xfId="6" applyFont="1" applyFill="1" applyBorder="1"/>
    <xf numFmtId="168" fontId="11" fillId="0" borderId="0" xfId="6" applyFont="1" applyFill="1" applyBorder="1" applyAlignment="1">
      <alignment horizontal="right"/>
    </xf>
    <xf numFmtId="167" fontId="12" fillId="0" borderId="0" xfId="4" applyFont="1" applyFill="1" applyBorder="1" applyAlignment="1">
      <alignment horizontal="left"/>
    </xf>
    <xf numFmtId="167" fontId="12" fillId="0" borderId="0" xfId="8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12" fillId="0" borderId="0" xfId="5" applyNumberFormat="1" applyFont="1" applyFill="1" applyBorder="1" applyAlignment="1">
      <alignment horizontal="left" vertical="top"/>
    </xf>
    <xf numFmtId="0" fontId="11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right" vertical="top" wrapText="1"/>
    </xf>
    <xf numFmtId="0" fontId="11" fillId="2" borderId="0" xfId="5" applyNumberFormat="1" applyFont="1" applyFill="1" applyBorder="1">
      <alignment horizontal="left" vertical="top"/>
    </xf>
    <xf numFmtId="0" fontId="11" fillId="0" borderId="0" xfId="1" applyNumberFormat="1" applyFont="1" applyFill="1" applyBorder="1" applyAlignment="1">
      <alignment vertical="top"/>
    </xf>
    <xf numFmtId="0" fontId="12" fillId="0" borderId="0" xfId="5" applyNumberFormat="1" applyFont="1" applyFill="1" applyBorder="1">
      <alignment horizontal="left" vertical="top"/>
    </xf>
    <xf numFmtId="0" fontId="12" fillId="0" borderId="0" xfId="5" applyFont="1" applyFill="1" applyBorder="1">
      <alignment horizontal="left" vertical="top"/>
    </xf>
    <xf numFmtId="0" fontId="11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>
      <alignment horizontal="left" vertical="top"/>
    </xf>
    <xf numFmtId="0" fontId="12" fillId="0" borderId="0" xfId="5" quotePrefix="1" applyNumberFormat="1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1" fillId="0" borderId="0" xfId="5" applyNumberFormat="1" applyFont="1" applyFill="1" applyBorder="1" applyAlignment="1">
      <alignment horizontal="left" vertical="top"/>
    </xf>
    <xf numFmtId="168" fontId="11" fillId="0" borderId="0" xfId="6" applyFont="1" applyFill="1" applyBorder="1" applyAlignment="1">
      <alignment vertical="top"/>
    </xf>
    <xf numFmtId="167" fontId="11" fillId="0" borderId="0" xfId="5" applyNumberFormat="1" applyFont="1" applyFill="1" applyBorder="1">
      <alignment horizontal="left" vertical="top"/>
    </xf>
    <xf numFmtId="167" fontId="12" fillId="0" borderId="0" xfId="5" applyNumberFormat="1" applyFont="1" applyFill="1" applyBorder="1">
      <alignment horizontal="left" vertical="top"/>
    </xf>
    <xf numFmtId="0" fontId="11" fillId="0" borderId="0" xfId="0" applyFont="1" applyFill="1" applyBorder="1"/>
    <xf numFmtId="168" fontId="11" fillId="0" borderId="0" xfId="6" applyFont="1" applyFill="1"/>
    <xf numFmtId="0" fontId="14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14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/>
    </xf>
    <xf numFmtId="3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3" fontId="12" fillId="2" borderId="0" xfId="0" applyNumberFormat="1" applyFont="1" applyFill="1" applyBorder="1" applyAlignment="1">
      <alignment wrapText="1"/>
    </xf>
    <xf numFmtId="3" fontId="11" fillId="2" borderId="0" xfId="0" applyNumberFormat="1" applyFont="1" applyFill="1" applyAlignment="1"/>
    <xf numFmtId="3" fontId="11" fillId="2" borderId="0" xfId="0" applyNumberFormat="1" applyFont="1" applyFill="1"/>
    <xf numFmtId="0" fontId="11" fillId="2" borderId="0" xfId="0" applyFont="1" applyFill="1" applyBorder="1" applyAlignment="1"/>
    <xf numFmtId="0" fontId="12" fillId="2" borderId="6" xfId="0" applyFont="1" applyFill="1" applyBorder="1" applyAlignment="1"/>
    <xf numFmtId="3" fontId="12" fillId="2" borderId="0" xfId="0" applyNumberFormat="1" applyFont="1" applyFill="1" applyBorder="1" applyAlignment="1"/>
    <xf numFmtId="0" fontId="14" fillId="2" borderId="0" xfId="0" applyFont="1" applyFill="1"/>
    <xf numFmtId="0" fontId="12" fillId="2" borderId="0" xfId="0" applyFont="1" applyFill="1" applyBorder="1" applyAlignment="1">
      <alignment wrapText="1"/>
    </xf>
    <xf numFmtId="0" fontId="12" fillId="2" borderId="5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Border="1" applyAlignment="1"/>
    <xf numFmtId="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0" fontId="12" fillId="2" borderId="6" xfId="0" applyFont="1" applyFill="1" applyBorder="1"/>
    <xf numFmtId="9" fontId="11" fillId="2" borderId="6" xfId="0" applyNumberFormat="1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9" fontId="11" fillId="3" borderId="0" xfId="0" applyNumberFormat="1" applyFont="1" applyFill="1" applyBorder="1" applyAlignment="1">
      <alignment horizontal="right"/>
    </xf>
    <xf numFmtId="14" fontId="12" fillId="2" borderId="5" xfId="0" applyNumberFormat="1" applyFont="1" applyFill="1" applyBorder="1" applyAlignment="1">
      <alignment horizontal="right" wrapText="1"/>
    </xf>
    <xf numFmtId="14" fontId="11" fillId="2" borderId="5" xfId="0" applyNumberFormat="1" applyFont="1" applyFill="1" applyBorder="1" applyAlignment="1">
      <alignment horizontal="right" wrapText="1"/>
    </xf>
    <xf numFmtId="0" fontId="13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 vertical="top"/>
    </xf>
    <xf numFmtId="14" fontId="11" fillId="2" borderId="5" xfId="0" applyNumberFormat="1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left"/>
    </xf>
    <xf numFmtId="0" fontId="12" fillId="2" borderId="6" xfId="0" applyFont="1" applyFill="1" applyBorder="1" applyAlignment="1">
      <alignment horizontal="left"/>
    </xf>
    <xf numFmtId="0" fontId="11" fillId="2" borderId="0" xfId="0" applyFont="1" applyFill="1" applyAlignment="1">
      <alignment vertical="top" wrapText="1"/>
    </xf>
    <xf numFmtId="0" fontId="12" fillId="2" borderId="5" xfId="0" applyFont="1" applyFill="1" applyBorder="1" applyAlignment="1">
      <alignment horizontal="right" wrapText="1"/>
    </xf>
    <xf numFmtId="0" fontId="11" fillId="2" borderId="0" xfId="0" applyFont="1" applyFill="1" applyAlignment="1">
      <alignment horizontal="right"/>
    </xf>
    <xf numFmtId="3" fontId="12" fillId="2" borderId="0" xfId="11" applyNumberFormat="1" applyFont="1" applyFill="1" applyBorder="1" applyAlignment="1">
      <alignment horizontal="right" vertical="top" wrapText="1"/>
    </xf>
    <xf numFmtId="168" fontId="12" fillId="2" borderId="0" xfId="6" applyFont="1" applyFill="1"/>
    <xf numFmtId="168" fontId="11" fillId="0" borderId="0" xfId="6" applyFont="1" applyFill="1" applyAlignment="1">
      <alignment horizontal="right"/>
    </xf>
    <xf numFmtId="167" fontId="12" fillId="0" borderId="1" xfId="8" applyNumberFormat="1" applyFont="1" applyFill="1" applyBorder="1" applyAlignment="1"/>
    <xf numFmtId="168" fontId="12" fillId="0" borderId="1" xfId="6" applyFont="1" applyFill="1" applyBorder="1" applyAlignment="1">
      <alignment horizontal="right"/>
    </xf>
    <xf numFmtId="0" fontId="11" fillId="0" borderId="1" xfId="2" applyFont="1" applyFill="1" applyBorder="1" applyAlignment="1">
      <alignment horizontal="right"/>
    </xf>
    <xf numFmtId="164" fontId="12" fillId="0" borderId="0" xfId="4" applyNumberFormat="1" applyFont="1" applyFill="1" applyBorder="1"/>
    <xf numFmtId="0" fontId="11" fillId="0" borderId="0" xfId="5" applyFont="1" applyFill="1" applyAlignment="1">
      <alignment horizontal="right" vertical="top" wrapText="1"/>
    </xf>
    <xf numFmtId="169" fontId="11" fillId="0" borderId="0" xfId="1" applyFont="1" applyFill="1">
      <alignment horizontal="right" vertical="top"/>
    </xf>
    <xf numFmtId="164" fontId="11" fillId="0" borderId="0" xfId="5" applyNumberFormat="1" applyFont="1" applyFill="1">
      <alignment horizontal="left" vertical="top"/>
    </xf>
    <xf numFmtId="169" fontId="11" fillId="0" borderId="0" xfId="1" applyFont="1" applyFill="1" applyAlignment="1">
      <alignment horizontal="left" vertical="top"/>
    </xf>
    <xf numFmtId="164" fontId="12" fillId="0" borderId="3" xfId="5" applyNumberFormat="1" applyFont="1" applyFill="1" applyBorder="1">
      <alignment horizontal="left" vertical="top"/>
    </xf>
    <xf numFmtId="169" fontId="11" fillId="0" borderId="3" xfId="1" applyFont="1" applyFill="1" applyBorder="1" applyAlignment="1">
      <alignment horizontal="left" vertical="top"/>
    </xf>
    <xf numFmtId="0" fontId="12" fillId="0" borderId="3" xfId="5" applyFont="1" applyFill="1" applyBorder="1">
      <alignment horizontal="left" vertical="top"/>
    </xf>
    <xf numFmtId="0" fontId="11" fillId="0" borderId="3" xfId="5" applyFont="1" applyFill="1" applyBorder="1" applyAlignment="1">
      <alignment horizontal="left" vertical="top" wrapText="1"/>
    </xf>
    <xf numFmtId="0" fontId="11" fillId="0" borderId="0" xfId="5" applyFont="1" applyFill="1" applyAlignment="1">
      <alignment horizontal="left" vertical="top" wrapText="1"/>
    </xf>
    <xf numFmtId="0" fontId="11" fillId="0" borderId="0" xfId="0" applyFont="1" applyFill="1"/>
    <xf numFmtId="168" fontId="18" fillId="0" borderId="0" xfId="6" applyFont="1" applyFill="1"/>
    <xf numFmtId="168" fontId="12" fillId="0" borderId="0" xfId="6" applyFont="1" applyFill="1" applyAlignment="1">
      <alignment horizontal="center"/>
    </xf>
    <xf numFmtId="168" fontId="12" fillId="0" borderId="0" xfId="6" applyFont="1" applyFill="1"/>
    <xf numFmtId="0" fontId="12" fillId="2" borderId="5" xfId="0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right"/>
    </xf>
    <xf numFmtId="3" fontId="12" fillId="2" borderId="6" xfId="0" applyNumberFormat="1" applyFont="1" applyFill="1" applyBorder="1" applyAlignment="1">
      <alignment horizontal="right"/>
    </xf>
    <xf numFmtId="170" fontId="11" fillId="2" borderId="0" xfId="10" applyNumberFormat="1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3" fontId="12" fillId="2" borderId="0" xfId="11" applyNumberFormat="1" applyFont="1" applyFill="1" applyBorder="1" applyAlignment="1"/>
    <xf numFmtId="0" fontId="12" fillId="2" borderId="5" xfId="0" applyFont="1" applyFill="1" applyBorder="1" applyAlignment="1">
      <alignment horizontal="right" vertical="top" wrapText="1"/>
    </xf>
    <xf numFmtId="3" fontId="11" fillId="2" borderId="0" xfId="11" applyNumberFormat="1" applyFont="1" applyFill="1" applyBorder="1" applyAlignment="1"/>
    <xf numFmtId="0" fontId="11" fillId="2" borderId="0" xfId="0" quotePrefix="1" applyFont="1" applyFill="1"/>
    <xf numFmtId="3" fontId="12" fillId="2" borderId="0" xfId="1" applyNumberFormat="1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vertical="top"/>
    </xf>
    <xf numFmtId="0" fontId="11" fillId="2" borderId="0" xfId="0" applyFont="1" applyFill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3" fontId="12" fillId="3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/>
    <xf numFmtId="0" fontId="12" fillId="2" borderId="5" xfId="0" applyFont="1" applyFill="1" applyBorder="1" applyAlignment="1">
      <alignment horizontal="center" vertical="top" wrapText="1"/>
    </xf>
    <xf numFmtId="3" fontId="11" fillId="2" borderId="0" xfId="0" applyNumberFormat="1" applyFont="1" applyFill="1" applyBorder="1" applyAlignment="1">
      <alignment horizontal="right" wrapText="1"/>
    </xf>
    <xf numFmtId="0" fontId="14" fillId="2" borderId="0" xfId="0" applyFont="1" applyFill="1" applyBorder="1"/>
    <xf numFmtId="0" fontId="11" fillId="2" borderId="2" xfId="0" applyFont="1" applyFill="1" applyBorder="1"/>
    <xf numFmtId="3" fontId="12" fillId="2" borderId="6" xfId="0" applyNumberFormat="1" applyFont="1" applyFill="1" applyBorder="1"/>
    <xf numFmtId="0" fontId="14" fillId="2" borderId="0" xfId="12" applyFont="1" applyFill="1"/>
    <xf numFmtId="0" fontId="11" fillId="2" borderId="0" xfId="12" applyFont="1" applyFill="1"/>
    <xf numFmtId="0" fontId="11" fillId="2" borderId="0" xfId="12" applyFont="1" applyFill="1" applyBorder="1"/>
    <xf numFmtId="0" fontId="12" fillId="2" borderId="0" xfId="12" applyFont="1" applyFill="1" applyBorder="1" applyAlignment="1">
      <alignment horizontal="left" vertical="top"/>
    </xf>
    <xf numFmtId="3" fontId="12" fillId="2" borderId="0" xfId="12" applyNumberFormat="1" applyFont="1" applyFill="1" applyBorder="1" applyAlignment="1">
      <alignment horizontal="right" vertical="top" wrapText="1"/>
    </xf>
    <xf numFmtId="9" fontId="13" fillId="2" borderId="0" xfId="10" applyFont="1" applyFill="1" applyBorder="1" applyAlignment="1">
      <alignment horizontal="right" vertical="top" wrapText="1"/>
    </xf>
    <xf numFmtId="9" fontId="12" fillId="2" borderId="0" xfId="10" applyFont="1" applyFill="1" applyBorder="1" applyAlignment="1">
      <alignment horizontal="right" vertical="top" wrapText="1"/>
    </xf>
    <xf numFmtId="14" fontId="12" fillId="2" borderId="0" xfId="0" applyNumberFormat="1" applyFont="1" applyFill="1"/>
    <xf numFmtId="0" fontId="12" fillId="2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top" wrapText="1"/>
    </xf>
    <xf numFmtId="9" fontId="11" fillId="2" borderId="0" xfId="10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right" wrapText="1"/>
    </xf>
    <xf numFmtId="0" fontId="11" fillId="2" borderId="6" xfId="0" applyFont="1" applyFill="1" applyBorder="1"/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5" xfId="0" applyNumberFormat="1" applyFont="1" applyFill="1" applyBorder="1" applyAlignment="1">
      <alignment horizontal="right"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70" fontId="12" fillId="2" borderId="6" xfId="10" applyNumberFormat="1" applyFont="1" applyFill="1" applyBorder="1"/>
    <xf numFmtId="171" fontId="11" fillId="2" borderId="0" xfId="11" applyNumberFormat="1" applyFont="1" applyFill="1" applyBorder="1" applyAlignment="1"/>
    <xf numFmtId="10" fontId="11" fillId="2" borderId="0" xfId="11" applyNumberFormat="1" applyFont="1" applyFill="1" applyBorder="1" applyAlignment="1"/>
    <xf numFmtId="0" fontId="14" fillId="2" borderId="2" xfId="0" applyFont="1" applyFill="1" applyBorder="1"/>
    <xf numFmtId="0" fontId="12" fillId="2" borderId="0" xfId="0" applyFont="1" applyFill="1" applyBorder="1" applyAlignment="1">
      <alignment vertical="top"/>
    </xf>
    <xf numFmtId="0" fontId="11" fillId="2" borderId="0" xfId="9" applyFont="1" applyFill="1"/>
    <xf numFmtId="0" fontId="11" fillId="0" borderId="0" xfId="7" applyFont="1" applyFill="1"/>
    <xf numFmtId="0" fontId="12" fillId="2" borderId="6" xfId="0" applyFont="1" applyFill="1" applyBorder="1" applyAlignment="1">
      <alignment vertical="top"/>
    </xf>
    <xf numFmtId="0" fontId="12" fillId="2" borderId="6" xfId="7" applyFont="1" applyFill="1" applyBorder="1" applyAlignment="1">
      <alignment horizontal="justify"/>
    </xf>
    <xf numFmtId="0" fontId="11" fillId="2" borderId="0" xfId="0" applyFont="1" applyFill="1" applyBorder="1" applyAlignment="1">
      <alignment horizontal="left" vertical="center"/>
    </xf>
    <xf numFmtId="14" fontId="12" fillId="2" borderId="0" xfId="0" applyNumberFormat="1" applyFont="1" applyFill="1" applyBorder="1" applyAlignment="1">
      <alignment horizontal="right" vertical="top"/>
    </xf>
    <xf numFmtId="0" fontId="11" fillId="3" borderId="0" xfId="11" applyNumberFormat="1" applyFont="1" applyFill="1" applyBorder="1" applyAlignment="1">
      <alignment horizontal="right" wrapText="1"/>
    </xf>
    <xf numFmtId="3" fontId="11" fillId="3" borderId="0" xfId="11" applyNumberFormat="1" applyFont="1" applyFill="1" applyBorder="1" applyAlignment="1">
      <alignment horizontal="right" wrapText="1"/>
    </xf>
    <xf numFmtId="0" fontId="12" fillId="3" borderId="5" xfId="0" applyFont="1" applyFill="1" applyBorder="1" applyAlignment="1">
      <alignment horizontal="right" wrapText="1"/>
    </xf>
    <xf numFmtId="3" fontId="11" fillId="3" borderId="6" xfId="0" applyNumberFormat="1" applyFont="1" applyFill="1" applyBorder="1"/>
    <xf numFmtId="3" fontId="12" fillId="2" borderId="5" xfId="0" applyNumberFormat="1" applyFont="1" applyFill="1" applyBorder="1" applyAlignment="1">
      <alignment horizontal="right" wrapText="1"/>
    </xf>
    <xf numFmtId="3" fontId="11" fillId="2" borderId="5" xfId="0" applyNumberFormat="1" applyFont="1" applyFill="1" applyBorder="1" applyAlignment="1">
      <alignment horizontal="right" wrapText="1"/>
    </xf>
    <xf numFmtId="171" fontId="11" fillId="2" borderId="0" xfId="11" applyNumberFormat="1" applyFont="1" applyFill="1"/>
    <xf numFmtId="171" fontId="11" fillId="2" borderId="6" xfId="11" applyNumberFormat="1" applyFont="1" applyFill="1" applyBorder="1" applyAlignment="1">
      <alignment horizontal="right" vertical="top" wrapText="1"/>
    </xf>
    <xf numFmtId="14" fontId="12" fillId="0" borderId="5" xfId="0" applyNumberFormat="1" applyFont="1" applyBorder="1" applyAlignment="1">
      <alignment horizontal="right"/>
    </xf>
    <xf numFmtId="14" fontId="11" fillId="0" borderId="5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1" xfId="0" applyFont="1" applyBorder="1"/>
    <xf numFmtId="0" fontId="11" fillId="2" borderId="0" xfId="0" applyFont="1" applyFill="1"/>
    <xf numFmtId="0" fontId="16" fillId="4" borderId="8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horizontal="right"/>
    </xf>
    <xf numFmtId="0" fontId="11" fillId="2" borderId="0" xfId="0" applyFont="1" applyFill="1"/>
    <xf numFmtId="0" fontId="11" fillId="2" borderId="5" xfId="0" applyFont="1" applyFill="1" applyBorder="1" applyAlignment="1">
      <alignment horizontal="left"/>
    </xf>
    <xf numFmtId="0" fontId="20" fillId="3" borderId="0" xfId="0" applyFont="1" applyFill="1"/>
    <xf numFmtId="0" fontId="18" fillId="3" borderId="0" xfId="0" applyFont="1" applyFill="1" applyAlignment="1">
      <alignment horizontal="right"/>
    </xf>
    <xf numFmtId="0" fontId="18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/>
    </xf>
    <xf numFmtId="0" fontId="18" fillId="5" borderId="0" xfId="0" applyFont="1" applyFill="1" applyAlignment="1">
      <alignment horizontal="right"/>
    </xf>
    <xf numFmtId="0" fontId="20" fillId="5" borderId="0" xfId="0" applyFont="1" applyFill="1"/>
    <xf numFmtId="0" fontId="20" fillId="3" borderId="0" xfId="0" applyNumberFormat="1" applyFont="1" applyFill="1"/>
    <xf numFmtId="0" fontId="20" fillId="5" borderId="0" xfId="0" applyFont="1" applyFill="1" applyAlignment="1">
      <alignment horizontal="right"/>
    </xf>
    <xf numFmtId="0" fontId="18" fillId="2" borderId="0" xfId="0" applyFont="1" applyFill="1"/>
    <xf numFmtId="0" fontId="11" fillId="2" borderId="0" xfId="0" applyFont="1" applyFill="1"/>
    <xf numFmtId="3" fontId="11" fillId="3" borderId="4" xfId="0" applyNumberFormat="1" applyFont="1" applyFill="1" applyBorder="1"/>
    <xf numFmtId="3" fontId="11" fillId="3" borderId="0" xfId="0" applyNumberFormat="1" applyFont="1" applyFill="1" applyAlignment="1">
      <alignment horizontal="right"/>
    </xf>
    <xf numFmtId="0" fontId="11" fillId="3" borderId="0" xfId="0" applyFont="1" applyFill="1" applyBorder="1" applyAlignment="1">
      <alignment wrapText="1"/>
    </xf>
    <xf numFmtId="0" fontId="11" fillId="2" borderId="0" xfId="0" applyFont="1" applyFill="1"/>
    <xf numFmtId="0" fontId="14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 wrapText="1"/>
    </xf>
    <xf numFmtId="0" fontId="11" fillId="3" borderId="5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14" fontId="11" fillId="3" borderId="5" xfId="0" applyNumberFormat="1" applyFont="1" applyFill="1" applyBorder="1" applyAlignment="1">
      <alignment horizontal="right"/>
    </xf>
    <xf numFmtId="3" fontId="11" fillId="3" borderId="0" xfId="0" applyNumberFormat="1" applyFont="1" applyFill="1" applyBorder="1" applyAlignment="1">
      <alignment wrapText="1"/>
    </xf>
    <xf numFmtId="0" fontId="11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wrapText="1"/>
    </xf>
    <xf numFmtId="3" fontId="11" fillId="3" borderId="0" xfId="0" applyNumberFormat="1" applyFont="1" applyFill="1" applyBorder="1" applyAlignment="1"/>
    <xf numFmtId="0" fontId="12" fillId="3" borderId="6" xfId="0" applyFont="1" applyFill="1" applyBorder="1" applyAlignment="1"/>
    <xf numFmtId="0" fontId="11" fillId="3" borderId="6" xfId="0" applyFont="1" applyFill="1" applyBorder="1" applyAlignment="1"/>
    <xf numFmtId="0" fontId="11" fillId="2" borderId="0" xfId="0" applyFont="1" applyFill="1"/>
    <xf numFmtId="0" fontId="11" fillId="2" borderId="0" xfId="0" applyFont="1" applyFill="1"/>
    <xf numFmtId="0" fontId="14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/>
    </xf>
    <xf numFmtId="170" fontId="11" fillId="2" borderId="0" xfId="11" applyNumberFormat="1" applyFont="1" applyFill="1" applyBorder="1" applyAlignment="1"/>
    <xf numFmtId="3" fontId="11" fillId="2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167" fontId="11" fillId="0" borderId="0" xfId="8" applyNumberFormat="1" applyFont="1" applyFill="1" applyBorder="1" applyAlignment="1">
      <alignment horizontal="left" vertical="top"/>
    </xf>
    <xf numFmtId="0" fontId="12" fillId="2" borderId="9" xfId="0" applyFont="1" applyFill="1" applyBorder="1" applyAlignment="1">
      <alignment horizontal="left"/>
    </xf>
    <xf numFmtId="171" fontId="12" fillId="2" borderId="0" xfId="11" applyNumberFormat="1" applyFont="1" applyFill="1" applyBorder="1"/>
    <xf numFmtId="0" fontId="5" fillId="0" borderId="0" xfId="0" applyFont="1" applyFill="1"/>
    <xf numFmtId="167" fontId="5" fillId="0" borderId="0" xfId="8" applyNumberFormat="1" applyFont="1" applyFill="1" applyAlignment="1">
      <alignment vertical="top"/>
    </xf>
    <xf numFmtId="0" fontId="5" fillId="0" borderId="0" xfId="5" applyFont="1" applyFill="1">
      <alignment horizontal="left" vertical="top"/>
    </xf>
    <xf numFmtId="0" fontId="5" fillId="0" borderId="0" xfId="5" applyFont="1" applyFill="1" applyAlignment="1">
      <alignment horizontal="left" vertical="top" wrapText="1"/>
    </xf>
    <xf numFmtId="169" fontId="5" fillId="0" borderId="0" xfId="1" applyFont="1" applyFill="1">
      <alignment horizontal="right" vertical="top"/>
    </xf>
    <xf numFmtId="0" fontId="12" fillId="0" borderId="10" xfId="0" applyFont="1" applyBorder="1"/>
    <xf numFmtId="0" fontId="12" fillId="2" borderId="5" xfId="0" applyFont="1" applyFill="1" applyBorder="1" applyAlignment="1">
      <alignment horizontal="right" wrapText="1"/>
    </xf>
    <xf numFmtId="3" fontId="12" fillId="3" borderId="6" xfId="0" applyNumberFormat="1" applyFont="1" applyFill="1" applyBorder="1" applyAlignment="1">
      <alignment horizontal="right"/>
    </xf>
    <xf numFmtId="0" fontId="11" fillId="2" borderId="0" xfId="0" applyFont="1" applyFill="1"/>
    <xf numFmtId="0" fontId="11" fillId="2" borderId="0" xfId="0" applyFont="1" applyFill="1"/>
    <xf numFmtId="0" fontId="12" fillId="3" borderId="5" xfId="0" applyFont="1" applyFill="1" applyBorder="1" applyAlignment="1">
      <alignment horizontal="left"/>
    </xf>
    <xf numFmtId="3" fontId="12" fillId="3" borderId="6" xfId="11" applyNumberFormat="1" applyFont="1" applyFill="1" applyBorder="1" applyAlignment="1">
      <alignment horizontal="right" wrapText="1"/>
    </xf>
    <xf numFmtId="0" fontId="11" fillId="3" borderId="0" xfId="0" applyFont="1" applyFill="1" applyBorder="1" applyAlignment="1">
      <alignment horizontal="right"/>
    </xf>
    <xf numFmtId="14" fontId="12" fillId="0" borderId="0" xfId="0" applyNumberFormat="1" applyFont="1" applyFill="1" applyAlignment="1">
      <alignment horizontal="left"/>
    </xf>
    <xf numFmtId="0" fontId="13" fillId="3" borderId="0" xfId="0" applyFont="1" applyFill="1" applyBorder="1" applyAlignment="1">
      <alignment horizontal="left"/>
    </xf>
    <xf numFmtId="172" fontId="11" fillId="3" borderId="0" xfId="0" applyNumberFormat="1" applyFont="1" applyFill="1"/>
    <xf numFmtId="0" fontId="11" fillId="3" borderId="4" xfId="0" applyFont="1" applyFill="1" applyBorder="1"/>
    <xf numFmtId="3" fontId="11" fillId="3" borderId="0" xfId="0" applyNumberFormat="1" applyFont="1" applyFill="1" applyBorder="1"/>
    <xf numFmtId="3" fontId="11" fillId="3" borderId="0" xfId="7" applyNumberFormat="1" applyFont="1" applyFill="1"/>
    <xf numFmtId="0" fontId="11" fillId="2" borderId="0" xfId="0" applyFont="1" applyFill="1" applyBorder="1" applyAlignment="1">
      <alignment horizontal="left" vertical="top"/>
    </xf>
    <xf numFmtId="0" fontId="11" fillId="3" borderId="0" xfId="0" applyFont="1" applyFill="1"/>
    <xf numFmtId="3" fontId="12" fillId="3" borderId="0" xfId="0" applyNumberFormat="1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wrapText="1"/>
    </xf>
    <xf numFmtId="170" fontId="11" fillId="3" borderId="0" xfId="10" applyNumberFormat="1" applyFont="1" applyFill="1" applyBorder="1" applyAlignment="1"/>
    <xf numFmtId="1" fontId="11" fillId="2" borderId="0" xfId="5" applyNumberFormat="1" applyFont="1" applyFill="1" applyBorder="1" applyAlignment="1"/>
    <xf numFmtId="0" fontId="13" fillId="3" borderId="0" xfId="0" applyFont="1" applyFill="1"/>
    <xf numFmtId="0" fontId="11" fillId="2" borderId="0" xfId="0" applyFont="1" applyFill="1" applyBorder="1" applyAlignment="1">
      <alignment horizontal="left" vertical="top" wrapText="1"/>
    </xf>
    <xf numFmtId="3" fontId="12" fillId="0" borderId="6" xfId="11" applyNumberFormat="1" applyFont="1" applyFill="1" applyBorder="1" applyAlignment="1">
      <alignment horizontal="right"/>
    </xf>
    <xf numFmtId="0" fontId="11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5" fillId="0" borderId="13" xfId="5" applyFont="1" applyFill="1" applyBorder="1">
      <alignment horizontal="left" vertical="top"/>
    </xf>
    <xf numFmtId="0" fontId="27" fillId="3" borderId="0" xfId="0" applyFont="1" applyFill="1" applyBorder="1" applyAlignment="1">
      <alignment vertical="center"/>
    </xf>
    <xf numFmtId="0" fontId="11" fillId="3" borderId="0" xfId="0" quotePrefix="1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right"/>
    </xf>
    <xf numFmtId="0" fontId="28" fillId="3" borderId="13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29" fillId="3" borderId="0" xfId="0" applyFont="1" applyFill="1" applyBorder="1" applyAlignment="1">
      <alignment vertical="top" wrapText="1"/>
    </xf>
    <xf numFmtId="0" fontId="29" fillId="3" borderId="0" xfId="0" applyFont="1" applyFill="1" applyBorder="1" applyAlignment="1">
      <alignment vertical="top"/>
    </xf>
    <xf numFmtId="0" fontId="29" fillId="3" borderId="0" xfId="0" applyFont="1" applyFill="1" applyBorder="1" applyAlignment="1">
      <alignment wrapText="1"/>
    </xf>
    <xf numFmtId="0" fontId="28" fillId="3" borderId="13" xfId="0" applyFont="1" applyFill="1" applyBorder="1" applyAlignment="1">
      <alignment horizontal="right" vertical="center"/>
    </xf>
    <xf numFmtId="0" fontId="29" fillId="3" borderId="13" xfId="0" applyFont="1" applyFill="1" applyBorder="1"/>
    <xf numFmtId="0" fontId="11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right" vertical="top"/>
    </xf>
    <xf numFmtId="0" fontId="29" fillId="3" borderId="0" xfId="0" applyFont="1" applyFill="1" applyBorder="1" applyAlignment="1">
      <alignment horizontal="right" wrapText="1"/>
    </xf>
    <xf numFmtId="0" fontId="12" fillId="3" borderId="13" xfId="0" applyFont="1" applyFill="1" applyBorder="1" applyAlignment="1">
      <alignment horizontal="left"/>
    </xf>
    <xf numFmtId="0" fontId="29" fillId="3" borderId="0" xfId="0" applyFont="1" applyFill="1" applyBorder="1" applyAlignment="1"/>
    <xf numFmtId="0" fontId="29" fillId="3" borderId="0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right" vertical="top" wrapText="1"/>
    </xf>
    <xf numFmtId="0" fontId="30" fillId="3" borderId="0" xfId="0" applyFont="1" applyFill="1" applyBorder="1" applyAlignment="1">
      <alignment horizontal="right" wrapText="1"/>
    </xf>
    <xf numFmtId="0" fontId="30" fillId="3" borderId="0" xfId="0" applyFont="1" applyFill="1" applyBorder="1" applyAlignment="1">
      <alignment horizontal="right"/>
    </xf>
    <xf numFmtId="0" fontId="26" fillId="3" borderId="0" xfId="0" applyFont="1" applyFill="1"/>
    <xf numFmtId="3" fontId="11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>
      <alignment horizontal="left" vertical="top"/>
    </xf>
    <xf numFmtId="3" fontId="12" fillId="3" borderId="0" xfId="5" applyNumberFormat="1" applyFont="1" applyFill="1" applyBorder="1" applyAlignment="1">
      <alignment horizontal="left" vertical="top"/>
    </xf>
    <xf numFmtId="0" fontId="29" fillId="3" borderId="13" xfId="0" applyFont="1" applyFill="1" applyBorder="1" applyAlignment="1">
      <alignment wrapText="1"/>
    </xf>
    <xf numFmtId="3" fontId="11" fillId="3" borderId="0" xfId="1" applyNumberFormat="1" applyFont="1" applyFill="1" applyBorder="1" applyAlignment="1">
      <alignment vertical="top"/>
    </xf>
    <xf numFmtId="3" fontId="12" fillId="3" borderId="0" xfId="1" applyNumberFormat="1" applyFont="1" applyFill="1" applyBorder="1" applyAlignment="1">
      <alignment vertical="top"/>
    </xf>
    <xf numFmtId="0" fontId="31" fillId="3" borderId="0" xfId="0" applyFont="1" applyFill="1" applyBorder="1" applyAlignment="1"/>
    <xf numFmtId="0" fontId="29" fillId="3" borderId="13" xfId="0" applyFont="1" applyFill="1" applyBorder="1" applyAlignment="1">
      <alignment horizontal="right" wrapText="1"/>
    </xf>
    <xf numFmtId="3" fontId="11" fillId="3" borderId="0" xfId="1" applyNumberFormat="1" applyFont="1" applyFill="1" applyBorder="1" applyAlignment="1">
      <alignment horizontal="right" vertical="top"/>
    </xf>
    <xf numFmtId="171" fontId="12" fillId="2" borderId="6" xfId="11" applyNumberFormat="1" applyFont="1" applyFill="1" applyBorder="1"/>
    <xf numFmtId="171" fontId="29" fillId="3" borderId="13" xfId="11" applyNumberFormat="1" applyFont="1" applyFill="1" applyBorder="1" applyAlignment="1">
      <alignment wrapText="1"/>
    </xf>
    <xf numFmtId="0" fontId="30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left" vertical="top"/>
    </xf>
    <xf numFmtId="0" fontId="11" fillId="3" borderId="13" xfId="0" applyFont="1" applyFill="1" applyBorder="1" applyAlignment="1">
      <alignment horizontal="left" vertical="top"/>
    </xf>
    <xf numFmtId="3" fontId="11" fillId="3" borderId="0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/>
    <xf numFmtId="0" fontId="11" fillId="3" borderId="0" xfId="0" applyFont="1" applyFill="1" applyAlignment="1">
      <alignment horizontal="left"/>
    </xf>
    <xf numFmtId="14" fontId="11" fillId="3" borderId="0" xfId="0" applyNumberFormat="1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vertical="top" wrapText="1"/>
    </xf>
    <xf numFmtId="0" fontId="11" fillId="3" borderId="0" xfId="0" applyFont="1" applyFill="1" applyAlignment="1">
      <alignment vertical="top" wrapText="1"/>
    </xf>
    <xf numFmtId="0" fontId="28" fillId="3" borderId="13" xfId="0" applyFont="1" applyFill="1" applyBorder="1" applyAlignment="1"/>
    <xf numFmtId="14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32" fillId="0" borderId="0" xfId="0" applyFont="1" applyAlignment="1">
      <alignment horizontal="justify"/>
    </xf>
    <xf numFmtId="0" fontId="33" fillId="0" borderId="15" xfId="0" applyFont="1" applyBorder="1" applyAlignment="1">
      <alignment horizontal="right" vertical="top"/>
    </xf>
    <xf numFmtId="0" fontId="33" fillId="0" borderId="15" xfId="0" applyFont="1" applyBorder="1" applyAlignment="1">
      <alignment vertical="top"/>
    </xf>
    <xf numFmtId="170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vertical="center" wrapText="1"/>
    </xf>
    <xf numFmtId="170" fontId="34" fillId="0" borderId="0" xfId="0" applyNumberFormat="1" applyFont="1" applyAlignment="1">
      <alignment vertical="center" wrapText="1"/>
    </xf>
    <xf numFmtId="170" fontId="11" fillId="2" borderId="0" xfId="10" applyNumberFormat="1" applyFont="1" applyFill="1" applyAlignment="1">
      <alignment vertical="center"/>
    </xf>
    <xf numFmtId="9" fontId="12" fillId="2" borderId="0" xfId="15" applyFont="1" applyFill="1" applyBorder="1" applyAlignment="1">
      <alignment horizontal="right" vertical="top" wrapText="1"/>
    </xf>
    <xf numFmtId="0" fontId="12" fillId="2" borderId="0" xfId="12" applyFont="1" applyFill="1"/>
    <xf numFmtId="0" fontId="33" fillId="0" borderId="15" xfId="12" applyFont="1" applyBorder="1" applyAlignment="1">
      <alignment vertical="top"/>
    </xf>
    <xf numFmtId="0" fontId="33" fillId="0" borderId="15" xfId="12" applyFont="1" applyBorder="1" applyAlignment="1">
      <alignment horizontal="right" vertical="top"/>
    </xf>
    <xf numFmtId="0" fontId="34" fillId="0" borderId="0" xfId="12" applyFont="1" applyAlignment="1">
      <alignment vertical="center" wrapText="1"/>
    </xf>
    <xf numFmtId="0" fontId="18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right"/>
    </xf>
    <xf numFmtId="2" fontId="11" fillId="3" borderId="4" xfId="0" applyNumberFormat="1" applyFont="1" applyFill="1" applyBorder="1"/>
    <xf numFmtId="14" fontId="11" fillId="2" borderId="5" xfId="0" applyNumberFormat="1" applyFont="1" applyFill="1" applyBorder="1" applyAlignment="1">
      <alignment horizontal="right"/>
    </xf>
    <xf numFmtId="171" fontId="11" fillId="3" borderId="0" xfId="11" applyNumberFormat="1" applyFont="1" applyFill="1" applyBorder="1" applyAlignment="1">
      <alignment horizontal="right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left" vertical="center" indent="3"/>
    </xf>
    <xf numFmtId="0" fontId="12" fillId="2" borderId="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/>
    <xf numFmtId="0" fontId="11" fillId="3" borderId="5" xfId="0" applyFont="1" applyFill="1" applyBorder="1" applyAlignment="1">
      <alignment horizontal="right" wrapText="1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/>
    </xf>
    <xf numFmtId="9" fontId="11" fillId="2" borderId="4" xfId="0" applyNumberFormat="1" applyFont="1" applyFill="1" applyBorder="1" applyAlignment="1">
      <alignment horizontal="right" wrapText="1"/>
    </xf>
    <xf numFmtId="3" fontId="11" fillId="2" borderId="4" xfId="0" applyNumberFormat="1" applyFont="1" applyFill="1" applyBorder="1" applyAlignment="1">
      <alignment horizontal="right" wrapText="1"/>
    </xf>
    <xf numFmtId="10" fontId="34" fillId="0" borderId="0" xfId="16" applyNumberFormat="1" applyFont="1" applyBorder="1" applyAlignment="1">
      <alignment vertical="center" wrapText="1"/>
    </xf>
    <xf numFmtId="10" fontId="34" fillId="0" borderId="0" xfId="16" applyNumberFormat="1" applyFont="1" applyAlignment="1">
      <alignment horizontal="right" vertical="center" wrapText="1"/>
    </xf>
    <xf numFmtId="10" fontId="34" fillId="0" borderId="0" xfId="16" applyNumberFormat="1" applyFont="1" applyAlignment="1">
      <alignment vertical="center" wrapText="1"/>
    </xf>
    <xf numFmtId="10" fontId="11" fillId="2" borderId="0" xfId="16" applyNumberFormat="1" applyFont="1" applyFill="1" applyAlignment="1">
      <alignment vertical="center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 wrapText="1"/>
    </xf>
    <xf numFmtId="0" fontId="11" fillId="3" borderId="0" xfId="0" applyFont="1" applyFill="1"/>
    <xf numFmtId="0" fontId="11" fillId="2" borderId="5" xfId="0" applyFont="1" applyFill="1" applyBorder="1" applyAlignment="1">
      <alignment horizontal="left"/>
    </xf>
    <xf numFmtId="164" fontId="23" fillId="0" borderId="0" xfId="1" applyNumberFormat="1" applyFont="1" applyFill="1" applyBorder="1" applyAlignment="1">
      <alignment vertical="top"/>
    </xf>
    <xf numFmtId="3" fontId="11" fillId="3" borderId="14" xfId="1" applyNumberFormat="1" applyFont="1" applyFill="1" applyBorder="1">
      <alignment horizontal="right" vertical="top"/>
    </xf>
    <xf numFmtId="0" fontId="11" fillId="3" borderId="0" xfId="0" applyFont="1" applyFill="1"/>
    <xf numFmtId="1" fontId="37" fillId="2" borderId="0" xfId="5" applyNumberFormat="1" applyFont="1" applyFill="1" applyAlignment="1"/>
    <xf numFmtId="0" fontId="38" fillId="2" borderId="0" xfId="0" applyFont="1" applyFill="1" applyAlignment="1"/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33" fillId="0" borderId="15" xfId="0" applyFont="1" applyBorder="1" applyAlignment="1">
      <alignment wrapText="1"/>
    </xf>
    <xf numFmtId="171" fontId="11" fillId="2" borderId="0" xfId="11" applyNumberFormat="1" applyFont="1" applyFill="1" applyAlignment="1">
      <alignment vertical="top"/>
    </xf>
    <xf numFmtId="171" fontId="11" fillId="2" borderId="7" xfId="11" applyNumberFormat="1" applyFont="1" applyFill="1" applyBorder="1" applyAlignment="1">
      <alignment vertical="top"/>
    </xf>
    <xf numFmtId="0" fontId="33" fillId="0" borderId="15" xfId="0" applyFont="1" applyBorder="1" applyAlignment="1">
      <alignment horizontal="right" wrapText="1"/>
    </xf>
    <xf numFmtId="0" fontId="11" fillId="0" borderId="0" xfId="0" applyFont="1" applyAlignment="1">
      <alignment horizontal="left"/>
    </xf>
    <xf numFmtId="10" fontId="18" fillId="0" borderId="0" xfId="0" applyNumberFormat="1" applyFont="1"/>
    <xf numFmtId="0" fontId="18" fillId="0" borderId="0" xfId="0" applyFont="1"/>
    <xf numFmtId="0" fontId="14" fillId="0" borderId="0" xfId="0" applyFont="1" applyAlignment="1">
      <alignment horizontal="justify"/>
    </xf>
    <xf numFmtId="10" fontId="22" fillId="0" borderId="0" xfId="0" applyNumberFormat="1" applyFont="1"/>
    <xf numFmtId="0" fontId="22" fillId="0" borderId="0" xfId="0" applyFont="1"/>
    <xf numFmtId="10" fontId="30" fillId="0" borderId="0" xfId="10" applyNumberFormat="1" applyFont="1" applyAlignment="1">
      <alignment vertical="center"/>
    </xf>
    <xf numFmtId="0" fontId="40" fillId="5" borderId="0" xfId="17" applyFill="1" applyAlignment="1">
      <alignment horizontal="right"/>
    </xf>
    <xf numFmtId="0" fontId="40" fillId="3" borderId="0" xfId="17" applyFill="1" applyAlignment="1">
      <alignment horizontal="right"/>
    </xf>
    <xf numFmtId="0" fontId="40" fillId="0" borderId="0" xfId="17" applyFill="1" applyAlignment="1">
      <alignment horizontal="right"/>
    </xf>
    <xf numFmtId="0" fontId="41" fillId="0" borderId="0" xfId="0" applyFont="1" applyBorder="1" applyAlignment="1"/>
    <xf numFmtId="0" fontId="12" fillId="0" borderId="15" xfId="0" applyFont="1" applyBorder="1" applyAlignment="1">
      <alignment wrapText="1"/>
    </xf>
    <xf numFmtId="10" fontId="11" fillId="0" borderId="0" xfId="0" applyNumberFormat="1" applyFont="1"/>
    <xf numFmtId="0" fontId="12" fillId="0" borderId="15" xfId="0" applyFont="1" applyBorder="1" applyAlignment="1">
      <alignment horizontal="right" wrapText="1"/>
    </xf>
    <xf numFmtId="0" fontId="18" fillId="0" borderId="0" xfId="0" applyFont="1" applyFill="1"/>
    <xf numFmtId="10" fontId="34" fillId="3" borderId="0" xfId="10" applyNumberFormat="1" applyFont="1" applyFill="1"/>
    <xf numFmtId="174" fontId="34" fillId="3" borderId="0" xfId="11" applyNumberFormat="1" applyFont="1" applyFill="1"/>
    <xf numFmtId="0" fontId="0" fillId="0" borderId="0" xfId="0" applyFill="1"/>
    <xf numFmtId="0" fontId="3" fillId="0" borderId="0" xfId="12"/>
    <xf numFmtId="0" fontId="34" fillId="3" borderId="0" xfId="12" applyFont="1" applyFill="1" applyAlignment="1">
      <alignment horizontal="left"/>
    </xf>
    <xf numFmtId="14" fontId="42" fillId="3" borderId="0" xfId="12" quotePrefix="1" applyNumberFormat="1" applyFont="1" applyFill="1" applyAlignment="1">
      <alignment horizontal="left" vertical="center"/>
    </xf>
    <xf numFmtId="0" fontId="42" fillId="3" borderId="0" xfId="12" applyFont="1" applyFill="1" applyAlignment="1"/>
    <xf numFmtId="0" fontId="34" fillId="3" borderId="0" xfId="12" applyFont="1" applyFill="1" applyAlignment="1"/>
    <xf numFmtId="0" fontId="34" fillId="3" borderId="0" xfId="12" applyFont="1" applyFill="1"/>
    <xf numFmtId="0" fontId="42" fillId="3" borderId="0" xfId="12" applyFont="1" applyFill="1" applyBorder="1" applyAlignment="1"/>
    <xf numFmtId="0" fontId="42" fillId="3" borderId="0" xfId="12" applyFont="1" applyFill="1" applyBorder="1" applyAlignment="1">
      <alignment wrapText="1"/>
    </xf>
    <xf numFmtId="0" fontId="29" fillId="3" borderId="13" xfId="12" applyFont="1" applyFill="1" applyBorder="1" applyAlignment="1">
      <alignment wrapText="1"/>
    </xf>
    <xf numFmtId="0" fontId="30" fillId="3" borderId="17" xfId="12" applyFont="1" applyFill="1" applyBorder="1" applyAlignment="1">
      <alignment wrapText="1"/>
    </xf>
    <xf numFmtId="0" fontId="30" fillId="3" borderId="19" xfId="12" applyFont="1" applyFill="1" applyBorder="1" applyAlignment="1">
      <alignment wrapText="1"/>
    </xf>
    <xf numFmtId="0" fontId="30" fillId="3" borderId="13" xfId="12" applyFont="1" applyFill="1" applyBorder="1" applyAlignment="1">
      <alignment wrapText="1"/>
    </xf>
    <xf numFmtId="0" fontId="29" fillId="3" borderId="17" xfId="12" applyFont="1" applyFill="1" applyBorder="1" applyAlignment="1">
      <alignment wrapText="1"/>
    </xf>
    <xf numFmtId="0" fontId="29" fillId="3" borderId="19" xfId="12" applyFont="1" applyFill="1" applyBorder="1" applyAlignment="1">
      <alignment wrapText="1"/>
    </xf>
    <xf numFmtId="0" fontId="34" fillId="3" borderId="0" xfId="12" applyFont="1" applyFill="1" applyBorder="1" applyAlignment="1">
      <alignment horizontal="left" vertical="center"/>
    </xf>
    <xf numFmtId="0" fontId="3" fillId="0" borderId="18" xfId="12" applyBorder="1"/>
    <xf numFmtId="0" fontId="3" fillId="0" borderId="0" xfId="12" applyBorder="1"/>
    <xf numFmtId="0" fontId="42" fillId="3" borderId="0" xfId="12" applyFont="1" applyFill="1" applyAlignment="1">
      <alignment horizontal="left" vertical="center"/>
    </xf>
    <xf numFmtId="0" fontId="24" fillId="0" borderId="18" xfId="12" applyFont="1" applyBorder="1"/>
    <xf numFmtId="0" fontId="24" fillId="0" borderId="0" xfId="12" applyFont="1"/>
    <xf numFmtId="0" fontId="34" fillId="3" borderId="0" xfId="12" applyFont="1" applyFill="1" applyAlignment="1">
      <alignment horizontal="left" vertical="center"/>
    </xf>
    <xf numFmtId="0" fontId="34" fillId="3" borderId="0" xfId="12" applyFont="1" applyFill="1" applyAlignment="1">
      <alignment horizontal="right"/>
    </xf>
    <xf numFmtId="0" fontId="29" fillId="3" borderId="13" xfId="12" applyFont="1" applyFill="1" applyBorder="1" applyAlignment="1"/>
    <xf numFmtId="3" fontId="34" fillId="3" borderId="0" xfId="12" applyNumberFormat="1" applyFont="1" applyFill="1"/>
    <xf numFmtId="0" fontId="29" fillId="3" borderId="0" xfId="12" applyFont="1" applyFill="1" applyBorder="1" applyAlignment="1"/>
    <xf numFmtId="0" fontId="18" fillId="2" borderId="0" xfId="12" applyFont="1" applyFill="1"/>
    <xf numFmtId="0" fontId="18" fillId="5" borderId="0" xfId="12" applyFont="1" applyFill="1"/>
    <xf numFmtId="0" fontId="18" fillId="0" borderId="0" xfId="12" applyFont="1" applyFill="1"/>
    <xf numFmtId="0" fontId="11" fillId="3" borderId="0" xfId="0" applyFont="1" applyFill="1"/>
    <xf numFmtId="10" fontId="11" fillId="3" borderId="0" xfId="0" applyNumberFormat="1" applyFont="1" applyFill="1"/>
    <xf numFmtId="10" fontId="11" fillId="3" borderId="0" xfId="1" applyNumberFormat="1" applyFont="1" applyFill="1" applyAlignment="1">
      <alignment vertical="top"/>
    </xf>
    <xf numFmtId="0" fontId="11" fillId="3" borderId="0" xfId="0" applyFont="1" applyFill="1"/>
    <xf numFmtId="0" fontId="11" fillId="3" borderId="0" xfId="0" applyFont="1" applyFill="1"/>
    <xf numFmtId="0" fontId="12" fillId="3" borderId="0" xfId="0" applyFont="1" applyFill="1" applyBorder="1" applyAlignment="1">
      <alignment horizontal="right" wrapText="1"/>
    </xf>
    <xf numFmtId="169" fontId="5" fillId="0" borderId="0" xfId="3" applyNumberFormat="1" applyFont="1" applyFill="1">
      <alignment horizontal="right" vertical="top"/>
    </xf>
    <xf numFmtId="3" fontId="11" fillId="0" borderId="0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 wrapText="1"/>
    </xf>
    <xf numFmtId="3" fontId="26" fillId="3" borderId="0" xfId="11" applyNumberFormat="1" applyFont="1" applyFill="1" applyBorder="1" applyAlignment="1">
      <alignment horizontal="right" wrapText="1"/>
    </xf>
    <xf numFmtId="9" fontId="11" fillId="0" borderId="0" xfId="0" applyNumberFormat="1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169" fontId="12" fillId="0" borderId="0" xfId="1" applyFont="1" applyFill="1">
      <alignment horizontal="right" vertical="top"/>
    </xf>
    <xf numFmtId="3" fontId="29" fillId="0" borderId="0" xfId="0" applyNumberFormat="1" applyFont="1" applyBorder="1"/>
    <xf numFmtId="3" fontId="30" fillId="3" borderId="0" xfId="0" applyNumberFormat="1" applyFont="1" applyFill="1"/>
    <xf numFmtId="3" fontId="30" fillId="3" borderId="0" xfId="0" applyNumberFormat="1" applyFont="1" applyFill="1" applyBorder="1"/>
    <xf numFmtId="3" fontId="30" fillId="3" borderId="0" xfId="7" applyNumberFormat="1" applyFont="1" applyFill="1"/>
    <xf numFmtId="3" fontId="29" fillId="2" borderId="6" xfId="7" applyNumberFormat="1" applyFont="1" applyFill="1" applyBorder="1"/>
    <xf numFmtId="3" fontId="29" fillId="2" borderId="6" xfId="0" applyNumberFormat="1" applyFont="1" applyFill="1" applyBorder="1"/>
    <xf numFmtId="3" fontId="29" fillId="2" borderId="11" xfId="0" applyNumberFormat="1" applyFont="1" applyFill="1" applyBorder="1"/>
    <xf numFmtId="2" fontId="30" fillId="3" borderId="4" xfId="0" applyNumberFormat="1" applyFont="1" applyFill="1" applyBorder="1"/>
    <xf numFmtId="2" fontId="30" fillId="3" borderId="0" xfId="0" applyNumberFormat="1" applyFont="1" applyFill="1"/>
    <xf numFmtId="3" fontId="30" fillId="3" borderId="0" xfId="0" applyNumberFormat="1" applyFont="1" applyFill="1" applyBorder="1" applyAlignment="1">
      <alignment wrapText="1"/>
    </xf>
    <xf numFmtId="3" fontId="30" fillId="3" borderId="4" xfId="0" applyNumberFormat="1" applyFont="1" applyFill="1" applyBorder="1" applyAlignment="1">
      <alignment wrapText="1"/>
    </xf>
    <xf numFmtId="3" fontId="30" fillId="3" borderId="0" xfId="0" applyNumberFormat="1" applyFont="1" applyFill="1" applyAlignment="1"/>
    <xf numFmtId="3" fontId="30" fillId="0" borderId="0" xfId="0" applyNumberFormat="1" applyFont="1" applyFill="1" applyAlignment="1">
      <alignment horizontal="right"/>
    </xf>
    <xf numFmtId="3" fontId="30" fillId="0" borderId="3" xfId="0" applyNumberFormat="1" applyFont="1" applyFill="1" applyBorder="1" applyAlignment="1">
      <alignment horizontal="right"/>
    </xf>
    <xf numFmtId="169" fontId="30" fillId="0" borderId="0" xfId="1" applyFont="1" applyFill="1">
      <alignment horizontal="right" vertical="top"/>
    </xf>
    <xf numFmtId="0" fontId="11" fillId="0" borderId="0" xfId="0" applyFont="1" applyFill="1"/>
    <xf numFmtId="3" fontId="11" fillId="3" borderId="1" xfId="0" applyNumberFormat="1" applyFont="1" applyFill="1" applyBorder="1" applyAlignment="1">
      <alignment horizontal="right"/>
    </xf>
    <xf numFmtId="0" fontId="11" fillId="0" borderId="0" xfId="0" applyFont="1" applyFill="1"/>
    <xf numFmtId="3" fontId="12" fillId="0" borderId="3" xfId="0" applyNumberFormat="1" applyFont="1" applyFill="1" applyBorder="1" applyAlignment="1">
      <alignment horizontal="right"/>
    </xf>
    <xf numFmtId="3" fontId="12" fillId="0" borderId="0" xfId="0" applyNumberFormat="1" applyFont="1" applyFill="1" applyAlignment="1">
      <alignment horizontal="right"/>
    </xf>
    <xf numFmtId="169" fontId="43" fillId="0" borderId="0" xfId="1" applyFont="1" applyFill="1">
      <alignment horizontal="right" vertical="top"/>
    </xf>
    <xf numFmtId="170" fontId="12" fillId="2" borderId="0" xfId="11" applyNumberFormat="1" applyFont="1" applyFill="1" applyBorder="1" applyAlignment="1"/>
    <xf numFmtId="3" fontId="12" fillId="3" borderId="6" xfId="0" applyNumberFormat="1" applyFont="1" applyFill="1" applyBorder="1"/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24" fillId="7" borderId="0" xfId="0" applyFont="1" applyFill="1" applyAlignment="1">
      <alignment horizontal="center" vertical="center"/>
    </xf>
    <xf numFmtId="0" fontId="11" fillId="0" borderId="0" xfId="0" applyFont="1" applyFill="1"/>
    <xf numFmtId="0" fontId="11" fillId="3" borderId="0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177" fontId="29" fillId="3" borderId="0" xfId="0" applyNumberFormat="1" applyFont="1" applyFill="1" applyBorder="1" applyAlignment="1">
      <alignment wrapText="1"/>
    </xf>
    <xf numFmtId="0" fontId="11" fillId="3" borderId="1" xfId="0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1" xfId="0" applyFont="1" applyFill="1" applyBorder="1"/>
    <xf numFmtId="3" fontId="12" fillId="3" borderId="11" xfId="0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left"/>
    </xf>
    <xf numFmtId="3" fontId="11" fillId="3" borderId="0" xfId="1" applyNumberFormat="1" applyFont="1" applyFill="1">
      <alignment horizontal="right" vertical="top"/>
    </xf>
    <xf numFmtId="3" fontId="11" fillId="3" borderId="1" xfId="1" applyNumberFormat="1" applyFont="1" applyFill="1" applyBorder="1">
      <alignment horizontal="right" vertical="top"/>
    </xf>
    <xf numFmtId="0" fontId="12" fillId="3" borderId="5" xfId="0" applyFont="1" applyFill="1" applyBorder="1" applyAlignment="1"/>
    <xf numFmtId="171" fontId="11" fillId="2" borderId="1" xfId="11" applyNumberFormat="1" applyFont="1" applyFill="1" applyBorder="1"/>
    <xf numFmtId="171" fontId="11" fillId="2" borderId="6" xfId="11" applyNumberFormat="1" applyFont="1" applyFill="1" applyBorder="1" applyAlignment="1">
      <alignment horizontal="right"/>
    </xf>
    <xf numFmtId="3" fontId="11" fillId="2" borderId="14" xfId="0" applyNumberFormat="1" applyFont="1" applyFill="1" applyBorder="1" applyAlignment="1">
      <alignment horizontal="right"/>
    </xf>
    <xf numFmtId="3" fontId="11" fillId="2" borderId="5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3" fontId="11" fillId="2" borderId="6" xfId="0" applyNumberFormat="1" applyFont="1" applyFill="1" applyBorder="1"/>
    <xf numFmtId="170" fontId="11" fillId="2" borderId="6" xfId="10" applyNumberFormat="1" applyFont="1" applyFill="1" applyBorder="1"/>
    <xf numFmtId="0" fontId="11" fillId="2" borderId="6" xfId="0" applyFont="1" applyFill="1" applyBorder="1" applyAlignment="1"/>
    <xf numFmtId="0" fontId="11" fillId="0" borderId="0" xfId="0" applyFont="1" applyFill="1"/>
    <xf numFmtId="3" fontId="15" fillId="0" borderId="4" xfId="18" applyNumberFormat="1" applyFont="1" applyFill="1" applyBorder="1" applyAlignment="1">
      <alignment horizontal="right"/>
    </xf>
    <xf numFmtId="3" fontId="48" fillId="0" borderId="0" xfId="18" applyNumberFormat="1" applyFont="1" applyFill="1" applyBorder="1" applyAlignment="1"/>
    <xf numFmtId="164" fontId="11" fillId="0" borderId="0" xfId="1" applyNumberFormat="1" applyFont="1" applyFill="1" applyBorder="1" applyAlignment="1">
      <alignment horizontal="right" vertical="center"/>
    </xf>
    <xf numFmtId="3" fontId="48" fillId="0" borderId="4" xfId="18" applyNumberFormat="1" applyFont="1" applyFill="1" applyBorder="1" applyAlignment="1"/>
    <xf numFmtId="164" fontId="11" fillId="0" borderId="4" xfId="1" applyNumberFormat="1" applyFont="1" applyFill="1" applyBorder="1" applyAlignment="1">
      <alignment horizontal="right" vertical="center"/>
    </xf>
    <xf numFmtId="3" fontId="15" fillId="0" borderId="6" xfId="18" applyNumberFormat="1" applyFont="1" applyFill="1" applyBorder="1" applyAlignment="1"/>
    <xf numFmtId="164" fontId="11" fillId="0" borderId="6" xfId="1" applyNumberFormat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20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vertical="top" wrapText="1"/>
    </xf>
    <xf numFmtId="0" fontId="12" fillId="0" borderId="6" xfId="0" applyFont="1" applyFill="1" applyBorder="1"/>
    <xf numFmtId="0" fontId="26" fillId="0" borderId="0" xfId="0" applyFont="1" applyFill="1"/>
    <xf numFmtId="0" fontId="12" fillId="0" borderId="0" xfId="21" applyFont="1" applyFill="1" applyAlignment="1">
      <alignment horizontal="left"/>
    </xf>
    <xf numFmtId="0" fontId="12" fillId="0" borderId="0" xfId="20" applyFont="1" applyFill="1" applyBorder="1" applyAlignment="1">
      <alignment vertical="top"/>
    </xf>
    <xf numFmtId="15" fontId="12" fillId="0" borderId="0" xfId="20" quotePrefix="1" applyNumberFormat="1" applyFont="1" applyFill="1" applyBorder="1" applyAlignment="1">
      <alignment horizontal="right"/>
    </xf>
    <xf numFmtId="167" fontId="11" fillId="0" borderId="0" xfId="5" applyNumberFormat="1" applyFont="1" applyFill="1" applyAlignment="1">
      <alignment horizontal="left"/>
    </xf>
    <xf numFmtId="167" fontId="11" fillId="0" borderId="0" xfId="5" quotePrefix="1" applyNumberFormat="1" applyFont="1" applyFill="1" applyAlignment="1">
      <alignment horizontal="left"/>
    </xf>
    <xf numFmtId="0" fontId="11" fillId="0" borderId="4" xfId="5" quotePrefix="1" applyFont="1" applyFill="1" applyBorder="1" applyAlignment="1">
      <alignment horizontal="left"/>
    </xf>
    <xf numFmtId="0" fontId="12" fillId="0" borderId="6" xfId="5" applyFont="1" applyFill="1" applyBorder="1" applyAlignment="1">
      <alignment horizontal="left"/>
    </xf>
    <xf numFmtId="3" fontId="48" fillId="0" borderId="0" xfId="0" applyNumberFormat="1" applyFont="1" applyFill="1" applyAlignment="1">
      <alignment horizontal="right"/>
    </xf>
    <xf numFmtId="0" fontId="11" fillId="0" borderId="0" xfId="5" applyFont="1" applyFill="1" applyBorder="1" applyAlignment="1">
      <alignment horizontal="left" vertical="center" indent="1"/>
    </xf>
    <xf numFmtId="0" fontId="11" fillId="0" borderId="4" xfId="5" applyFont="1" applyFill="1" applyBorder="1" applyAlignment="1">
      <alignment horizontal="left" vertical="center" indent="1"/>
    </xf>
    <xf numFmtId="0" fontId="12" fillId="0" borderId="6" xfId="5" applyFont="1" applyFill="1" applyBorder="1" applyAlignment="1">
      <alignment horizontal="left" vertical="center"/>
    </xf>
    <xf numFmtId="176" fontId="12" fillId="0" borderId="0" xfId="22" applyNumberFormat="1" applyFont="1" applyFill="1" applyBorder="1" applyAlignment="1">
      <alignment horizontal="right" wrapText="1"/>
    </xf>
    <xf numFmtId="0" fontId="15" fillId="0" borderId="4" xfId="0" applyFont="1" applyFill="1" applyBorder="1" applyAlignment="1">
      <alignment wrapText="1"/>
    </xf>
    <xf numFmtId="0" fontId="12" fillId="0" borderId="0" xfId="0" applyFont="1" applyFill="1" applyBorder="1"/>
    <xf numFmtId="3" fontId="12" fillId="0" borderId="0" xfId="11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Font="1" applyFill="1"/>
    <xf numFmtId="3" fontId="15" fillId="0" borderId="0" xfId="18" applyNumberFormat="1" applyFont="1" applyFill="1" applyBorder="1" applyAlignment="1"/>
    <xf numFmtId="0" fontId="12" fillId="2" borderId="11" xfId="0" applyFont="1" applyFill="1" applyBorder="1"/>
    <xf numFmtId="0" fontId="49" fillId="2" borderId="0" xfId="12" applyFont="1" applyFill="1"/>
    <xf numFmtId="0" fontId="20" fillId="3" borderId="0" xfId="12" applyFont="1" applyFill="1"/>
    <xf numFmtId="176" fontId="20" fillId="3" borderId="21" xfId="11" applyNumberFormat="1" applyFont="1" applyFill="1" applyBorder="1"/>
    <xf numFmtId="176" fontId="20" fillId="3" borderId="22" xfId="11" applyNumberFormat="1" applyFont="1" applyFill="1" applyBorder="1"/>
    <xf numFmtId="166" fontId="20" fillId="3" borderId="22" xfId="11" applyFont="1" applyFill="1" applyBorder="1"/>
    <xf numFmtId="170" fontId="20" fillId="3" borderId="22" xfId="10" applyNumberFormat="1" applyFont="1" applyFill="1" applyBorder="1"/>
    <xf numFmtId="176" fontId="20" fillId="3" borderId="23" xfId="11" applyNumberFormat="1" applyFont="1" applyFill="1" applyBorder="1"/>
    <xf numFmtId="176" fontId="20" fillId="3" borderId="24" xfId="11" applyNumberFormat="1" applyFont="1" applyFill="1" applyBorder="1"/>
    <xf numFmtId="166" fontId="20" fillId="3" borderId="24" xfId="11" applyFont="1" applyFill="1" applyBorder="1"/>
    <xf numFmtId="170" fontId="20" fillId="3" borderId="24" xfId="10" applyNumberFormat="1" applyFont="1" applyFill="1" applyBorder="1"/>
    <xf numFmtId="176" fontId="50" fillId="3" borderId="27" xfId="11" applyNumberFormat="1" applyFont="1" applyFill="1" applyBorder="1"/>
    <xf numFmtId="170" fontId="50" fillId="3" borderId="27" xfId="10" applyNumberFormat="1" applyFont="1" applyFill="1" applyBorder="1"/>
    <xf numFmtId="0" fontId="50" fillId="3" borderId="0" xfId="12" applyFont="1" applyFill="1"/>
    <xf numFmtId="176" fontId="20" fillId="3" borderId="28" xfId="11" applyNumberFormat="1" applyFont="1" applyFill="1" applyBorder="1"/>
    <xf numFmtId="176" fontId="20" fillId="3" borderId="29" xfId="11" applyNumberFormat="1" applyFont="1" applyFill="1" applyBorder="1"/>
    <xf numFmtId="176" fontId="20" fillId="3" borderId="30" xfId="11" applyNumberFormat="1" applyFont="1" applyFill="1" applyBorder="1"/>
    <xf numFmtId="43" fontId="20" fillId="3" borderId="30" xfId="11" applyNumberFormat="1" applyFont="1" applyFill="1" applyBorder="1"/>
    <xf numFmtId="176" fontId="20" fillId="3" borderId="31" xfId="11" applyNumberFormat="1" applyFont="1" applyFill="1" applyBorder="1"/>
    <xf numFmtId="43" fontId="20" fillId="3" borderId="22" xfId="11" applyNumberFormat="1" applyFont="1" applyFill="1" applyBorder="1"/>
    <xf numFmtId="176" fontId="20" fillId="3" borderId="32" xfId="11" applyNumberFormat="1" applyFont="1" applyFill="1" applyBorder="1"/>
    <xf numFmtId="43" fontId="20" fillId="3" borderId="24" xfId="11" applyNumberFormat="1" applyFont="1" applyFill="1" applyBorder="1"/>
    <xf numFmtId="176" fontId="50" fillId="3" borderId="26" xfId="11" applyNumberFormat="1" applyFont="1" applyFill="1" applyBorder="1"/>
    <xf numFmtId="176" fontId="50" fillId="3" borderId="33" xfId="11" applyNumberFormat="1" applyFont="1" applyFill="1" applyBorder="1"/>
    <xf numFmtId="170" fontId="20" fillId="3" borderId="27" xfId="10" applyNumberFormat="1" applyFont="1" applyFill="1" applyBorder="1"/>
    <xf numFmtId="176" fontId="18" fillId="3" borderId="30" xfId="11" applyNumberFormat="1" applyFont="1" applyFill="1" applyBorder="1"/>
    <xf numFmtId="176" fontId="20" fillId="3" borderId="36" xfId="11" applyNumberFormat="1" applyFont="1" applyFill="1" applyBorder="1"/>
    <xf numFmtId="176" fontId="20" fillId="3" borderId="37" xfId="11" applyNumberFormat="1" applyFont="1" applyFill="1" applyBorder="1"/>
    <xf numFmtId="176" fontId="20" fillId="3" borderId="38" xfId="11" applyNumberFormat="1" applyFont="1" applyFill="1" applyBorder="1"/>
    <xf numFmtId="170" fontId="20" fillId="3" borderId="38" xfId="10" applyNumberFormat="1" applyFont="1" applyFill="1" applyBorder="1"/>
    <xf numFmtId="176" fontId="50" fillId="3" borderId="39" xfId="11" applyNumberFormat="1" applyFont="1" applyFill="1" applyBorder="1"/>
    <xf numFmtId="176" fontId="50" fillId="3" borderId="40" xfId="11" applyNumberFormat="1" applyFont="1" applyFill="1" applyBorder="1"/>
    <xf numFmtId="170" fontId="50" fillId="3" borderId="34" xfId="10" applyNumberFormat="1" applyFont="1" applyFill="1" applyBorder="1"/>
    <xf numFmtId="176" fontId="50" fillId="3" borderId="34" xfId="11" applyNumberFormat="1" applyFont="1" applyFill="1" applyBorder="1"/>
    <xf numFmtId="166" fontId="20" fillId="3" borderId="38" xfId="11" applyFont="1" applyFill="1" applyBorder="1"/>
    <xf numFmtId="170" fontId="20" fillId="3" borderId="34" xfId="10" applyNumberFormat="1" applyFont="1" applyFill="1" applyBorder="1"/>
    <xf numFmtId="43" fontId="20" fillId="3" borderId="38" xfId="11" applyNumberFormat="1" applyFont="1" applyFill="1" applyBorder="1"/>
    <xf numFmtId="0" fontId="49" fillId="2" borderId="0" xfId="0" applyFont="1" applyFill="1"/>
    <xf numFmtId="0" fontId="33" fillId="0" borderId="41" xfId="12" applyFont="1" applyBorder="1" applyAlignment="1">
      <alignment vertical="center"/>
    </xf>
    <xf numFmtId="10" fontId="33" fillId="0" borderId="41" xfId="16" applyNumberFormat="1" applyFont="1" applyBorder="1" applyAlignment="1">
      <alignment vertical="center" wrapText="1"/>
    </xf>
    <xf numFmtId="10" fontId="33" fillId="0" borderId="41" xfId="16" applyNumberFormat="1" applyFont="1" applyBorder="1" applyAlignment="1">
      <alignment horizontal="right" vertical="center" wrapText="1"/>
    </xf>
    <xf numFmtId="10" fontId="12" fillId="2" borderId="41" xfId="16" applyNumberFormat="1" applyFont="1" applyFill="1" applyBorder="1" applyAlignment="1">
      <alignment vertical="center"/>
    </xf>
    <xf numFmtId="0" fontId="33" fillId="0" borderId="41" xfId="12" applyFont="1" applyBorder="1" applyAlignment="1">
      <alignment vertical="center" wrapText="1"/>
    </xf>
    <xf numFmtId="0" fontId="45" fillId="0" borderId="0" xfId="19"/>
    <xf numFmtId="14" fontId="12" fillId="3" borderId="5" xfId="0" applyNumberFormat="1" applyFont="1" applyFill="1" applyBorder="1" applyAlignment="1">
      <alignment horizontal="left"/>
    </xf>
    <xf numFmtId="0" fontId="51" fillId="4" borderId="8" xfId="0" applyFont="1" applyFill="1" applyBorder="1" applyAlignment="1">
      <alignment horizontal="right"/>
    </xf>
    <xf numFmtId="0" fontId="12" fillId="3" borderId="5" xfId="12" applyFont="1" applyFill="1" applyBorder="1" applyAlignment="1">
      <alignment horizontal="left" wrapText="1"/>
    </xf>
    <xf numFmtId="178" fontId="12" fillId="2" borderId="5" xfId="12" applyNumberFormat="1" applyFont="1" applyFill="1" applyBorder="1" applyAlignment="1">
      <alignment horizontal="right"/>
    </xf>
    <xf numFmtId="178" fontId="12" fillId="2" borderId="5" xfId="12" applyNumberFormat="1" applyFont="1" applyFill="1" applyBorder="1" applyAlignment="1">
      <alignment horizontal="right" vertical="top" wrapText="1"/>
    </xf>
    <xf numFmtId="0" fontId="11" fillId="3" borderId="0" xfId="12" applyFont="1" applyFill="1" applyBorder="1" applyAlignment="1">
      <alignment horizontal="left"/>
    </xf>
    <xf numFmtId="0" fontId="11" fillId="3" borderId="0" xfId="12" applyFont="1" applyFill="1" applyBorder="1" applyAlignment="1">
      <alignment horizontal="left" wrapText="1"/>
    </xf>
    <xf numFmtId="0" fontId="11" fillId="3" borderId="4" xfId="12" applyFont="1" applyFill="1" applyBorder="1" applyAlignment="1">
      <alignment horizontal="left"/>
    </xf>
    <xf numFmtId="0" fontId="12" fillId="3" borderId="4" xfId="12" applyFont="1" applyFill="1" applyBorder="1" applyAlignment="1">
      <alignment horizontal="left"/>
    </xf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0" xfId="0" applyFont="1" applyFill="1" applyBorder="1" applyAlignment="1">
      <alignment horizontal="left" vertical="top" wrapText="1"/>
    </xf>
    <xf numFmtId="0" fontId="29" fillId="3" borderId="0" xfId="0" applyFont="1" applyFill="1" applyBorder="1"/>
    <xf numFmtId="14" fontId="3" fillId="0" borderId="0" xfId="12" applyNumberFormat="1"/>
    <xf numFmtId="14" fontId="11" fillId="3" borderId="0" xfId="0" applyNumberFormat="1" applyFont="1" applyFill="1"/>
    <xf numFmtId="14" fontId="11" fillId="2" borderId="0" xfId="0" applyNumberFormat="1" applyFont="1" applyFill="1"/>
    <xf numFmtId="0" fontId="12" fillId="0" borderId="41" xfId="5" applyFont="1" applyFill="1" applyBorder="1">
      <alignment horizontal="left" vertical="top"/>
    </xf>
    <xf numFmtId="164" fontId="11" fillId="0" borderId="41" xfId="1" applyNumberFormat="1" applyFont="1" applyFill="1" applyBorder="1" applyAlignment="1">
      <alignment vertical="top"/>
    </xf>
    <xf numFmtId="0" fontId="20" fillId="3" borderId="42" xfId="0" applyFont="1" applyFill="1" applyBorder="1" applyAlignment="1">
      <alignment wrapText="1"/>
    </xf>
    <xf numFmtId="0" fontId="20" fillId="3" borderId="43" xfId="0" applyFont="1" applyFill="1" applyBorder="1" applyAlignment="1">
      <alignment vertical="center" wrapText="1"/>
    </xf>
    <xf numFmtId="0" fontId="20" fillId="3" borderId="42" xfId="0" applyFont="1" applyFill="1" applyBorder="1" applyAlignment="1">
      <alignment vertical="center" wrapText="1"/>
    </xf>
    <xf numFmtId="0" fontId="20" fillId="3" borderId="42" xfId="0" applyFont="1" applyFill="1" applyBorder="1"/>
    <xf numFmtId="0" fontId="20" fillId="3" borderId="42" xfId="0" quotePrefix="1" applyFont="1" applyFill="1" applyBorder="1"/>
    <xf numFmtId="0" fontId="20" fillId="3" borderId="22" xfId="0" applyFont="1" applyFill="1" applyBorder="1"/>
    <xf numFmtId="43" fontId="20" fillId="3" borderId="22" xfId="0" applyNumberFormat="1" applyFont="1" applyFill="1" applyBorder="1"/>
    <xf numFmtId="43" fontId="20" fillId="0" borderId="24" xfId="0" applyNumberFormat="1" applyFont="1" applyBorder="1"/>
    <xf numFmtId="0" fontId="50" fillId="3" borderId="25" xfId="0" applyFont="1" applyFill="1" applyBorder="1"/>
    <xf numFmtId="176" fontId="50" fillId="3" borderId="26" xfId="0" applyNumberFormat="1" applyFont="1" applyFill="1" applyBorder="1"/>
    <xf numFmtId="176" fontId="50" fillId="3" borderId="27" xfId="0" applyNumberFormat="1" applyFont="1" applyFill="1" applyBorder="1"/>
    <xf numFmtId="0" fontId="50" fillId="3" borderId="27" xfId="0" applyFont="1" applyFill="1" applyBorder="1"/>
    <xf numFmtId="0" fontId="20" fillId="3" borderId="25" xfId="0" applyFont="1" applyFill="1" applyBorder="1"/>
    <xf numFmtId="0" fontId="20" fillId="3" borderId="25" xfId="0" quotePrefix="1" applyFont="1" applyFill="1" applyBorder="1"/>
    <xf numFmtId="0" fontId="20" fillId="3" borderId="30" xfId="0" applyFont="1" applyFill="1" applyBorder="1"/>
    <xf numFmtId="2" fontId="20" fillId="3" borderId="22" xfId="0" applyNumberFormat="1" applyFont="1" applyFill="1" applyBorder="1"/>
    <xf numFmtId="0" fontId="20" fillId="3" borderId="35" xfId="0" applyFont="1" applyFill="1" applyBorder="1"/>
    <xf numFmtId="2" fontId="20" fillId="3" borderId="38" xfId="0" applyNumberFormat="1" applyFont="1" applyFill="1" applyBorder="1"/>
    <xf numFmtId="0" fontId="50" fillId="3" borderId="42" xfId="0" applyFont="1" applyFill="1" applyBorder="1"/>
    <xf numFmtId="0" fontId="50" fillId="3" borderId="34" xfId="0" applyFont="1" applyFill="1" applyBorder="1"/>
    <xf numFmtId="176" fontId="50" fillId="3" borderId="34" xfId="0" applyNumberFormat="1" applyFont="1" applyFill="1" applyBorder="1"/>
    <xf numFmtId="0" fontId="50" fillId="3" borderId="34" xfId="0" applyFont="1" applyFill="1" applyBorder="1" applyAlignment="1">
      <alignment horizontal="right" vertical="center"/>
    </xf>
    <xf numFmtId="176" fontId="50" fillId="3" borderId="21" xfId="0" applyNumberFormat="1" applyFont="1" applyFill="1" applyBorder="1"/>
    <xf numFmtId="176" fontId="50" fillId="3" borderId="31" xfId="0" applyNumberFormat="1" applyFont="1" applyFill="1" applyBorder="1"/>
    <xf numFmtId="176" fontId="50" fillId="3" borderId="22" xfId="0" applyNumberFormat="1" applyFont="1" applyFill="1" applyBorder="1"/>
    <xf numFmtId="43" fontId="50" fillId="3" borderId="22" xfId="0" applyNumberFormat="1" applyFont="1" applyFill="1" applyBorder="1"/>
    <xf numFmtId="0" fontId="11" fillId="3" borderId="0" xfId="0" applyFont="1" applyFill="1"/>
    <xf numFmtId="3" fontId="26" fillId="3" borderId="0" xfId="11" applyNumberFormat="1" applyFont="1" applyFill="1" applyBorder="1" applyAlignment="1">
      <alignment horizontal="right"/>
    </xf>
    <xf numFmtId="3" fontId="11" fillId="3" borderId="0" xfId="11" applyNumberFormat="1" applyFont="1" applyFill="1" applyBorder="1" applyAlignment="1"/>
    <xf numFmtId="3" fontId="30" fillId="0" borderId="0" xfId="0" applyNumberFormat="1" applyFont="1" applyBorder="1"/>
    <xf numFmtId="3" fontId="30" fillId="0" borderId="10" xfId="0" applyNumberFormat="1" applyFont="1" applyBorder="1"/>
    <xf numFmtId="3" fontId="30" fillId="0" borderId="1" xfId="0" applyNumberFormat="1" applyFont="1" applyBorder="1"/>
    <xf numFmtId="0" fontId="11" fillId="3" borderId="0" xfId="0" applyFont="1" applyFill="1"/>
    <xf numFmtId="0" fontId="11" fillId="0" borderId="0" xfId="0" applyFont="1" applyFill="1"/>
    <xf numFmtId="0" fontId="11" fillId="3" borderId="0" xfId="0" quotePrefix="1" applyFont="1" applyFill="1" applyAlignment="1">
      <alignment horizontal="right" wrapText="1"/>
    </xf>
    <xf numFmtId="0" fontId="11" fillId="0" borderId="0" xfId="0" applyFont="1" applyFill="1"/>
    <xf numFmtId="0" fontId="12" fillId="2" borderId="5" xfId="0" applyFont="1" applyFill="1" applyBorder="1" applyAlignment="1">
      <alignment horizontal="left" wrapText="1"/>
    </xf>
    <xf numFmtId="3" fontId="11" fillId="3" borderId="0" xfId="5" applyNumberFormat="1" applyFont="1" applyFill="1">
      <alignment horizontal="left" vertical="top"/>
    </xf>
    <xf numFmtId="3" fontId="14" fillId="3" borderId="0" xfId="5" applyNumberFormat="1" applyFont="1" applyFill="1">
      <alignment horizontal="left" vertical="top"/>
    </xf>
    <xf numFmtId="0" fontId="11" fillId="3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/>
    </xf>
    <xf numFmtId="0" fontId="12" fillId="0" borderId="5" xfId="0" applyFont="1" applyBorder="1" applyAlignment="1">
      <alignment horizontal="right" wrapText="1"/>
    </xf>
    <xf numFmtId="3" fontId="11" fillId="0" borderId="0" xfId="13" applyNumberFormat="1" applyFont="1"/>
    <xf numFmtId="3" fontId="12" fillId="0" borderId="6" xfId="13" applyNumberFormat="1" applyFont="1" applyBorder="1"/>
    <xf numFmtId="3" fontId="11" fillId="0" borderId="0" xfId="0" applyNumberFormat="1" applyFont="1"/>
    <xf numFmtId="3" fontId="11" fillId="2" borderId="0" xfId="13" applyNumberFormat="1" applyFont="1" applyFill="1"/>
    <xf numFmtId="3" fontId="12" fillId="2" borderId="6" xfId="13" applyNumberFormat="1" applyFont="1" applyFill="1" applyBorder="1"/>
    <xf numFmtId="3" fontId="12" fillId="0" borderId="0" xfId="13" applyNumberFormat="1" applyFont="1"/>
    <xf numFmtId="3" fontId="12" fillId="2" borderId="0" xfId="13" applyNumberFormat="1" applyFont="1" applyFill="1"/>
    <xf numFmtId="3" fontId="11" fillId="0" borderId="6" xfId="13" applyNumberFormat="1" applyFont="1" applyBorder="1"/>
    <xf numFmtId="3" fontId="11" fillId="2" borderId="6" xfId="13" applyNumberFormat="1" applyFont="1" applyFill="1" applyBorder="1"/>
    <xf numFmtId="0" fontId="11" fillId="2" borderId="0" xfId="5" applyFont="1" applyFill="1">
      <alignment horizontal="left" vertical="top"/>
    </xf>
    <xf numFmtId="171" fontId="11" fillId="2" borderId="0" xfId="11" applyNumberFormat="1" applyFont="1" applyFill="1" applyAlignment="1">
      <alignment horizontal="left" vertical="top"/>
    </xf>
    <xf numFmtId="0" fontId="11" fillId="2" borderId="7" xfId="5" applyFont="1" applyFill="1" applyBorder="1">
      <alignment horizontal="left" vertical="top"/>
    </xf>
    <xf numFmtId="3" fontId="11" fillId="0" borderId="16" xfId="11" applyNumberFormat="1" applyFont="1" applyBorder="1" applyAlignment="1">
      <alignment horizontal="right" vertical="top" wrapText="1"/>
    </xf>
    <xf numFmtId="171" fontId="11" fillId="2" borderId="6" xfId="11" applyNumberFormat="1" applyFont="1" applyFill="1" applyBorder="1"/>
    <xf numFmtId="3" fontId="3" fillId="0" borderId="0" xfId="12" applyNumberFormat="1"/>
    <xf numFmtId="0" fontId="11" fillId="3" borderId="0" xfId="0" applyFont="1" applyFill="1"/>
    <xf numFmtId="49" fontId="29" fillId="0" borderId="0" xfId="25" applyNumberFormat="1" applyFont="1" applyAlignment="1">
      <alignment wrapText="1"/>
    </xf>
    <xf numFmtId="0" fontId="12" fillId="0" borderId="6" xfId="20" applyFont="1" applyBorder="1" applyAlignment="1">
      <alignment horizontal="right" wrapText="1"/>
    </xf>
    <xf numFmtId="0" fontId="29" fillId="8" borderId="6" xfId="24" applyFont="1" applyFill="1" applyBorder="1" applyAlignment="1">
      <alignment horizontal="right" wrapText="1"/>
    </xf>
    <xf numFmtId="0" fontId="12" fillId="0" borderId="0" xfId="20" applyFont="1" applyAlignment="1">
      <alignment horizontal="right" wrapText="1"/>
    </xf>
    <xf numFmtId="0" fontId="29" fillId="0" borderId="6" xfId="24" applyFont="1" applyBorder="1" applyAlignment="1">
      <alignment horizontal="right" wrapText="1"/>
    </xf>
    <xf numFmtId="0" fontId="29" fillId="0" borderId="0" xfId="24" applyFont="1" applyAlignment="1">
      <alignment horizontal="left" wrapText="1"/>
    </xf>
    <xf numFmtId="0" fontId="29" fillId="8" borderId="0" xfId="24" applyFont="1" applyFill="1" applyAlignment="1">
      <alignment horizontal="right" wrapText="1"/>
    </xf>
    <xf numFmtId="0" fontId="29" fillId="0" borderId="0" xfId="24" applyFont="1" applyAlignment="1">
      <alignment horizontal="right" wrapText="1"/>
    </xf>
    <xf numFmtId="0" fontId="30" fillId="0" borderId="0" xfId="24" applyFont="1" applyAlignment="1">
      <alignment wrapText="1"/>
    </xf>
    <xf numFmtId="1" fontId="30" fillId="0" borderId="0" xfId="24" applyNumberFormat="1" applyFont="1"/>
    <xf numFmtId="3" fontId="48" fillId="8" borderId="0" xfId="25" applyFont="1" applyFill="1" applyAlignment="1">
      <alignment horizontal="right"/>
    </xf>
    <xf numFmtId="3" fontId="48" fillId="0" borderId="0" xfId="25" applyFont="1" applyAlignment="1">
      <alignment horizontal="right"/>
    </xf>
    <xf numFmtId="1" fontId="29" fillId="0" borderId="0" xfId="24" applyNumberFormat="1" applyFont="1"/>
    <xf numFmtId="0" fontId="30" fillId="0" borderId="0" xfId="24" applyFont="1" applyAlignment="1">
      <alignment horizontal="left" wrapText="1" indent="1"/>
    </xf>
    <xf numFmtId="1" fontId="48" fillId="0" borderId="0" xfId="26" applyNumberFormat="1" applyFont="1"/>
    <xf numFmtId="0" fontId="30" fillId="0" borderId="0" xfId="24" applyFont="1"/>
    <xf numFmtId="0" fontId="29" fillId="0" borderId="6" xfId="24" applyFont="1" applyBorder="1"/>
    <xf numFmtId="1" fontId="30" fillId="0" borderId="6" xfId="26" applyNumberFormat="1" applyFont="1" applyBorder="1"/>
    <xf numFmtId="3" fontId="15" fillId="8" borderId="6" xfId="25" applyFont="1" applyFill="1" applyBorder="1" applyAlignment="1">
      <alignment horizontal="right"/>
    </xf>
    <xf numFmtId="1" fontId="30" fillId="0" borderId="0" xfId="26" applyNumberFormat="1" applyFont="1"/>
    <xf numFmtId="3" fontId="48" fillId="0" borderId="6" xfId="25" applyFont="1" applyBorder="1" applyAlignment="1">
      <alignment horizontal="right"/>
    </xf>
    <xf numFmtId="0" fontId="29" fillId="0" borderId="0" xfId="24" applyFont="1"/>
    <xf numFmtId="0" fontId="11" fillId="0" borderId="0" xfId="27" applyFont="1"/>
    <xf numFmtId="0" fontId="30" fillId="0" borderId="0" xfId="27" applyFont="1"/>
    <xf numFmtId="0" fontId="12" fillId="0" borderId="4" xfId="20" applyFont="1" applyBorder="1" applyAlignment="1">
      <alignment horizontal="right" wrapText="1"/>
    </xf>
    <xf numFmtId="0" fontId="29" fillId="0" borderId="4" xfId="24" applyFont="1" applyBorder="1" applyAlignment="1">
      <alignment horizontal="right" wrapText="1"/>
    </xf>
    <xf numFmtId="3" fontId="30" fillId="2" borderId="0" xfId="0" applyNumberFormat="1" applyFont="1" applyFill="1"/>
    <xf numFmtId="3" fontId="11" fillId="3" borderId="13" xfId="0" applyNumberFormat="1" applyFont="1" applyFill="1" applyBorder="1" applyAlignment="1">
      <alignment horizontal="right" wrapText="1"/>
    </xf>
    <xf numFmtId="0" fontId="11" fillId="0" borderId="0" xfId="5" applyFont="1">
      <alignment horizontal="left" vertical="top"/>
    </xf>
    <xf numFmtId="3" fontId="30" fillId="3" borderId="6" xfId="0" applyNumberFormat="1" applyFont="1" applyFill="1" applyBorder="1" applyAlignment="1"/>
    <xf numFmtId="0" fontId="33" fillId="7" borderId="0" xfId="0" applyFont="1" applyFill="1" applyAlignment="1">
      <alignment horizontal="center" vertical="center"/>
    </xf>
    <xf numFmtId="0" fontId="52" fillId="0" borderId="0" xfId="0" applyFont="1"/>
    <xf numFmtId="0" fontId="52" fillId="0" borderId="0" xfId="0" applyFont="1" applyAlignment="1">
      <alignment horizontal="left" wrapText="1"/>
    </xf>
    <xf numFmtId="0" fontId="52" fillId="0" borderId="0" xfId="0" applyFont="1" applyAlignment="1">
      <alignment horizontal="left" wrapText="1" indent="1"/>
    </xf>
    <xf numFmtId="0" fontId="53" fillId="0" borderId="0" xfId="0" applyFont="1"/>
    <xf numFmtId="0" fontId="11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5" xfId="0" applyFont="1" applyFill="1" applyBorder="1" applyAlignment="1"/>
    <xf numFmtId="3" fontId="26" fillId="3" borderId="0" xfId="0" applyNumberFormat="1" applyFont="1" applyFill="1" applyBorder="1" applyAlignment="1">
      <alignment wrapText="1"/>
    </xf>
    <xf numFmtId="3" fontId="43" fillId="3" borderId="0" xfId="0" applyNumberFormat="1" applyFont="1" applyFill="1" applyBorder="1" applyAlignment="1">
      <alignment wrapText="1"/>
    </xf>
    <xf numFmtId="14" fontId="12" fillId="3" borderId="5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left" wrapText="1"/>
    </xf>
    <xf numFmtId="14" fontId="12" fillId="3" borderId="5" xfId="0" applyNumberFormat="1" applyFont="1" applyFill="1" applyBorder="1" applyAlignment="1">
      <alignment horizontal="right" wrapText="1"/>
    </xf>
    <xf numFmtId="164" fontId="11" fillId="0" borderId="0" xfId="1" applyNumberFormat="1" applyFont="1" applyAlignment="1">
      <alignment horizontal="right" vertical="center"/>
    </xf>
    <xf numFmtId="164" fontId="11" fillId="0" borderId="6" xfId="1" applyNumberFormat="1" applyFont="1" applyBorder="1" applyAlignment="1">
      <alignment horizontal="right" vertical="center"/>
    </xf>
    <xf numFmtId="3" fontId="11" fillId="2" borderId="0" xfId="0" applyNumberFormat="1" applyFont="1" applyFill="1" applyAlignment="1">
      <alignment horizontal="right"/>
    </xf>
    <xf numFmtId="3" fontId="11" fillId="0" borderId="0" xfId="13" applyNumberFormat="1" applyFont="1" applyFill="1"/>
    <xf numFmtId="171" fontId="12" fillId="0" borderId="0" xfId="11" applyNumberFormat="1" applyFont="1" applyFill="1"/>
    <xf numFmtId="0" fontId="11" fillId="0" borderId="0" xfId="0" applyFont="1" applyAlignment="1">
      <alignment vertical="top" wrapText="1"/>
    </xf>
    <xf numFmtId="3" fontId="11" fillId="0" borderId="0" xfId="11" applyNumberFormat="1" applyFont="1" applyAlignment="1">
      <alignment horizontal="right"/>
    </xf>
    <xf numFmtId="0" fontId="12" fillId="0" borderId="6" xfId="0" applyFont="1" applyBorder="1"/>
    <xf numFmtId="3" fontId="12" fillId="0" borderId="6" xfId="11" applyNumberFormat="1" applyFont="1" applyBorder="1" applyAlignment="1">
      <alignment horizontal="right"/>
    </xf>
    <xf numFmtId="171" fontId="11" fillId="2" borderId="44" xfId="11" applyNumberFormat="1" applyFont="1" applyFill="1" applyBorder="1" applyAlignment="1">
      <alignment vertical="top"/>
    </xf>
    <xf numFmtId="3" fontId="30" fillId="3" borderId="0" xfId="0" applyNumberFormat="1" applyFont="1" applyFill="1" applyAlignment="1">
      <alignment wrapText="1"/>
    </xf>
    <xf numFmtId="3" fontId="12" fillId="3" borderId="6" xfId="0" applyNumberFormat="1" applyFont="1" applyFill="1" applyBorder="1" applyAlignment="1">
      <alignment horizontal="right" wrapText="1"/>
    </xf>
    <xf numFmtId="9" fontId="11" fillId="3" borderId="0" xfId="10" applyFont="1" applyFill="1" applyBorder="1" applyAlignment="1">
      <alignment horizontal="right" wrapText="1"/>
    </xf>
    <xf numFmtId="9" fontId="11" fillId="3" borderId="4" xfId="0" applyNumberFormat="1" applyFont="1" applyFill="1" applyBorder="1" applyAlignment="1">
      <alignment horizontal="right" wrapText="1"/>
    </xf>
    <xf numFmtId="0" fontId="18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top" wrapText="1"/>
    </xf>
    <xf numFmtId="9" fontId="11" fillId="3" borderId="0" xfId="0" applyNumberFormat="1" applyFont="1" applyFill="1" applyBorder="1" applyAlignment="1">
      <alignment horizontal="right" wrapText="1"/>
    </xf>
    <xf numFmtId="9" fontId="13" fillId="3" borderId="0" xfId="10" applyFont="1" applyFill="1" applyBorder="1" applyAlignment="1">
      <alignment horizontal="right" vertical="top" wrapText="1"/>
    </xf>
    <xf numFmtId="3" fontId="12" fillId="3" borderId="0" xfId="0" applyNumberFormat="1" applyFont="1" applyFill="1" applyAlignment="1">
      <alignment horizontal="right" vertical="top" wrapText="1"/>
    </xf>
    <xf numFmtId="3" fontId="12" fillId="3" borderId="0" xfId="0" applyNumberFormat="1" applyFont="1" applyFill="1" applyAlignment="1">
      <alignment horizontal="right" vertical="center" wrapText="1"/>
    </xf>
    <xf numFmtId="3" fontId="12" fillId="3" borderId="0" xfId="11" applyNumberFormat="1" applyFont="1" applyFill="1"/>
    <xf numFmtId="170" fontId="12" fillId="3" borderId="0" xfId="11" applyNumberFormat="1" applyFont="1" applyFill="1"/>
    <xf numFmtId="170" fontId="12" fillId="3" borderId="6" xfId="10" applyNumberFormat="1" applyFont="1" applyFill="1" applyBorder="1"/>
    <xf numFmtId="3" fontId="30" fillId="0" borderId="0" xfId="0" applyNumberFormat="1" applyFont="1"/>
    <xf numFmtId="3" fontId="11" fillId="3" borderId="0" xfId="11" applyNumberFormat="1" applyFont="1" applyFill="1"/>
    <xf numFmtId="3" fontId="29" fillId="3" borderId="0" xfId="0" applyNumberFormat="1" applyFont="1" applyFill="1" applyBorder="1"/>
    <xf numFmtId="3" fontId="29" fillId="3" borderId="10" xfId="0" applyNumberFormat="1" applyFont="1" applyFill="1" applyBorder="1"/>
    <xf numFmtId="3" fontId="29" fillId="3" borderId="1" xfId="0" applyNumberFormat="1" applyFont="1" applyFill="1" applyBorder="1"/>
    <xf numFmtId="171" fontId="12" fillId="3" borderId="6" xfId="11" applyNumberFormat="1" applyFont="1" applyFill="1" applyBorder="1" applyAlignment="1">
      <alignment horizontal="right" vertical="top" wrapText="1"/>
    </xf>
    <xf numFmtId="3" fontId="29" fillId="3" borderId="6" xfId="7" applyNumberFormat="1" applyFont="1" applyFill="1" applyBorder="1"/>
    <xf numFmtId="3" fontId="29" fillId="3" borderId="6" xfId="0" applyNumberFormat="1" applyFont="1" applyFill="1" applyBorder="1"/>
    <xf numFmtId="3" fontId="29" fillId="3" borderId="11" xfId="0" applyNumberFormat="1" applyFont="1" applyFill="1" applyBorder="1"/>
    <xf numFmtId="0" fontId="11" fillId="3" borderId="0" xfId="0" applyFont="1" applyFill="1"/>
    <xf numFmtId="170" fontId="20" fillId="3" borderId="30" xfId="10" applyNumberFormat="1" applyFont="1" applyFill="1" applyBorder="1"/>
    <xf numFmtId="3" fontId="11" fillId="0" borderId="0" xfId="12" applyNumberFormat="1" applyFont="1" applyFill="1" applyBorder="1" applyAlignment="1">
      <alignment vertical="top" wrapText="1"/>
    </xf>
    <xf numFmtId="3" fontId="11" fillId="0" borderId="4" xfId="12" applyNumberFormat="1" applyFont="1" applyFill="1" applyBorder="1" applyAlignment="1">
      <alignment vertical="top" wrapText="1"/>
    </xf>
    <xf numFmtId="3" fontId="12" fillId="0" borderId="4" xfId="12" applyNumberFormat="1" applyFont="1" applyFill="1" applyBorder="1" applyAlignment="1">
      <alignment vertical="top" wrapText="1"/>
    </xf>
    <xf numFmtId="0" fontId="11" fillId="3" borderId="0" xfId="0" applyFont="1" applyFill="1" applyBorder="1" applyAlignment="1">
      <alignment horizontal="left" wrapText="1"/>
    </xf>
    <xf numFmtId="3" fontId="12" fillId="3" borderId="6" xfId="0" applyNumberFormat="1" applyFont="1" applyFill="1" applyBorder="1" applyAlignment="1"/>
    <xf numFmtId="0" fontId="12" fillId="3" borderId="6" xfId="0" applyFont="1" applyFill="1" applyBorder="1" applyAlignment="1">
      <alignment horizontal="left"/>
    </xf>
    <xf numFmtId="0" fontId="11" fillId="3" borderId="0" xfId="0" applyFont="1" applyFill="1"/>
    <xf numFmtId="164" fontId="43" fillId="3" borderId="0" xfId="1" applyNumberFormat="1" applyFont="1" applyFill="1" applyBorder="1" applyAlignment="1">
      <alignment vertical="top"/>
    </xf>
    <xf numFmtId="0" fontId="43" fillId="3" borderId="0" xfId="0" applyFont="1" applyFill="1" applyBorder="1"/>
    <xf numFmtId="3" fontId="29" fillId="3" borderId="0" xfId="0" applyNumberFormat="1" applyFont="1" applyFill="1" applyBorder="1" applyAlignment="1">
      <alignment wrapText="1"/>
    </xf>
    <xf numFmtId="14" fontId="12" fillId="3" borderId="0" xfId="0" applyNumberFormat="1" applyFont="1" applyFill="1" applyBorder="1" applyAlignment="1">
      <alignment horizontal="right"/>
    </xf>
    <xf numFmtId="3" fontId="26" fillId="3" borderId="0" xfId="0" applyNumberFormat="1" applyFont="1" applyFill="1" applyBorder="1" applyAlignment="1"/>
    <xf numFmtId="3" fontId="30" fillId="3" borderId="0" xfId="0" applyNumberFormat="1" applyFont="1" applyFill="1" applyBorder="1" applyAlignment="1"/>
    <xf numFmtId="0" fontId="12" fillId="3" borderId="0" xfId="0" applyFont="1" applyFill="1" applyBorder="1" applyAlignment="1"/>
    <xf numFmtId="3" fontId="43" fillId="3" borderId="0" xfId="0" applyNumberFormat="1" applyFont="1" applyFill="1" applyBorder="1" applyAlignment="1"/>
    <xf numFmtId="3" fontId="12" fillId="3" borderId="0" xfId="0" applyNumberFormat="1" applyFont="1" applyFill="1" applyBorder="1" applyAlignment="1">
      <alignment wrapText="1"/>
    </xf>
    <xf numFmtId="3" fontId="29" fillId="3" borderId="0" xfId="0" applyNumberFormat="1" applyFont="1" applyFill="1" applyBorder="1" applyAlignment="1"/>
    <xf numFmtId="171" fontId="34" fillId="3" borderId="0" xfId="11" applyNumberFormat="1" applyFont="1" applyFill="1" applyAlignment="1">
      <alignment horizontal="right"/>
    </xf>
    <xf numFmtId="0" fontId="12" fillId="3" borderId="5" xfId="0" applyFont="1" applyFill="1" applyBorder="1"/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right" vertical="top"/>
    </xf>
    <xf numFmtId="14" fontId="12" fillId="3" borderId="5" xfId="0" applyNumberFormat="1" applyFont="1" applyFill="1" applyBorder="1" applyAlignment="1">
      <alignment horizontal="right" vertical="top"/>
    </xf>
    <xf numFmtId="14" fontId="12" fillId="3" borderId="0" xfId="0" applyNumberFormat="1" applyFont="1" applyFill="1" applyAlignment="1">
      <alignment horizontal="left"/>
    </xf>
    <xf numFmtId="0" fontId="15" fillId="3" borderId="4" xfId="0" applyFont="1" applyFill="1" applyBorder="1" applyAlignment="1">
      <alignment wrapText="1"/>
    </xf>
    <xf numFmtId="3" fontId="15" fillId="3" borderId="4" xfId="18" applyNumberFormat="1" applyFont="1" applyFill="1" applyBorder="1" applyAlignment="1">
      <alignment horizontal="right"/>
    </xf>
    <xf numFmtId="3" fontId="48" fillId="3" borderId="0" xfId="18" applyNumberFormat="1" applyFont="1" applyFill="1" applyBorder="1" applyAlignment="1"/>
    <xf numFmtId="3" fontId="48" fillId="3" borderId="4" xfId="18" applyNumberFormat="1" applyFont="1" applyFill="1" applyBorder="1" applyAlignment="1"/>
    <xf numFmtId="3" fontId="15" fillId="3" borderId="6" xfId="18" applyNumberFormat="1" applyFont="1" applyFill="1" applyBorder="1" applyAlignment="1"/>
    <xf numFmtId="0" fontId="12" fillId="3" borderId="11" xfId="0" applyFont="1" applyFill="1" applyBorder="1"/>
    <xf numFmtId="0" fontId="3" fillId="3" borderId="0" xfId="12" applyFill="1"/>
    <xf numFmtId="0" fontId="11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1" fillId="3" borderId="0" xfId="0" applyFont="1" applyFill="1"/>
    <xf numFmtId="0" fontId="11" fillId="3" borderId="0" xfId="0" applyFont="1" applyFill="1" applyAlignment="1"/>
    <xf numFmtId="0" fontId="49" fillId="3" borderId="0" xfId="0" applyFont="1" applyFill="1"/>
    <xf numFmtId="14" fontId="11" fillId="3" borderId="5" xfId="0" applyNumberFormat="1" applyFont="1" applyFill="1" applyBorder="1" applyAlignment="1">
      <alignment horizontal="right" wrapText="1"/>
    </xf>
    <xf numFmtId="3" fontId="11" fillId="3" borderId="6" xfId="0" applyNumberFormat="1" applyFont="1" applyFill="1" applyBorder="1" applyAlignment="1"/>
    <xf numFmtId="0" fontId="52" fillId="3" borderId="0" xfId="0" applyFont="1" applyFill="1"/>
    <xf numFmtId="0" fontId="52" fillId="3" borderId="0" xfId="0" applyFont="1" applyFill="1" applyAlignment="1">
      <alignment horizontal="left" wrapText="1"/>
    </xf>
    <xf numFmtId="0" fontId="52" fillId="3" borderId="0" xfId="0" applyFont="1" applyFill="1" applyAlignment="1">
      <alignment horizontal="left" wrapText="1" indent="1"/>
    </xf>
    <xf numFmtId="0" fontId="53" fillId="3" borderId="0" xfId="0" applyFont="1" applyFill="1"/>
    <xf numFmtId="0" fontId="53" fillId="3" borderId="0" xfId="0" applyFont="1" applyFill="1" applyAlignment="1">
      <alignment horizontal="left" indent="1"/>
    </xf>
    <xf numFmtId="0" fontId="11" fillId="3" borderId="5" xfId="0" applyFont="1" applyFill="1" applyBorder="1"/>
    <xf numFmtId="0" fontId="11" fillId="3" borderId="0" xfId="5" applyFont="1" applyFill="1">
      <alignment horizontal="left" vertical="top"/>
    </xf>
    <xf numFmtId="164" fontId="11" fillId="3" borderId="0" xfId="1" applyNumberFormat="1" applyFont="1" applyFill="1" applyAlignment="1">
      <alignment vertical="top"/>
    </xf>
    <xf numFmtId="0" fontId="11" fillId="3" borderId="0" xfId="5" applyFont="1" applyFill="1" applyAlignment="1">
      <alignment horizontal="left" vertical="top"/>
    </xf>
    <xf numFmtId="0" fontId="11" fillId="3" borderId="0" xfId="0" applyFont="1" applyFill="1"/>
    <xf numFmtId="0" fontId="11" fillId="3" borderId="0" xfId="0" applyFont="1" applyFill="1"/>
    <xf numFmtId="164" fontId="12" fillId="3" borderId="0" xfId="1" applyNumberFormat="1" applyFont="1" applyFill="1" applyAlignment="1">
      <alignment vertical="top"/>
    </xf>
    <xf numFmtId="164" fontId="43" fillId="3" borderId="0" xfId="1" applyNumberFormat="1" applyFont="1" applyFill="1" applyAlignment="1">
      <alignment vertical="top"/>
    </xf>
    <xf numFmtId="169" fontId="43" fillId="3" borderId="0" xfId="1" applyFont="1" applyFill="1" applyAlignment="1">
      <alignment vertical="top"/>
    </xf>
    <xf numFmtId="3" fontId="12" fillId="3" borderId="0" xfId="0" applyNumberFormat="1" applyFont="1" applyFill="1"/>
    <xf numFmtId="169" fontId="12" fillId="3" borderId="0" xfId="1" applyFont="1" applyFill="1" applyAlignment="1">
      <alignment vertical="top"/>
    </xf>
    <xf numFmtId="3" fontId="12" fillId="3" borderId="14" xfId="1" applyNumberFormat="1" applyFont="1" applyFill="1" applyBorder="1">
      <alignment horizontal="right" vertical="top"/>
    </xf>
    <xf numFmtId="171" fontId="12" fillId="3" borderId="0" xfId="11" applyNumberFormat="1" applyFont="1" applyFill="1" applyBorder="1"/>
    <xf numFmtId="0" fontId="14" fillId="3" borderId="0" xfId="0" applyFont="1" applyFill="1"/>
    <xf numFmtId="3" fontId="14" fillId="3" borderId="0" xfId="1" applyNumberFormat="1" applyFont="1" applyFill="1" applyAlignment="1">
      <alignment horizontal="right"/>
    </xf>
    <xf numFmtId="0" fontId="31" fillId="3" borderId="0" xfId="0" applyFont="1" applyFill="1"/>
    <xf numFmtId="3" fontId="11" fillId="3" borderId="0" xfId="1" applyNumberFormat="1" applyFont="1" applyFill="1" applyAlignment="1">
      <alignment horizontal="right"/>
    </xf>
    <xf numFmtId="3" fontId="12" fillId="3" borderId="0" xfId="1" applyNumberFormat="1" applyFont="1" applyFill="1" applyBorder="1" applyAlignment="1">
      <alignment horizontal="right" vertical="top"/>
    </xf>
    <xf numFmtId="3" fontId="12" fillId="3" borderId="13" xfId="1" applyNumberFormat="1" applyFont="1" applyFill="1" applyBorder="1" applyAlignment="1">
      <alignment horizontal="right"/>
    </xf>
    <xf numFmtId="172" fontId="11" fillId="3" borderId="0" xfId="0" applyNumberFormat="1" applyFont="1" applyFill="1" applyBorder="1"/>
    <xf numFmtId="2" fontId="30" fillId="3" borderId="0" xfId="0" applyNumberFormat="1" applyFont="1" applyFill="1" applyBorder="1"/>
    <xf numFmtId="9" fontId="11" fillId="3" borderId="6" xfId="0" applyNumberFormat="1" applyFont="1" applyFill="1" applyBorder="1" applyAlignment="1">
      <alignment horizontal="right"/>
    </xf>
    <xf numFmtId="0" fontId="11" fillId="3" borderId="6" xfId="0" applyFont="1" applyFill="1" applyBorder="1" applyAlignment="1">
      <alignment horizontal="right"/>
    </xf>
    <xf numFmtId="0" fontId="33" fillId="0" borderId="0" xfId="0" applyFont="1" applyAlignment="1">
      <alignment horizontal="right" vertical="top" wrapText="1"/>
    </xf>
    <xf numFmtId="0" fontId="12" fillId="2" borderId="0" xfId="12" applyFont="1" applyFill="1" applyAlignment="1">
      <alignment horizontal="left" vertical="top"/>
    </xf>
    <xf numFmtId="3" fontId="12" fillId="2" borderId="0" xfId="12" applyNumberFormat="1" applyFont="1" applyFill="1" applyAlignment="1">
      <alignment horizontal="right" vertical="top" wrapText="1"/>
    </xf>
    <xf numFmtId="0" fontId="33" fillId="0" borderId="0" xfId="12" applyFont="1" applyAlignment="1">
      <alignment horizontal="right" vertical="top" wrapText="1"/>
    </xf>
    <xf numFmtId="0" fontId="39" fillId="0" borderId="0" xfId="0" applyFont="1"/>
    <xf numFmtId="0" fontId="11" fillId="2" borderId="0" xfId="12" applyFont="1" applyFill="1" applyAlignment="1">
      <alignment horizontal="left" vertical="top"/>
    </xf>
    <xf numFmtId="0" fontId="50" fillId="3" borderId="0" xfId="12" applyFont="1" applyFill="1" applyAlignment="1">
      <alignment horizontal="left"/>
    </xf>
    <xf numFmtId="0" fontId="20" fillId="3" borderId="42" xfId="12" applyFont="1" applyFill="1" applyBorder="1" applyAlignment="1">
      <alignment wrapText="1"/>
    </xf>
    <xf numFmtId="0" fontId="20" fillId="0" borderId="42" xfId="0" applyFont="1" applyBorder="1" applyAlignment="1">
      <alignment vertical="center" wrapText="1"/>
    </xf>
    <xf numFmtId="166" fontId="20" fillId="0" borderId="22" xfId="11" applyFont="1" applyFill="1" applyBorder="1"/>
    <xf numFmtId="0" fontId="20" fillId="0" borderId="22" xfId="0" applyFont="1" applyBorder="1"/>
    <xf numFmtId="43" fontId="20" fillId="0" borderId="22" xfId="0" applyNumberFormat="1" applyFont="1" applyBorder="1"/>
    <xf numFmtId="166" fontId="20" fillId="0" borderId="24" xfId="11" applyFont="1" applyFill="1" applyBorder="1"/>
    <xf numFmtId="0" fontId="50" fillId="0" borderId="27" xfId="0" applyFont="1" applyBorder="1"/>
    <xf numFmtId="43" fontId="20" fillId="0" borderId="30" xfId="11" applyNumberFormat="1" applyFont="1" applyFill="1" applyBorder="1"/>
    <xf numFmtId="43" fontId="20" fillId="0" borderId="22" xfId="11" applyNumberFormat="1" applyFont="1" applyFill="1" applyBorder="1"/>
    <xf numFmtId="43" fontId="20" fillId="0" borderId="24" xfId="11" applyNumberFormat="1" applyFont="1" applyFill="1" applyBorder="1"/>
    <xf numFmtId="0" fontId="20" fillId="0" borderId="30" xfId="0" applyFont="1" applyBorder="1"/>
    <xf numFmtId="2" fontId="20" fillId="0" borderId="22" xfId="0" applyNumberFormat="1" applyFont="1" applyBorder="1"/>
    <xf numFmtId="2" fontId="20" fillId="0" borderId="38" xfId="0" applyNumberFormat="1" applyFont="1" applyBorder="1"/>
    <xf numFmtId="0" fontId="50" fillId="0" borderId="34" xfId="0" applyFont="1" applyBorder="1"/>
    <xf numFmtId="166" fontId="20" fillId="0" borderId="30" xfId="11" applyFont="1" applyFill="1" applyBorder="1"/>
    <xf numFmtId="166" fontId="20" fillId="0" borderId="38" xfId="11" applyFont="1" applyFill="1" applyBorder="1"/>
    <xf numFmtId="43" fontId="20" fillId="0" borderId="38" xfId="11" applyNumberFormat="1" applyFont="1" applyFill="1" applyBorder="1"/>
    <xf numFmtId="0" fontId="50" fillId="0" borderId="34" xfId="0" applyFont="1" applyBorder="1" applyAlignment="1">
      <alignment horizontal="right" vertical="center"/>
    </xf>
    <xf numFmtId="43" fontId="50" fillId="0" borderId="22" xfId="0" applyNumberFormat="1" applyFont="1" applyBorder="1"/>
    <xf numFmtId="3" fontId="11" fillId="0" borderId="0" xfId="0" applyNumberFormat="1" applyFont="1" applyAlignment="1">
      <alignment horizontal="right"/>
    </xf>
    <xf numFmtId="3" fontId="26" fillId="3" borderId="0" xfId="0" applyNumberFormat="1" applyFont="1" applyFill="1" applyAlignment="1">
      <alignment horizontal="right"/>
    </xf>
    <xf numFmtId="3" fontId="43" fillId="3" borderId="0" xfId="0" applyNumberFormat="1" applyFont="1" applyFill="1" applyAlignment="1">
      <alignment horizontal="right"/>
    </xf>
    <xf numFmtId="0" fontId="40" fillId="2" borderId="0" xfId="17" quotePrefix="1" applyFill="1"/>
    <xf numFmtId="0" fontId="11" fillId="3" borderId="0" xfId="0" applyFont="1" applyFill="1"/>
    <xf numFmtId="14" fontId="11" fillId="0" borderId="0" xfId="0" applyNumberFormat="1" applyFont="1" applyAlignment="1">
      <alignment horizontal="right"/>
    </xf>
    <xf numFmtId="0" fontId="12" fillId="3" borderId="6" xfId="0" applyFont="1" applyFill="1" applyBorder="1"/>
    <xf numFmtId="164" fontId="12" fillId="3" borderId="6" xfId="1" applyNumberFormat="1" applyFont="1" applyFill="1" applyBorder="1" applyAlignment="1">
      <alignment vertical="top"/>
    </xf>
    <xf numFmtId="164" fontId="12" fillId="3" borderId="41" xfId="1" applyNumberFormat="1" applyFont="1" applyFill="1" applyBorder="1" applyAlignment="1">
      <alignment vertical="top"/>
    </xf>
    <xf numFmtId="3" fontId="12" fillId="3" borderId="4" xfId="0" applyNumberFormat="1" applyFont="1" applyFill="1" applyBorder="1"/>
    <xf numFmtId="3" fontId="12" fillId="3" borderId="0" xfId="0" applyNumberFormat="1" applyFont="1" applyFill="1" applyAlignment="1">
      <alignment horizontal="right"/>
    </xf>
    <xf numFmtId="10" fontId="12" fillId="3" borderId="0" xfId="1" applyNumberFormat="1" applyFont="1" applyFill="1" applyAlignment="1">
      <alignment vertical="top"/>
    </xf>
    <xf numFmtId="3" fontId="26" fillId="3" borderId="0" xfId="0" applyNumberFormat="1" applyFont="1" applyFill="1" applyAlignment="1"/>
    <xf numFmtId="3" fontId="26" fillId="3" borderId="4" xfId="0" applyNumberFormat="1" applyFont="1" applyFill="1" applyBorder="1" applyAlignment="1">
      <alignment wrapText="1"/>
    </xf>
    <xf numFmtId="3" fontId="26" fillId="3" borderId="6" xfId="0" applyNumberFormat="1" applyFont="1" applyFill="1" applyBorder="1" applyAlignment="1"/>
    <xf numFmtId="3" fontId="43" fillId="3" borderId="6" xfId="0" applyNumberFormat="1" applyFont="1" applyFill="1" applyBorder="1" applyAlignment="1"/>
    <xf numFmtId="0" fontId="11" fillId="3" borderId="0" xfId="0" applyFont="1" applyFill="1"/>
    <xf numFmtId="3" fontId="29" fillId="3" borderId="6" xfId="0" applyNumberFormat="1" applyFont="1" applyFill="1" applyBorder="1" applyAlignment="1"/>
    <xf numFmtId="164" fontId="11" fillId="3" borderId="6" xfId="1" applyNumberFormat="1" applyFont="1" applyFill="1" applyBorder="1" applyAlignment="1">
      <alignment horizontal="right" vertical="center"/>
    </xf>
    <xf numFmtId="10" fontId="11" fillId="3" borderId="0" xfId="0" applyNumberFormat="1" applyFont="1" applyFill="1" applyBorder="1"/>
    <xf numFmtId="9" fontId="11" fillId="3" borderId="0" xfId="10" applyFont="1" applyFill="1" applyBorder="1"/>
    <xf numFmtId="3" fontId="11" fillId="3" borderId="0" xfId="0" applyNumberFormat="1" applyFont="1" applyFill="1" applyBorder="1" applyAlignment="1">
      <alignment vertical="top"/>
    </xf>
    <xf numFmtId="3" fontId="12" fillId="3" borderId="13" xfId="0" applyNumberFormat="1" applyFont="1" applyFill="1" applyBorder="1" applyAlignment="1">
      <alignment horizontal="right" wrapText="1"/>
    </xf>
    <xf numFmtId="10" fontId="12" fillId="3" borderId="0" xfId="0" applyNumberFormat="1" applyFont="1" applyFill="1"/>
    <xf numFmtId="3" fontId="34" fillId="3" borderId="18" xfId="11" applyNumberFormat="1" applyFont="1" applyFill="1" applyBorder="1" applyAlignment="1">
      <alignment horizontal="right"/>
    </xf>
    <xf numFmtId="3" fontId="34" fillId="3" borderId="0" xfId="12" applyNumberFormat="1" applyFont="1" applyFill="1" applyAlignment="1">
      <alignment horizontal="right"/>
    </xf>
    <xf numFmtId="3" fontId="34" fillId="3" borderId="18" xfId="12" applyNumberFormat="1" applyFont="1" applyFill="1" applyBorder="1"/>
    <xf numFmtId="3" fontId="34" fillId="3" borderId="18" xfId="11" applyNumberFormat="1" applyFont="1" applyFill="1" applyBorder="1"/>
    <xf numFmtId="10" fontId="34" fillId="3" borderId="20" xfId="10" applyNumberFormat="1" applyFont="1" applyFill="1" applyBorder="1"/>
    <xf numFmtId="10" fontId="34" fillId="3" borderId="0" xfId="12" applyNumberFormat="1" applyFont="1" applyFill="1" applyBorder="1"/>
    <xf numFmtId="3" fontId="33" fillId="3" borderId="18" xfId="12" applyNumberFormat="1" applyFont="1" applyFill="1" applyBorder="1" applyAlignment="1">
      <alignment horizontal="right"/>
    </xf>
    <xf numFmtId="174" fontId="33" fillId="3" borderId="20" xfId="12" applyNumberFormat="1" applyFont="1" applyFill="1" applyBorder="1" applyAlignment="1">
      <alignment horizontal="right"/>
    </xf>
    <xf numFmtId="10" fontId="33" fillId="3" borderId="0" xfId="12" applyNumberFormat="1" applyFont="1" applyFill="1" applyBorder="1"/>
    <xf numFmtId="3" fontId="14" fillId="3" borderId="0" xfId="1" applyNumberFormat="1" applyFont="1" applyFill="1">
      <alignment horizontal="right" vertical="top"/>
    </xf>
    <xf numFmtId="3" fontId="12" fillId="3" borderId="13" xfId="1" applyNumberFormat="1" applyFont="1" applyFill="1" applyBorder="1">
      <alignment horizontal="right" vertical="top"/>
    </xf>
    <xf numFmtId="3" fontId="11" fillId="3" borderId="0" xfId="23" applyNumberFormat="1" applyFont="1" applyFill="1"/>
    <xf numFmtId="3" fontId="34" fillId="3" borderId="0" xfId="23" applyNumberFormat="1" applyFont="1" applyFill="1"/>
    <xf numFmtId="3" fontId="14" fillId="3" borderId="0" xfId="0" applyNumberFormat="1" applyFont="1" applyFill="1"/>
    <xf numFmtId="3" fontId="31" fillId="3" borderId="0" xfId="0" applyNumberFormat="1" applyFont="1" applyFill="1"/>
    <xf numFmtId="3" fontId="11" fillId="3" borderId="0" xfId="1" applyNumberFormat="1" applyFont="1" applyFill="1" applyBorder="1">
      <alignment horizontal="right" vertical="top"/>
    </xf>
    <xf numFmtId="3" fontId="14" fillId="3" borderId="0" xfId="1" applyNumberFormat="1" applyFont="1" applyFill="1" applyBorder="1" applyAlignment="1">
      <alignment horizontal="right"/>
    </xf>
    <xf numFmtId="0" fontId="14" fillId="3" borderId="0" xfId="0" applyFont="1" applyFill="1" applyBorder="1"/>
    <xf numFmtId="0" fontId="31" fillId="3" borderId="0" xfId="0" applyFont="1" applyFill="1" applyBorder="1"/>
    <xf numFmtId="3" fontId="23" fillId="0" borderId="0" xfId="0" applyNumberFormat="1" applyFont="1"/>
    <xf numFmtId="0" fontId="12" fillId="3" borderId="0" xfId="0" applyFont="1" applyFill="1"/>
    <xf numFmtId="173" fontId="12" fillId="2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3" fontId="12" fillId="3" borderId="0" xfId="0" applyNumberFormat="1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1" fillId="3" borderId="0" xfId="0" applyFont="1" applyFill="1"/>
    <xf numFmtId="171" fontId="11" fillId="3" borderId="0" xfId="11" applyNumberFormat="1" applyFont="1" applyFill="1" applyBorder="1" applyAlignment="1">
      <alignment horizontal="left" wrapText="1"/>
    </xf>
    <xf numFmtId="167" fontId="12" fillId="0" borderId="1" xfId="4" applyFont="1" applyFill="1" applyBorder="1" applyAlignment="1">
      <alignment horizontal="left"/>
    </xf>
    <xf numFmtId="164" fontId="12" fillId="0" borderId="0" xfId="5" applyNumberFormat="1" applyFont="1" applyFill="1" applyAlignment="1">
      <alignment horizontal="left" vertical="top"/>
    </xf>
    <xf numFmtId="168" fontId="12" fillId="0" borderId="0" xfId="6" applyFont="1" applyFill="1" applyAlignment="1">
      <alignment horizontal="center"/>
    </xf>
    <xf numFmtId="0" fontId="11" fillId="0" borderId="0" xfId="0" applyFont="1" applyFill="1"/>
    <xf numFmtId="0" fontId="29" fillId="0" borderId="0" xfId="24" applyFont="1" applyAlignment="1">
      <alignment horizontal="left" wrapText="1"/>
    </xf>
    <xf numFmtId="0" fontId="29" fillId="0" borderId="4" xfId="24" applyFont="1" applyBorder="1" applyAlignment="1">
      <alignment horizontal="left" wrapText="1"/>
    </xf>
    <xf numFmtId="49" fontId="29" fillId="0" borderId="4" xfId="25" applyNumberFormat="1" applyFont="1" applyBorder="1" applyAlignment="1">
      <alignment horizontal="center" wrapText="1"/>
    </xf>
    <xf numFmtId="0" fontId="29" fillId="0" borderId="4" xfId="25" applyNumberFormat="1" applyFont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top" wrapText="1"/>
    </xf>
    <xf numFmtId="175" fontId="12" fillId="0" borderId="0" xfId="20" quotePrefix="1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left" vertical="top" wrapText="1"/>
    </xf>
    <xf numFmtId="0" fontId="26" fillId="0" borderId="0" xfId="0" applyFont="1" applyAlignment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Alignment="1"/>
    <xf numFmtId="0" fontId="11" fillId="2" borderId="5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49" fontId="11" fillId="2" borderId="0" xfId="0" quotePrefix="1" applyNumberFormat="1" applyFont="1" applyFill="1" applyBorder="1" applyAlignment="1">
      <alignment horizontal="left" vertical="top" wrapText="1"/>
    </xf>
    <xf numFmtId="49" fontId="11" fillId="2" borderId="0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3" fontId="12" fillId="2" borderId="5" xfId="0" applyNumberFormat="1" applyFont="1" applyFill="1" applyBorder="1" applyAlignment="1">
      <alignment horizontal="right" wrapText="1"/>
    </xf>
    <xf numFmtId="169" fontId="23" fillId="0" borderId="0" xfId="1" applyFont="1" applyFill="1" applyAlignment="1">
      <alignment horizontal="center" vertical="top"/>
    </xf>
    <xf numFmtId="0" fontId="29" fillId="3" borderId="0" xfId="0" applyFont="1" applyFill="1" applyBorder="1"/>
    <xf numFmtId="0" fontId="42" fillId="3" borderId="0" xfId="12" applyFont="1" applyFill="1" applyBorder="1" applyAlignment="1">
      <alignment horizontal="center" wrapText="1"/>
    </xf>
    <xf numFmtId="0" fontId="42" fillId="3" borderId="0" xfId="12" applyFont="1" applyFill="1" applyBorder="1" applyAlignment="1">
      <alignment horizontal="center"/>
    </xf>
  </cellXfs>
  <cellStyles count="28"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SheetHeader1" xfId="4" xr:uid="{00000000-0005-0000-0000-000003000000}"/>
    <cellStyle name="EYtext" xfId="5" xr:uid="{00000000-0005-0000-0000-000004000000}"/>
    <cellStyle name="greyed 2" xfId="14" xr:uid="{00000000-0005-0000-0000-000005000000}"/>
    <cellStyle name="Hyperkobling" xfId="17" builtinId="8"/>
    <cellStyle name="Komma" xfId="11" builtinId="3"/>
    <cellStyle name="Komma 2" xfId="13" xr:uid="{00000000-0005-0000-0000-000008000000}"/>
    <cellStyle name="Komma 2 2" xfId="22" xr:uid="{DD14034E-5729-447A-9B6B-3544BE262134}"/>
    <cellStyle name="Komma 3 9" xfId="26" xr:uid="{67080B29-4E49-4BEB-B933-29E92AA0EFCD}"/>
    <cellStyle name="Komma 4 10" xfId="23" xr:uid="{957B1D5C-A20A-4FA6-99B2-D259F076072A}"/>
    <cellStyle name="Normal" xfId="0" builtinId="0"/>
    <cellStyle name="Normal 2" xfId="12" xr:uid="{00000000-0005-0000-0000-00000A000000}"/>
    <cellStyle name="Normal 3 3" xfId="21" xr:uid="{2659E545-534F-4D48-8291-72CAF117C2C1}"/>
    <cellStyle name="Normal 31" xfId="25" xr:uid="{3725D79F-8E29-4BD0-B0CA-05CD6A9A4832}"/>
    <cellStyle name="Normal 4 2 2" xfId="19" xr:uid="{CA7DAD77-7041-42F1-BE0A-360DFC19A35B}"/>
    <cellStyle name="Normal 4 2 2 3" xfId="24" xr:uid="{DCC15930-8E9C-4299-AA94-9B5B12106BBA}"/>
    <cellStyle name="Normal 6 2 3" xfId="27" xr:uid="{80F4B0FB-F6AE-4EC6-9335-A391C9C5FF28}"/>
    <cellStyle name="Normal_Eksempelregnskap Sparebank 1 Gruppen 20051207" xfId="6" xr:uid="{00000000-0005-0000-0000-00000B000000}"/>
    <cellStyle name="Normal_Kopi av bearbeidet notemal pr 280907 begge grupper vs 4" xfId="20" xr:uid="{96BA124E-1451-4FA8-8EA2-8C2ADA8C113D}"/>
    <cellStyle name="Normal_Note 15" xfId="7" xr:uid="{00000000-0005-0000-0000-00000C000000}"/>
    <cellStyle name="Normal_Note 5 til 7" xfId="18" xr:uid="{01DD925E-ADC4-4C01-AE35-FEECC1274607}"/>
    <cellStyle name="Normal_Transaction Foundations Workbook" xfId="8" xr:uid="{00000000-0005-0000-0000-00000D000000}"/>
    <cellStyle name="Normal_Verdipapirnote og derivatnote" xfId="9" xr:uid="{00000000-0005-0000-0000-00000E000000}"/>
    <cellStyle name="Prosent" xfId="10" builtinId="5"/>
    <cellStyle name="Prosent 2" xfId="15" xr:uid="{00000000-0005-0000-0000-000010000000}"/>
    <cellStyle name="Prosent 3" xfId="16" xr:uid="{00000000-0005-0000-0000-00001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41"/>
  <sheetViews>
    <sheetView showGridLines="0" tabSelected="1" zoomScale="90" zoomScaleNormal="90" workbookViewId="0"/>
  </sheetViews>
  <sheetFormatPr baseColWidth="10" defaultColWidth="11" defaultRowHeight="12.75"/>
  <cols>
    <col min="1" max="1" width="9.625" style="196" customWidth="1"/>
    <col min="2" max="2" width="137" style="196" customWidth="1"/>
    <col min="3" max="3" width="17.25" style="196" customWidth="1"/>
    <col min="4" max="4" width="18.875" style="196" customWidth="1"/>
    <col min="5" max="8" width="11" style="385"/>
    <col min="65" max="16384" width="11" style="196"/>
  </cols>
  <sheetData>
    <row r="1" spans="1:5" ht="23.25">
      <c r="A1" s="187" t="s">
        <v>125</v>
      </c>
      <c r="B1" s="188"/>
      <c r="C1" s="188"/>
      <c r="D1" s="557" t="s">
        <v>880</v>
      </c>
      <c r="E1" s="557"/>
    </row>
    <row r="2" spans="1:5">
      <c r="A2" s="189" t="s">
        <v>126</v>
      </c>
      <c r="B2" s="190" t="s">
        <v>127</v>
      </c>
      <c r="C2" s="191" t="s">
        <v>128</v>
      </c>
      <c r="D2" s="191" t="s">
        <v>129</v>
      </c>
      <c r="E2" s="191" t="s">
        <v>885</v>
      </c>
    </row>
    <row r="3" spans="1:5" ht="15">
      <c r="A3" s="197"/>
      <c r="B3" s="194"/>
      <c r="C3" s="198"/>
      <c r="D3" s="198"/>
      <c r="E3" s="198"/>
    </row>
    <row r="4" spans="1:5">
      <c r="A4" s="375">
        <v>1</v>
      </c>
      <c r="B4" s="200" t="s">
        <v>145</v>
      </c>
      <c r="C4" s="199">
        <v>47</v>
      </c>
      <c r="D4" s="199" t="s">
        <v>131</v>
      </c>
      <c r="E4" s="199" t="s">
        <v>887</v>
      </c>
    </row>
    <row r="5" spans="1:5">
      <c r="A5" s="376">
        <v>2</v>
      </c>
      <c r="B5" s="194" t="s">
        <v>148</v>
      </c>
      <c r="C5" s="195">
        <v>48</v>
      </c>
      <c r="D5" s="195" t="s">
        <v>131</v>
      </c>
      <c r="E5" s="195" t="s">
        <v>887</v>
      </c>
    </row>
    <row r="6" spans="1:5">
      <c r="A6" s="375">
        <v>3</v>
      </c>
      <c r="B6" s="200" t="s">
        <v>146</v>
      </c>
      <c r="C6" s="199">
        <v>48</v>
      </c>
      <c r="D6" s="199" t="s">
        <v>131</v>
      </c>
      <c r="E6" s="199" t="s">
        <v>887</v>
      </c>
    </row>
    <row r="7" spans="1:5">
      <c r="A7" s="376">
        <v>4</v>
      </c>
      <c r="B7" s="194" t="s">
        <v>147</v>
      </c>
      <c r="C7" s="195">
        <v>49</v>
      </c>
      <c r="D7" s="195" t="s">
        <v>131</v>
      </c>
      <c r="E7" s="195" t="s">
        <v>887</v>
      </c>
    </row>
    <row r="8" spans="1:5">
      <c r="A8" s="375">
        <v>5</v>
      </c>
      <c r="B8" s="200" t="s">
        <v>190</v>
      </c>
      <c r="C8" s="199">
        <v>50</v>
      </c>
      <c r="D8" s="199" t="s">
        <v>131</v>
      </c>
      <c r="E8" s="199" t="s">
        <v>887</v>
      </c>
    </row>
    <row r="9" spans="1:5">
      <c r="A9" s="376">
        <v>6</v>
      </c>
      <c r="B9" s="196" t="s">
        <v>191</v>
      </c>
      <c r="C9" s="195">
        <v>51</v>
      </c>
      <c r="D9" s="195" t="s">
        <v>131</v>
      </c>
      <c r="E9" s="195" t="s">
        <v>887</v>
      </c>
    </row>
    <row r="10" spans="1:5">
      <c r="A10" s="375">
        <v>7</v>
      </c>
      <c r="B10" s="200" t="s">
        <v>570</v>
      </c>
      <c r="C10" s="199">
        <v>51</v>
      </c>
      <c r="D10" s="199" t="s">
        <v>130</v>
      </c>
      <c r="E10" s="199" t="s">
        <v>886</v>
      </c>
    </row>
    <row r="11" spans="1:5">
      <c r="A11" s="376">
        <v>8</v>
      </c>
      <c r="B11" s="194" t="s">
        <v>149</v>
      </c>
      <c r="C11" s="195">
        <v>52</v>
      </c>
      <c r="D11" s="195" t="s">
        <v>130</v>
      </c>
      <c r="E11" s="195" t="s">
        <v>886</v>
      </c>
    </row>
    <row r="12" spans="1:5">
      <c r="A12" s="375">
        <v>9</v>
      </c>
      <c r="B12" s="200" t="s">
        <v>760</v>
      </c>
      <c r="C12" s="199">
        <v>52</v>
      </c>
      <c r="D12" s="199" t="s">
        <v>130</v>
      </c>
      <c r="E12" s="199" t="s">
        <v>886</v>
      </c>
    </row>
    <row r="13" spans="1:5">
      <c r="A13" s="376">
        <v>10</v>
      </c>
      <c r="B13" s="201" t="s">
        <v>150</v>
      </c>
      <c r="C13" s="195">
        <v>53</v>
      </c>
      <c r="D13" s="195" t="s">
        <v>130</v>
      </c>
      <c r="E13" s="195" t="s">
        <v>886</v>
      </c>
    </row>
    <row r="14" spans="1:5">
      <c r="A14" s="375">
        <v>11</v>
      </c>
      <c r="B14" s="200" t="s">
        <v>151</v>
      </c>
      <c r="C14" s="199">
        <v>54</v>
      </c>
      <c r="D14" s="199" t="s">
        <v>130</v>
      </c>
      <c r="E14" s="199" t="s">
        <v>886</v>
      </c>
    </row>
    <row r="15" spans="1:5">
      <c r="A15" s="376">
        <v>12</v>
      </c>
      <c r="B15" s="194" t="s">
        <v>756</v>
      </c>
      <c r="C15" s="195">
        <v>54</v>
      </c>
      <c r="D15" s="195" t="s">
        <v>131</v>
      </c>
      <c r="E15" s="195" t="s">
        <v>887</v>
      </c>
    </row>
    <row r="16" spans="1:5">
      <c r="A16" s="375">
        <v>13</v>
      </c>
      <c r="B16" s="200" t="s">
        <v>755</v>
      </c>
      <c r="C16" s="199">
        <v>55</v>
      </c>
      <c r="D16" s="199" t="s">
        <v>130</v>
      </c>
      <c r="E16" s="199" t="s">
        <v>886</v>
      </c>
    </row>
    <row r="17" spans="1:64">
      <c r="A17" s="376">
        <v>14</v>
      </c>
      <c r="B17" s="194" t="s">
        <v>754</v>
      </c>
      <c r="C17" s="195">
        <v>55</v>
      </c>
      <c r="D17" s="198" t="s">
        <v>130</v>
      </c>
      <c r="E17" s="198" t="s">
        <v>886</v>
      </c>
    </row>
    <row r="18" spans="1:64">
      <c r="A18" s="375">
        <v>15</v>
      </c>
      <c r="B18" s="200" t="s">
        <v>152</v>
      </c>
      <c r="C18" s="199">
        <v>56</v>
      </c>
      <c r="D18" s="202" t="s">
        <v>130</v>
      </c>
      <c r="E18" s="202" t="s">
        <v>886</v>
      </c>
    </row>
    <row r="19" spans="1:64">
      <c r="A19" s="376">
        <v>16</v>
      </c>
      <c r="B19" s="194" t="s">
        <v>761</v>
      </c>
      <c r="C19" s="195">
        <v>57</v>
      </c>
      <c r="D19" s="198" t="s">
        <v>130</v>
      </c>
      <c r="E19" s="198" t="s">
        <v>886</v>
      </c>
    </row>
    <row r="20" spans="1:64">
      <c r="A20" s="375">
        <v>17</v>
      </c>
      <c r="B20" s="200" t="s">
        <v>552</v>
      </c>
      <c r="C20" s="199">
        <v>60</v>
      </c>
      <c r="D20" s="202" t="s">
        <v>130</v>
      </c>
      <c r="E20" s="202" t="s">
        <v>886</v>
      </c>
    </row>
    <row r="21" spans="1:64">
      <c r="A21" s="376">
        <v>18</v>
      </c>
      <c r="B21" s="411" t="s">
        <v>550</v>
      </c>
      <c r="C21" s="195">
        <v>61</v>
      </c>
      <c r="D21" s="198" t="s">
        <v>130</v>
      </c>
      <c r="E21" s="198" t="s">
        <v>886</v>
      </c>
    </row>
    <row r="22" spans="1:64">
      <c r="A22" s="375">
        <v>19</v>
      </c>
      <c r="B22" s="412" t="s">
        <v>553</v>
      </c>
      <c r="C22" s="199">
        <v>63</v>
      </c>
      <c r="D22" s="202" t="s">
        <v>130</v>
      </c>
      <c r="E22" s="202" t="s">
        <v>886</v>
      </c>
    </row>
    <row r="23" spans="1:64" s="382" customFormat="1">
      <c r="A23" s="377">
        <v>20</v>
      </c>
      <c r="B23" s="413" t="s">
        <v>625</v>
      </c>
      <c r="C23" s="331">
        <v>63</v>
      </c>
      <c r="D23" s="333" t="s">
        <v>130</v>
      </c>
      <c r="E23" s="333" t="s">
        <v>886</v>
      </c>
      <c r="F23" s="385"/>
      <c r="G23" s="385"/>
      <c r="H23" s="385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375">
        <v>21</v>
      </c>
      <c r="B24" s="200" t="s">
        <v>153</v>
      </c>
      <c r="C24" s="199">
        <v>64</v>
      </c>
      <c r="D24" s="202" t="s">
        <v>130</v>
      </c>
      <c r="E24" s="202" t="s">
        <v>886</v>
      </c>
    </row>
    <row r="25" spans="1:64" s="382" customFormat="1">
      <c r="A25" s="377">
        <v>22</v>
      </c>
      <c r="B25" s="332" t="s">
        <v>154</v>
      </c>
      <c r="C25" s="331">
        <v>64</v>
      </c>
      <c r="D25" s="333" t="s">
        <v>130</v>
      </c>
      <c r="E25" s="333" t="s">
        <v>886</v>
      </c>
      <c r="F25" s="385"/>
      <c r="G25" s="385"/>
      <c r="H25" s="38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375">
        <v>23</v>
      </c>
      <c r="B26" s="200" t="s">
        <v>155</v>
      </c>
      <c r="C26" s="199">
        <v>65</v>
      </c>
      <c r="D26" s="202" t="s">
        <v>130</v>
      </c>
      <c r="E26" s="202" t="s">
        <v>886</v>
      </c>
    </row>
    <row r="27" spans="1:64" s="382" customFormat="1">
      <c r="A27" s="377">
        <v>24</v>
      </c>
      <c r="B27" s="332" t="s">
        <v>140</v>
      </c>
      <c r="C27" s="331">
        <v>65</v>
      </c>
      <c r="D27" s="333" t="s">
        <v>130</v>
      </c>
      <c r="E27" s="333" t="s">
        <v>886</v>
      </c>
      <c r="F27" s="385"/>
      <c r="G27" s="385"/>
      <c r="H27" s="385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A28" s="375">
        <v>25</v>
      </c>
      <c r="B28" s="200" t="s">
        <v>141</v>
      </c>
      <c r="C28" s="199">
        <v>66</v>
      </c>
      <c r="D28" s="202" t="s">
        <v>130</v>
      </c>
      <c r="E28" s="202" t="s">
        <v>886</v>
      </c>
    </row>
    <row r="29" spans="1:64" s="382" customFormat="1">
      <c r="A29" s="377">
        <v>26</v>
      </c>
      <c r="B29" s="332" t="s">
        <v>156</v>
      </c>
      <c r="C29" s="331">
        <v>66</v>
      </c>
      <c r="D29" s="333" t="s">
        <v>130</v>
      </c>
      <c r="E29" s="333" t="s">
        <v>886</v>
      </c>
      <c r="F29" s="385"/>
      <c r="G29" s="385"/>
      <c r="H29" s="385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>
      <c r="A30" s="375">
        <v>27</v>
      </c>
      <c r="B30" s="200" t="s">
        <v>157</v>
      </c>
      <c r="C30" s="199">
        <v>66</v>
      </c>
      <c r="D30" s="202" t="s">
        <v>130</v>
      </c>
      <c r="E30" s="202" t="s">
        <v>886</v>
      </c>
    </row>
    <row r="31" spans="1:64">
      <c r="A31" s="377">
        <v>28</v>
      </c>
      <c r="B31" s="332" t="s">
        <v>525</v>
      </c>
      <c r="C31" s="333"/>
      <c r="D31" s="333" t="s">
        <v>131</v>
      </c>
      <c r="E31" s="333" t="s">
        <v>887</v>
      </c>
    </row>
    <row r="32" spans="1:64" s="382" customFormat="1" ht="12.75" customHeight="1">
      <c r="A32" s="375">
        <v>29</v>
      </c>
      <c r="B32" s="200" t="s">
        <v>574</v>
      </c>
      <c r="C32" s="202"/>
      <c r="D32" s="202" t="s">
        <v>131</v>
      </c>
      <c r="E32" s="202" t="s">
        <v>887</v>
      </c>
      <c r="F32" s="385"/>
      <c r="G32" s="385"/>
      <c r="H32" s="385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377">
        <v>30</v>
      </c>
      <c r="B33" s="332" t="s">
        <v>536</v>
      </c>
      <c r="C33" s="333"/>
      <c r="D33" s="333" t="s">
        <v>131</v>
      </c>
      <c r="E33" s="333" t="s">
        <v>887</v>
      </c>
    </row>
    <row r="34" spans="1:64" s="382" customFormat="1">
      <c r="A34" s="375">
        <v>31</v>
      </c>
      <c r="B34" s="200" t="s">
        <v>519</v>
      </c>
      <c r="C34" s="202"/>
      <c r="D34" s="202" t="s">
        <v>131</v>
      </c>
      <c r="E34" s="202" t="s">
        <v>887</v>
      </c>
      <c r="F34" s="333"/>
      <c r="G34" s="333"/>
      <c r="H34" s="333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382" customFormat="1" ht="12.75" customHeight="1">
      <c r="A35" s="377">
        <v>32</v>
      </c>
      <c r="B35" s="332" t="s">
        <v>653</v>
      </c>
      <c r="C35" s="333"/>
      <c r="D35" s="333" t="s">
        <v>131</v>
      </c>
      <c r="E35" s="333" t="s">
        <v>887</v>
      </c>
      <c r="F35" s="385"/>
      <c r="G35" s="385"/>
      <c r="H35" s="38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382" customFormat="1">
      <c r="A36" s="375">
        <v>33</v>
      </c>
      <c r="B36" s="200" t="s">
        <v>789</v>
      </c>
      <c r="C36" s="202"/>
      <c r="D36" s="202" t="s">
        <v>130</v>
      </c>
      <c r="E36" s="202" t="s">
        <v>886</v>
      </c>
      <c r="F36" s="333"/>
      <c r="G36" s="333"/>
      <c r="H36" s="33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41" spans="1:64">
      <c r="B41" s="194"/>
    </row>
  </sheetData>
  <phoneticPr fontId="10" type="noConversion"/>
  <hyperlinks>
    <hyperlink ref="A4" location="'1'!A1" display="'1'!A1" xr:uid="{00000000-0004-0000-0000-000000000000}"/>
    <hyperlink ref="A5" location="'2'!A1" display="'2'!A1" xr:uid="{00000000-0004-0000-0000-000001000000}"/>
    <hyperlink ref="A6" location="'3'!A1" display="'3'!A1" xr:uid="{00000000-0004-0000-0000-000002000000}"/>
    <hyperlink ref="A7" location="'4'!A1" display="'4'!A1" xr:uid="{00000000-0004-0000-0000-000003000000}"/>
    <hyperlink ref="A8" location="'5'!A1" display="'5'!A1" xr:uid="{00000000-0004-0000-0000-000004000000}"/>
    <hyperlink ref="A9" location="'6'!A1" display="'6'!A1" xr:uid="{00000000-0004-0000-0000-000005000000}"/>
    <hyperlink ref="A10" location="'7'!A1" display="'7'!A1" xr:uid="{00000000-0004-0000-0000-000006000000}"/>
    <hyperlink ref="A11" location="'8'!A1" display="'8'!A1" xr:uid="{00000000-0004-0000-0000-000007000000}"/>
    <hyperlink ref="A12" location="'9'!A1" display="'9'!A1" xr:uid="{00000000-0004-0000-0000-000008000000}"/>
    <hyperlink ref="A13" location="'10'!A1" display="'10'!A1" xr:uid="{00000000-0004-0000-0000-000009000000}"/>
    <hyperlink ref="A14" location="'11'!A1" display="'11'!A1" xr:uid="{00000000-0004-0000-0000-00000A000000}"/>
    <hyperlink ref="A15" location="'12'!A1" display="'12'!A1" xr:uid="{00000000-0004-0000-0000-00000B000000}"/>
    <hyperlink ref="A16" location="'13'!A1" display="'13'!A1" xr:uid="{00000000-0004-0000-0000-00000C000000}"/>
    <hyperlink ref="A17" location="'14'!A1" display="'14'!A1" xr:uid="{00000000-0004-0000-0000-00000D000000}"/>
    <hyperlink ref="A18" location="'15'!A1" display="'15'!A1" xr:uid="{00000000-0004-0000-0000-00000E000000}"/>
    <hyperlink ref="A19" location="'16'!A1" display="'16'!A1" xr:uid="{00000000-0004-0000-0000-00000F000000}"/>
    <hyperlink ref="A20" location="'17'!A1" display="'17'!A1" xr:uid="{00000000-0004-0000-0000-000010000000}"/>
    <hyperlink ref="A21" location="'18'!A1" display="'18'!A1" xr:uid="{00000000-0004-0000-0000-000011000000}"/>
    <hyperlink ref="A22" location="'19'!A1" display="'19'!A1" xr:uid="{00000000-0004-0000-0000-000012000000}"/>
    <hyperlink ref="A24" location="'21'!A1" display="'21'!A1" xr:uid="{00000000-0004-0000-0000-000013000000}"/>
    <hyperlink ref="A25" location="'22'!A1" display="'22'!A1" xr:uid="{00000000-0004-0000-0000-000014000000}"/>
    <hyperlink ref="A26" location="'23'!A1" display="'23'!A1" xr:uid="{00000000-0004-0000-0000-000015000000}"/>
    <hyperlink ref="A27" location="'24'!A1" display="'24'!A1" xr:uid="{00000000-0004-0000-0000-000016000000}"/>
    <hyperlink ref="A28" location="'25'!A1" display="'25'!A1" xr:uid="{00000000-0004-0000-0000-000017000000}"/>
    <hyperlink ref="A29" location="'26'!A1" display="'26'!A1" xr:uid="{00000000-0004-0000-0000-000018000000}"/>
    <hyperlink ref="A30" location="'27'!A1" display="'27'!A1" xr:uid="{00000000-0004-0000-0000-000019000000}"/>
    <hyperlink ref="A31" location="'28'!A1" display="'28'!A1" xr:uid="{00000000-0004-0000-0000-00001A000000}"/>
    <hyperlink ref="A32" location="'29'!A1" display="'29'!A1" xr:uid="{00000000-0004-0000-0000-00001B000000}"/>
    <hyperlink ref="A33" location="'30'!A1" display="'30'!A1" xr:uid="{00000000-0004-0000-0000-00001C000000}"/>
    <hyperlink ref="A34" location="'31'!A1" display="'31'!A1" xr:uid="{00000000-0004-0000-0000-00001D000000}"/>
    <hyperlink ref="A23" location="'20'!A1" display="'20'!A1" xr:uid="{00000000-0004-0000-0000-00001E000000}"/>
    <hyperlink ref="A35" location="'32'!A1" display="'32'!A1" xr:uid="{00000000-0004-0000-0000-00001F000000}"/>
    <hyperlink ref="A36" location="'33'!A1" display="'33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Header>&amp;R&amp;"Calibri"&amp;12&amp;KFF9100F O R T R O L I G&amp;1#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pageSetUpPr fitToPage="1"/>
  </sheetPr>
  <dimension ref="A1:F39"/>
  <sheetViews>
    <sheetView showGridLines="0" workbookViewId="0">
      <selection activeCell="H19" sqref="H19"/>
    </sheetView>
  </sheetViews>
  <sheetFormatPr baseColWidth="10" defaultColWidth="11" defaultRowHeight="12"/>
  <cols>
    <col min="1" max="1" width="30.5" style="225" bestFit="1" customWidth="1"/>
    <col min="2" max="2" width="13" style="225" bestFit="1" customWidth="1"/>
    <col min="3" max="3" width="27.875" style="225" customWidth="1"/>
    <col min="4" max="4" width="11" style="17"/>
    <col min="5" max="5" width="15.625" style="17" customWidth="1"/>
    <col min="6" max="16384" width="11" style="17"/>
  </cols>
  <sheetData>
    <row r="1" spans="1:3" ht="21">
      <c r="A1" s="549" t="s">
        <v>783</v>
      </c>
      <c r="B1" s="549"/>
      <c r="C1" s="549"/>
    </row>
    <row r="2" spans="1:3">
      <c r="A2" s="125" t="s">
        <v>110</v>
      </c>
      <c r="B2" s="226"/>
      <c r="C2" s="226"/>
    </row>
    <row r="3" spans="1:3" s="244" customFormat="1">
      <c r="A3" s="125"/>
      <c r="B3" s="226"/>
      <c r="C3" s="226"/>
    </row>
    <row r="4" spans="1:3" s="244" customFormat="1" ht="24.75" thickBot="1">
      <c r="A4" s="617">
        <v>2020</v>
      </c>
      <c r="B4" s="241" t="s">
        <v>123</v>
      </c>
      <c r="C4" s="619" t="s">
        <v>124</v>
      </c>
    </row>
    <row r="5" spans="1:3" s="244" customFormat="1">
      <c r="A5" s="244" t="s">
        <v>17</v>
      </c>
      <c r="B5" s="620">
        <v>101033</v>
      </c>
      <c r="C5" s="620">
        <f>+(B5+B18)/2</f>
        <v>100846</v>
      </c>
    </row>
    <row r="6" spans="1:3" s="244" customFormat="1">
      <c r="A6" s="244" t="s">
        <v>18</v>
      </c>
      <c r="B6" s="620">
        <v>151924</v>
      </c>
      <c r="C6" s="620">
        <f>+(B6+B19)/2</f>
        <v>145250.5</v>
      </c>
    </row>
    <row r="7" spans="1:3" s="244" customFormat="1">
      <c r="A7" s="82" t="s">
        <v>19</v>
      </c>
      <c r="B7" s="621">
        <f>SUM(B5:B6)</f>
        <v>252957</v>
      </c>
      <c r="C7" s="621">
        <f>SUM(C5:C6)</f>
        <v>246096.5</v>
      </c>
    </row>
    <row r="8" spans="1:3" s="244" customFormat="1">
      <c r="A8" s="244" t="s">
        <v>699</v>
      </c>
      <c r="B8" s="622">
        <v>-2215</v>
      </c>
      <c r="C8" s="623">
        <f>+(B8+B21)/2</f>
        <v>-1820.5</v>
      </c>
    </row>
    <row r="9" spans="1:3" s="244" customFormat="1">
      <c r="A9" s="244" t="s">
        <v>700</v>
      </c>
      <c r="B9" s="620">
        <v>-256</v>
      </c>
      <c r="C9" s="623">
        <f>+(B9+B22)/2</f>
        <v>-193</v>
      </c>
    </row>
    <row r="10" spans="1:3" s="244" customFormat="1">
      <c r="A10" s="82" t="s">
        <v>20</v>
      </c>
      <c r="B10" s="621">
        <f>+B7+B8+B9</f>
        <v>250486</v>
      </c>
      <c r="C10" s="624">
        <f>SUM(C7:C9)</f>
        <v>244083</v>
      </c>
    </row>
    <row r="11" spans="1:3" s="244" customFormat="1">
      <c r="B11" s="625"/>
      <c r="C11" s="626"/>
    </row>
    <row r="12" spans="1:3" s="244" customFormat="1">
      <c r="A12" s="244" t="s">
        <v>21</v>
      </c>
      <c r="B12" s="682">
        <v>1</v>
      </c>
      <c r="C12" s="623">
        <f>+(B12+B25)/2</f>
        <v>6</v>
      </c>
    </row>
    <row r="13" spans="1:3" s="244" customFormat="1">
      <c r="A13" s="244" t="s">
        <v>22</v>
      </c>
      <c r="B13" s="620">
        <v>12589</v>
      </c>
      <c r="C13" s="623">
        <f>+(B13+B26)/2</f>
        <v>7865.5</v>
      </c>
    </row>
    <row r="14" spans="1:3" s="244" customFormat="1">
      <c r="A14" s="82" t="s">
        <v>23</v>
      </c>
      <c r="B14" s="624">
        <f>SUM(B10:B13)</f>
        <v>263076</v>
      </c>
      <c r="C14" s="624">
        <f>SUM(C10:C13)</f>
        <v>251954.5</v>
      </c>
    </row>
    <row r="15" spans="1:3" s="244" customFormat="1">
      <c r="A15" s="21"/>
      <c r="B15" s="626"/>
      <c r="C15" s="626"/>
    </row>
    <row r="16" spans="1:3" s="244" customFormat="1">
      <c r="A16" s="21"/>
      <c r="B16" s="626"/>
      <c r="C16" s="626"/>
    </row>
    <row r="17" spans="1:6" ht="24.75" thickBot="1">
      <c r="A17" s="617">
        <v>2019</v>
      </c>
      <c r="B17" s="241" t="s">
        <v>123</v>
      </c>
      <c r="C17" s="619" t="s">
        <v>124</v>
      </c>
    </row>
    <row r="18" spans="1:6" ht="13.5" customHeight="1">
      <c r="A18" s="244" t="s">
        <v>17</v>
      </c>
      <c r="B18" s="620">
        <v>100659</v>
      </c>
      <c r="C18" s="620">
        <v>99239.5</v>
      </c>
    </row>
    <row r="19" spans="1:6">
      <c r="A19" s="244" t="s">
        <v>18</v>
      </c>
      <c r="B19" s="620">
        <v>138577</v>
      </c>
      <c r="C19" s="620">
        <v>132820.5</v>
      </c>
    </row>
    <row r="20" spans="1:6">
      <c r="A20" s="157" t="s">
        <v>19</v>
      </c>
      <c r="B20" s="627">
        <f>SUM(B18:B19)</f>
        <v>239236</v>
      </c>
      <c r="C20" s="627">
        <f>C18+C19</f>
        <v>232060</v>
      </c>
    </row>
    <row r="21" spans="1:6">
      <c r="A21" s="244" t="s">
        <v>699</v>
      </c>
      <c r="B21" s="69">
        <v>-1426</v>
      </c>
      <c r="C21" s="623">
        <v>-1326.5</v>
      </c>
    </row>
    <row r="22" spans="1:6">
      <c r="A22" s="244" t="s">
        <v>700</v>
      </c>
      <c r="B22" s="623">
        <v>-130</v>
      </c>
      <c r="C22" s="623">
        <v>-118.5</v>
      </c>
    </row>
    <row r="23" spans="1:6">
      <c r="A23" s="157" t="s">
        <v>20</v>
      </c>
      <c r="B23" s="628">
        <f>+B20+B21+B22</f>
        <v>237680</v>
      </c>
      <c r="C23" s="628">
        <f>+C20+C21+C22</f>
        <v>230615</v>
      </c>
    </row>
    <row r="24" spans="1:6">
      <c r="A24" s="244"/>
      <c r="B24" s="626"/>
      <c r="C24" s="626"/>
    </row>
    <row r="25" spans="1:6">
      <c r="A25" s="244" t="s">
        <v>21</v>
      </c>
      <c r="B25" s="623">
        <v>11</v>
      </c>
      <c r="C25" s="623">
        <v>364</v>
      </c>
      <c r="F25" s="21"/>
    </row>
    <row r="26" spans="1:6">
      <c r="A26" s="244" t="s">
        <v>22</v>
      </c>
      <c r="B26" s="623">
        <v>3142</v>
      </c>
      <c r="C26" s="623">
        <v>2419</v>
      </c>
    </row>
    <row r="27" spans="1:6">
      <c r="A27" s="157" t="s">
        <v>23</v>
      </c>
      <c r="B27" s="628">
        <f>SUM(B23:B26)</f>
        <v>240833</v>
      </c>
      <c r="C27" s="628">
        <f>SUM(C23:C26)</f>
        <v>233398</v>
      </c>
    </row>
    <row r="28" spans="1:6">
      <c r="A28" s="244"/>
      <c r="B28" s="244"/>
      <c r="C28" s="244"/>
    </row>
    <row r="29" spans="1:6">
      <c r="A29" s="244"/>
      <c r="B29" s="244"/>
      <c r="C29" s="244"/>
    </row>
    <row r="32" spans="1:6">
      <c r="A32" s="244" t="s">
        <v>784</v>
      </c>
    </row>
    <row r="33" spans="1:1">
      <c r="A33" s="244" t="s">
        <v>785</v>
      </c>
    </row>
    <row r="39" spans="1:1">
      <c r="A39" s="129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  <ignoredErrors>
    <ignoredError sqref="C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pageSetUpPr fitToPage="1"/>
  </sheetPr>
  <dimension ref="A1:H36"/>
  <sheetViews>
    <sheetView zoomScaleNormal="100" workbookViewId="0">
      <selection activeCell="H19" sqref="H19"/>
    </sheetView>
  </sheetViews>
  <sheetFormatPr baseColWidth="10" defaultColWidth="11" defaultRowHeight="12"/>
  <cols>
    <col min="1" max="1" width="29.875" style="17" customWidth="1"/>
    <col min="2" max="2" width="2.75" style="17" customWidth="1"/>
    <col min="3" max="3" width="7.625" style="17" customWidth="1"/>
    <col min="4" max="4" width="9.5" style="17" customWidth="1"/>
    <col min="5" max="5" width="7.625" style="17" customWidth="1"/>
    <col min="6" max="6" width="7.625" style="14" customWidth="1"/>
    <col min="7" max="7" width="11" style="17"/>
    <col min="8" max="8" width="21.25" style="17" customWidth="1"/>
    <col min="9" max="16384" width="11" style="17"/>
  </cols>
  <sheetData>
    <row r="1" spans="1:6" ht="21">
      <c r="A1" s="549" t="s">
        <v>137</v>
      </c>
      <c r="B1" s="228"/>
      <c r="C1" s="233"/>
      <c r="D1" s="228"/>
      <c r="E1" s="228"/>
    </row>
    <row r="2" spans="1:6" s="244" customFormat="1">
      <c r="A2" s="228" t="s">
        <v>110</v>
      </c>
      <c r="B2" s="343"/>
      <c r="C2" s="95"/>
      <c r="D2" s="343"/>
      <c r="E2" s="343"/>
      <c r="F2" s="14"/>
    </row>
    <row r="3" spans="1:6">
      <c r="B3" s="228"/>
      <c r="C3" s="59"/>
      <c r="D3" s="78"/>
      <c r="E3" s="78"/>
    </row>
    <row r="4" spans="1:6" s="244" customFormat="1" ht="36.75" thickBot="1">
      <c r="A4" s="617">
        <v>2020</v>
      </c>
      <c r="B4" s="120"/>
      <c r="C4" s="120" t="s">
        <v>122</v>
      </c>
      <c r="D4" s="241" t="s">
        <v>109</v>
      </c>
      <c r="E4" s="120" t="s">
        <v>5</v>
      </c>
      <c r="F4" s="14"/>
    </row>
    <row r="5" spans="1:6" s="244" customFormat="1">
      <c r="A5" s="244" t="s">
        <v>834</v>
      </c>
      <c r="B5" s="629"/>
      <c r="C5" s="630">
        <v>2909</v>
      </c>
      <c r="D5" s="365">
        <v>1010</v>
      </c>
      <c r="E5" s="365">
        <f>+C5+D5</f>
        <v>3919</v>
      </c>
      <c r="F5" s="14"/>
    </row>
    <row r="6" spans="1:6" s="244" customFormat="1">
      <c r="A6" s="244" t="s">
        <v>29</v>
      </c>
      <c r="B6" s="629"/>
      <c r="C6" s="630">
        <v>2881</v>
      </c>
      <c r="D6" s="365">
        <v>1292</v>
      </c>
      <c r="E6" s="365">
        <f t="shared" ref="E6:E15" si="0">+C6+D6</f>
        <v>4173</v>
      </c>
      <c r="F6" s="14"/>
    </row>
    <row r="7" spans="1:6" s="244" customFormat="1">
      <c r="A7" s="244" t="s">
        <v>702</v>
      </c>
      <c r="B7" s="629"/>
      <c r="C7" s="630">
        <v>5481</v>
      </c>
      <c r="D7" s="365">
        <v>1018</v>
      </c>
      <c r="E7" s="365">
        <f t="shared" si="0"/>
        <v>6499</v>
      </c>
      <c r="F7" s="14"/>
    </row>
    <row r="8" spans="1:6" s="244" customFormat="1">
      <c r="A8" s="244" t="s">
        <v>31</v>
      </c>
      <c r="B8" s="629"/>
      <c r="C8" s="630">
        <v>14421</v>
      </c>
      <c r="D8" s="365">
        <v>3655</v>
      </c>
      <c r="E8" s="365">
        <f t="shared" si="0"/>
        <v>18076</v>
      </c>
      <c r="F8" s="14"/>
    </row>
    <row r="9" spans="1:6" s="244" customFormat="1">
      <c r="A9" s="244" t="s">
        <v>30</v>
      </c>
      <c r="B9" s="629"/>
      <c r="C9" s="630">
        <v>3339</v>
      </c>
      <c r="D9" s="365">
        <v>1439</v>
      </c>
      <c r="E9" s="365">
        <f t="shared" si="0"/>
        <v>4778</v>
      </c>
      <c r="F9" s="14"/>
    </row>
    <row r="10" spans="1:6" s="244" customFormat="1">
      <c r="A10" s="244" t="s">
        <v>703</v>
      </c>
      <c r="B10" s="629"/>
      <c r="C10" s="630">
        <v>2544</v>
      </c>
      <c r="D10" s="365">
        <v>1546</v>
      </c>
      <c r="E10" s="365">
        <f t="shared" si="0"/>
        <v>4090</v>
      </c>
      <c r="F10" s="14"/>
    </row>
    <row r="11" spans="1:6" s="244" customFormat="1">
      <c r="A11" s="244" t="s">
        <v>704</v>
      </c>
      <c r="B11" s="629"/>
      <c r="C11" s="630">
        <v>4421</v>
      </c>
      <c r="D11" s="365">
        <v>1940</v>
      </c>
      <c r="E11" s="365">
        <f t="shared" si="0"/>
        <v>6361</v>
      </c>
      <c r="F11" s="14"/>
    </row>
    <row r="12" spans="1:6" s="244" customFormat="1">
      <c r="A12" s="244" t="s">
        <v>705</v>
      </c>
      <c r="B12" s="629"/>
      <c r="C12" s="630">
        <v>1129</v>
      </c>
      <c r="D12" s="365">
        <v>218</v>
      </c>
      <c r="E12" s="365">
        <f t="shared" si="0"/>
        <v>1347</v>
      </c>
      <c r="F12" s="14"/>
    </row>
    <row r="13" spans="1:6" s="244" customFormat="1">
      <c r="A13" s="244" t="s">
        <v>706</v>
      </c>
      <c r="B13" s="629"/>
      <c r="C13" s="630">
        <v>31430</v>
      </c>
      <c r="D13" s="365">
        <v>2092</v>
      </c>
      <c r="E13" s="365">
        <f t="shared" si="0"/>
        <v>33522</v>
      </c>
      <c r="F13" s="14"/>
    </row>
    <row r="14" spans="1:6" s="244" customFormat="1">
      <c r="A14" s="244" t="s">
        <v>707</v>
      </c>
      <c r="B14" s="629"/>
      <c r="C14" s="630">
        <v>11372</v>
      </c>
      <c r="D14" s="365">
        <v>1902</v>
      </c>
      <c r="E14" s="365">
        <f t="shared" si="0"/>
        <v>13274</v>
      </c>
      <c r="F14" s="14"/>
    </row>
    <row r="15" spans="1:6" s="244" customFormat="1">
      <c r="A15" s="244" t="s">
        <v>32</v>
      </c>
      <c r="B15" s="629"/>
      <c r="C15" s="630">
        <v>2180</v>
      </c>
      <c r="D15" s="365">
        <v>1627</v>
      </c>
      <c r="E15" s="365">
        <f t="shared" si="0"/>
        <v>3807</v>
      </c>
      <c r="F15" s="14"/>
    </row>
    <row r="16" spans="1:6" s="244" customFormat="1">
      <c r="A16" s="244" t="s">
        <v>33</v>
      </c>
      <c r="B16" s="629"/>
      <c r="C16" s="180">
        <f>SUM(C5:C15)</f>
        <v>82107</v>
      </c>
      <c r="D16" s="180">
        <f>SUM(D5:D15)</f>
        <v>17739</v>
      </c>
      <c r="E16" s="465">
        <f t="shared" ref="E16" si="1">SUM(E5:E15)</f>
        <v>99846</v>
      </c>
      <c r="F16" s="14"/>
    </row>
    <row r="17" spans="1:8" s="244" customFormat="1">
      <c r="A17" s="131" t="s">
        <v>18</v>
      </c>
      <c r="B17" s="631"/>
      <c r="C17" s="366">
        <v>137074</v>
      </c>
      <c r="D17" s="688">
        <v>16037</v>
      </c>
      <c r="E17" s="632">
        <f>C17+D17</f>
        <v>153111</v>
      </c>
      <c r="F17" s="14"/>
    </row>
    <row r="18" spans="1:8" s="244" customFormat="1">
      <c r="A18" s="157" t="s">
        <v>28</v>
      </c>
      <c r="B18" s="84"/>
      <c r="C18" s="466">
        <f>SUM(C16:C17)</f>
        <v>219181</v>
      </c>
      <c r="D18" s="633">
        <f t="shared" ref="D18:E18" si="2">SUM(D16:D17)</f>
        <v>33776</v>
      </c>
      <c r="E18" s="467">
        <f t="shared" si="2"/>
        <v>252957</v>
      </c>
      <c r="F18" s="14"/>
      <c r="H18" s="180"/>
    </row>
    <row r="19" spans="1:8" s="244" customFormat="1">
      <c r="B19" s="363"/>
      <c r="C19" s="59"/>
      <c r="D19" s="78"/>
      <c r="E19" s="78"/>
      <c r="F19" s="14"/>
    </row>
    <row r="20" spans="1:8" s="244" customFormat="1">
      <c r="B20" s="618"/>
      <c r="C20" s="59"/>
      <c r="D20" s="78"/>
      <c r="E20" s="78"/>
      <c r="F20" s="14"/>
    </row>
    <row r="21" spans="1:8" s="244" customFormat="1">
      <c r="B21" s="363"/>
      <c r="C21" s="59"/>
      <c r="D21" s="78"/>
      <c r="E21" s="78"/>
      <c r="F21" s="14"/>
    </row>
    <row r="22" spans="1:8" ht="36.75" thickBot="1">
      <c r="A22" s="617">
        <v>2019</v>
      </c>
      <c r="B22" s="120"/>
      <c r="C22" s="120" t="s">
        <v>122</v>
      </c>
      <c r="D22" s="241" t="s">
        <v>109</v>
      </c>
      <c r="E22" s="120" t="s">
        <v>5</v>
      </c>
      <c r="F22" s="59"/>
      <c r="G22" s="59"/>
    </row>
    <row r="23" spans="1:8">
      <c r="A23" s="244" t="s">
        <v>701</v>
      </c>
      <c r="B23" s="629"/>
      <c r="C23" s="630">
        <v>2508</v>
      </c>
      <c r="D23" s="365">
        <v>905</v>
      </c>
      <c r="E23" s="365">
        <f>C23+D23</f>
        <v>3413</v>
      </c>
      <c r="F23" s="100"/>
      <c r="G23" s="14"/>
    </row>
    <row r="24" spans="1:8">
      <c r="A24" s="244" t="s">
        <v>29</v>
      </c>
      <c r="B24" s="629"/>
      <c r="C24" s="630">
        <v>3043</v>
      </c>
      <c r="D24" s="365">
        <v>1107</v>
      </c>
      <c r="E24" s="365">
        <f t="shared" ref="E24:E33" si="3">C24+D24</f>
        <v>4150</v>
      </c>
      <c r="F24" s="100"/>
    </row>
    <row r="25" spans="1:8">
      <c r="A25" s="244" t="s">
        <v>702</v>
      </c>
      <c r="B25" s="629"/>
      <c r="C25" s="630">
        <v>5324</v>
      </c>
      <c r="D25" s="365">
        <v>951</v>
      </c>
      <c r="E25" s="365">
        <f t="shared" si="3"/>
        <v>6275</v>
      </c>
      <c r="F25" s="100"/>
    </row>
    <row r="26" spans="1:8">
      <c r="A26" s="244" t="s">
        <v>31</v>
      </c>
      <c r="B26" s="629"/>
      <c r="C26" s="630">
        <v>11326</v>
      </c>
      <c r="D26" s="365">
        <v>3379</v>
      </c>
      <c r="E26" s="365">
        <f t="shared" si="3"/>
        <v>14705</v>
      </c>
      <c r="F26" s="100"/>
      <c r="H26" s="21"/>
    </row>
    <row r="27" spans="1:8">
      <c r="A27" s="244" t="s">
        <v>30</v>
      </c>
      <c r="B27" s="629"/>
      <c r="C27" s="630">
        <v>3460</v>
      </c>
      <c r="D27" s="365">
        <v>1433</v>
      </c>
      <c r="E27" s="365">
        <f t="shared" si="3"/>
        <v>4893</v>
      </c>
      <c r="F27" s="100"/>
    </row>
    <row r="28" spans="1:8">
      <c r="A28" s="244" t="s">
        <v>703</v>
      </c>
      <c r="B28" s="629"/>
      <c r="C28" s="630">
        <v>3921</v>
      </c>
      <c r="D28" s="365">
        <v>1564</v>
      </c>
      <c r="E28" s="365">
        <f t="shared" si="3"/>
        <v>5485</v>
      </c>
      <c r="F28" s="100"/>
    </row>
    <row r="29" spans="1:8">
      <c r="A29" s="244" t="s">
        <v>704</v>
      </c>
      <c r="B29" s="629"/>
      <c r="C29" s="630">
        <v>4116</v>
      </c>
      <c r="D29" s="365">
        <v>1385</v>
      </c>
      <c r="E29" s="365">
        <f t="shared" si="3"/>
        <v>5501</v>
      </c>
      <c r="F29" s="100"/>
    </row>
    <row r="30" spans="1:8">
      <c r="A30" s="244" t="s">
        <v>705</v>
      </c>
      <c r="B30" s="629"/>
      <c r="C30" s="630">
        <v>841</v>
      </c>
      <c r="D30" s="365">
        <v>272</v>
      </c>
      <c r="E30" s="365">
        <f t="shared" si="3"/>
        <v>1113</v>
      </c>
      <c r="F30" s="100"/>
    </row>
    <row r="31" spans="1:8">
      <c r="A31" s="244" t="s">
        <v>706</v>
      </c>
      <c r="B31" s="629"/>
      <c r="C31" s="630">
        <v>33668</v>
      </c>
      <c r="D31" s="365">
        <v>3247</v>
      </c>
      <c r="E31" s="365">
        <f t="shared" si="3"/>
        <v>36915</v>
      </c>
      <c r="F31" s="100"/>
    </row>
    <row r="32" spans="1:8">
      <c r="A32" s="244" t="s">
        <v>707</v>
      </c>
      <c r="B32" s="629"/>
      <c r="C32" s="630">
        <v>12111</v>
      </c>
      <c r="D32" s="365">
        <v>3079</v>
      </c>
      <c r="E32" s="365">
        <f t="shared" si="3"/>
        <v>15190</v>
      </c>
      <c r="F32" s="100"/>
    </row>
    <row r="33" spans="1:8" s="244" customFormat="1">
      <c r="A33" s="244" t="s">
        <v>32</v>
      </c>
      <c r="B33" s="629"/>
      <c r="C33" s="630">
        <v>2404</v>
      </c>
      <c r="D33" s="365">
        <v>908</v>
      </c>
      <c r="E33" s="365">
        <f t="shared" si="3"/>
        <v>3312</v>
      </c>
      <c r="F33" s="100"/>
    </row>
    <row r="34" spans="1:8">
      <c r="A34" s="244" t="s">
        <v>33</v>
      </c>
      <c r="B34" s="629"/>
      <c r="C34" s="180">
        <v>82722</v>
      </c>
      <c r="D34" s="465">
        <v>18230</v>
      </c>
      <c r="E34" s="465">
        <f>SUM(E23:E33)</f>
        <v>100952</v>
      </c>
      <c r="F34" s="100"/>
      <c r="H34" s="192"/>
    </row>
    <row r="35" spans="1:8">
      <c r="A35" s="131" t="s">
        <v>18</v>
      </c>
      <c r="B35" s="631"/>
      <c r="C35" s="366">
        <v>124392</v>
      </c>
      <c r="D35" s="365">
        <v>13892</v>
      </c>
      <c r="E35" s="632">
        <f>C35+D35</f>
        <v>138284</v>
      </c>
      <c r="F35" s="130"/>
      <c r="H35" s="21"/>
    </row>
    <row r="36" spans="1:8">
      <c r="A36" s="157" t="s">
        <v>28</v>
      </c>
      <c r="B36" s="84"/>
      <c r="C36" s="466">
        <f>SUM(C34:C35)</f>
        <v>207114</v>
      </c>
      <c r="D36" s="633">
        <f>SUM(D34:D35)</f>
        <v>32122</v>
      </c>
      <c r="E36" s="467">
        <f>SUM(E34:E35)</f>
        <v>239236</v>
      </c>
      <c r="F36" s="100"/>
      <c r="H36" s="19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pageSetUpPr fitToPage="1"/>
  </sheetPr>
  <dimension ref="A1:S28"/>
  <sheetViews>
    <sheetView zoomScaleNormal="100" workbookViewId="0">
      <selection activeCell="H19" sqref="H19"/>
    </sheetView>
  </sheetViews>
  <sheetFormatPr baseColWidth="10" defaultColWidth="11" defaultRowHeight="12"/>
  <cols>
    <col min="1" max="1" width="23.375" style="17" customWidth="1"/>
    <col min="2" max="2" width="10.125" style="17" bestFit="1" customWidth="1"/>
    <col min="3" max="3" width="11.75" style="17" customWidth="1"/>
    <col min="4" max="4" width="11.5" style="17" customWidth="1"/>
    <col min="5" max="5" width="11.25" style="17" customWidth="1"/>
    <col min="6" max="6" width="12" style="17" customWidth="1"/>
    <col min="7" max="7" width="5.5" style="17" customWidth="1"/>
    <col min="8" max="8" width="21.375" style="17" customWidth="1"/>
    <col min="9" max="16384" width="11" style="17"/>
  </cols>
  <sheetData>
    <row r="1" spans="1:19" ht="21">
      <c r="A1" s="549" t="s">
        <v>138</v>
      </c>
      <c r="B1" s="63"/>
      <c r="C1" s="80"/>
      <c r="D1" s="132"/>
    </row>
    <row r="2" spans="1:19">
      <c r="A2" s="63" t="s">
        <v>110</v>
      </c>
      <c r="B2" s="63"/>
      <c r="C2" s="80"/>
    </row>
    <row r="3" spans="1:19">
      <c r="A3" s="63"/>
      <c r="B3" s="63"/>
      <c r="C3" s="80"/>
    </row>
    <row r="4" spans="1:19" ht="12.75" thickBot="1">
      <c r="A4" s="245">
        <v>2020</v>
      </c>
      <c r="B4" s="458" t="s">
        <v>34</v>
      </c>
      <c r="C4" s="458" t="s">
        <v>35</v>
      </c>
      <c r="D4" s="458" t="s">
        <v>36</v>
      </c>
      <c r="E4" s="458" t="s">
        <v>37</v>
      </c>
      <c r="F4" s="458" t="s">
        <v>5</v>
      </c>
      <c r="G4" s="59"/>
    </row>
    <row r="5" spans="1:19">
      <c r="A5" s="454" t="s">
        <v>122</v>
      </c>
      <c r="B5" s="206">
        <v>14802</v>
      </c>
      <c r="C5" s="206">
        <f>2729+5883</f>
        <v>8612</v>
      </c>
      <c r="D5" s="206">
        <v>48198</v>
      </c>
      <c r="E5" s="206">
        <v>147569</v>
      </c>
      <c r="F5" s="206">
        <f>SUM(B5:E5)</f>
        <v>219181</v>
      </c>
      <c r="G5" s="81"/>
      <c r="I5" s="21"/>
    </row>
    <row r="6" spans="1:19">
      <c r="A6" s="86" t="s">
        <v>26</v>
      </c>
      <c r="B6" s="206">
        <v>24962</v>
      </c>
      <c r="C6" s="206"/>
      <c r="D6" s="206"/>
      <c r="E6" s="206"/>
      <c r="F6" s="206">
        <f>SUM(B6:E6)</f>
        <v>24962</v>
      </c>
      <c r="G6" s="81"/>
      <c r="H6" s="180"/>
    </row>
    <row r="7" spans="1:19">
      <c r="A7" s="457" t="s">
        <v>27</v>
      </c>
      <c r="B7" s="206">
        <v>522.03601371484547</v>
      </c>
      <c r="C7" s="206">
        <v>1453.6884507497982</v>
      </c>
      <c r="D7" s="206">
        <v>6252.4137881192819</v>
      </c>
      <c r="E7" s="206">
        <v>585.86174741607476</v>
      </c>
      <c r="F7" s="808">
        <v>8814</v>
      </c>
      <c r="G7" s="133"/>
      <c r="H7" s="683"/>
      <c r="I7" s="453"/>
    </row>
    <row r="8" spans="1:19">
      <c r="A8" s="459" t="s">
        <v>28</v>
      </c>
      <c r="B8" s="460">
        <f>SUM(B5:B7)</f>
        <v>40286.036013714845</v>
      </c>
      <c r="C8" s="460">
        <f>SUM(C5:C7)</f>
        <v>10065.688450749798</v>
      </c>
      <c r="D8" s="460">
        <f>SUM(D5:D7)</f>
        <v>54450.41378811928</v>
      </c>
      <c r="E8" s="460">
        <f>SUM(E5:E7)</f>
        <v>148154.86174741609</v>
      </c>
      <c r="F8" s="460">
        <f>SUM(F5:F7)</f>
        <v>252957</v>
      </c>
      <c r="G8" s="121"/>
    </row>
    <row r="9" spans="1:19" ht="8.25" customHeight="1">
      <c r="A9" s="461"/>
      <c r="B9" s="809"/>
      <c r="C9" s="809"/>
      <c r="D9" s="809"/>
      <c r="E9" s="809"/>
      <c r="F9" s="809"/>
      <c r="G9" s="69"/>
    </row>
    <row r="10" spans="1:19">
      <c r="A10" s="86" t="s">
        <v>21</v>
      </c>
      <c r="B10" s="206">
        <v>93</v>
      </c>
      <c r="C10" s="462">
        <v>11</v>
      </c>
      <c r="D10" s="206" t="s">
        <v>86</v>
      </c>
      <c r="E10" s="206" t="s">
        <v>86</v>
      </c>
      <c r="F10" s="206">
        <f>SUM(B10:E10)</f>
        <v>104</v>
      </c>
      <c r="G10" s="81"/>
    </row>
    <row r="11" spans="1:19">
      <c r="A11" s="457" t="s">
        <v>22</v>
      </c>
      <c r="B11" s="443">
        <v>1593</v>
      </c>
      <c r="C11" s="463">
        <v>669</v>
      </c>
      <c r="D11" s="443">
        <v>880</v>
      </c>
      <c r="E11" s="443">
        <v>0</v>
      </c>
      <c r="F11" s="443">
        <f>SUM(B11:E11)</f>
        <v>3142</v>
      </c>
      <c r="G11" s="81"/>
    </row>
    <row r="12" spans="1:19">
      <c r="A12" s="291"/>
      <c r="B12" s="810"/>
      <c r="C12" s="810"/>
      <c r="D12" s="810"/>
      <c r="E12" s="810"/>
      <c r="F12" s="810"/>
    </row>
    <row r="13" spans="1:19" ht="12.75" thickBot="1">
      <c r="A13" s="245">
        <v>2019</v>
      </c>
      <c r="B13" s="458" t="s">
        <v>34</v>
      </c>
      <c r="C13" s="458" t="s">
        <v>35</v>
      </c>
      <c r="D13" s="458" t="s">
        <v>36</v>
      </c>
      <c r="E13" s="458" t="s">
        <v>37</v>
      </c>
      <c r="F13" s="458" t="s">
        <v>5</v>
      </c>
    </row>
    <row r="14" spans="1:19">
      <c r="A14" s="615" t="s">
        <v>122</v>
      </c>
      <c r="B14" s="206">
        <v>16738</v>
      </c>
      <c r="C14" s="206">
        <v>7320</v>
      </c>
      <c r="D14" s="206">
        <v>46214</v>
      </c>
      <c r="E14" s="206">
        <v>136842</v>
      </c>
      <c r="F14" s="206">
        <f>SUM(B14:E14)</f>
        <v>207114</v>
      </c>
    </row>
    <row r="15" spans="1:19">
      <c r="A15" s="86" t="s">
        <v>26</v>
      </c>
      <c r="B15" s="206">
        <v>22322</v>
      </c>
      <c r="C15" s="206"/>
      <c r="D15" s="206"/>
      <c r="E15" s="206"/>
      <c r="F15" s="206">
        <f>SUM(B15:E15)</f>
        <v>22322</v>
      </c>
      <c r="J15" s="86"/>
      <c r="K15" s="19"/>
      <c r="L15" s="19"/>
      <c r="M15" s="19"/>
      <c r="N15" s="19"/>
      <c r="O15" s="19"/>
      <c r="P15" s="19"/>
      <c r="Q15" s="19"/>
      <c r="R15" s="19"/>
      <c r="S15" s="19"/>
    </row>
    <row r="16" spans="1:19">
      <c r="A16" s="457" t="s">
        <v>27</v>
      </c>
      <c r="B16" s="206">
        <v>48</v>
      </c>
      <c r="C16" s="206">
        <v>2438</v>
      </c>
      <c r="D16" s="206">
        <v>6352</v>
      </c>
      <c r="E16" s="206">
        <v>962</v>
      </c>
      <c r="F16" s="206">
        <f>SUM(B16:E16)</f>
        <v>9800</v>
      </c>
      <c r="I16" s="52"/>
      <c r="J16" s="86"/>
      <c r="K16" s="86"/>
      <c r="L16" s="86"/>
      <c r="M16" s="86"/>
      <c r="N16" s="86"/>
      <c r="O16" s="86"/>
      <c r="P16" s="86"/>
      <c r="Q16" s="86"/>
      <c r="R16" s="86"/>
      <c r="S16" s="86"/>
    </row>
    <row r="17" spans="1:19">
      <c r="A17" s="459" t="s">
        <v>28</v>
      </c>
      <c r="B17" s="460">
        <f>SUM(B14:B16)</f>
        <v>39108</v>
      </c>
      <c r="C17" s="460">
        <f>SUM(C14:C16)</f>
        <v>9758</v>
      </c>
      <c r="D17" s="460">
        <f>SUM(D14:D16)</f>
        <v>52566</v>
      </c>
      <c r="E17" s="460">
        <f>SUM(E14:E16)</f>
        <v>137804</v>
      </c>
      <c r="F17" s="460">
        <f>SUM(F14:F16)</f>
        <v>239236</v>
      </c>
      <c r="H17" s="116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8.25" customHeight="1">
      <c r="A18" s="461"/>
      <c r="B18" s="809"/>
      <c r="C18" s="809"/>
      <c r="D18" s="809"/>
      <c r="E18" s="809"/>
      <c r="F18" s="809"/>
    </row>
    <row r="19" spans="1:19">
      <c r="A19" s="86" t="s">
        <v>21</v>
      </c>
      <c r="B19" s="206">
        <v>93</v>
      </c>
      <c r="C19" s="462">
        <v>11</v>
      </c>
      <c r="D19" s="206" t="s">
        <v>86</v>
      </c>
      <c r="E19" s="206" t="s">
        <v>86</v>
      </c>
      <c r="F19" s="206">
        <f>SUM(B19:E19)</f>
        <v>104</v>
      </c>
      <c r="H19" s="69"/>
    </row>
    <row r="20" spans="1:19">
      <c r="A20" s="457" t="s">
        <v>22</v>
      </c>
      <c r="B20" s="443">
        <v>1593</v>
      </c>
      <c r="C20" s="463">
        <v>669</v>
      </c>
      <c r="D20" s="443">
        <v>880</v>
      </c>
      <c r="E20" s="443">
        <v>0</v>
      </c>
      <c r="F20" s="443">
        <f>SUM(B20:E20)</f>
        <v>3142</v>
      </c>
      <c r="L20" s="14"/>
    </row>
    <row r="21" spans="1:19">
      <c r="G21" s="59"/>
    </row>
    <row r="22" spans="1:19">
      <c r="G22" s="81"/>
    </row>
    <row r="23" spans="1:19">
      <c r="G23" s="81"/>
    </row>
    <row r="24" spans="1:19">
      <c r="G24" s="81"/>
    </row>
    <row r="25" spans="1:19">
      <c r="G25" s="121"/>
    </row>
    <row r="26" spans="1:19">
      <c r="G26" s="69"/>
    </row>
    <row r="27" spans="1:19">
      <c r="D27" s="19"/>
      <c r="G27" s="81"/>
    </row>
    <row r="28" spans="1:19">
      <c r="G28" s="81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pageSetUpPr fitToPage="1"/>
  </sheetPr>
  <dimension ref="A1:E42"/>
  <sheetViews>
    <sheetView showGridLines="0" zoomScaleNormal="100" workbookViewId="0"/>
  </sheetViews>
  <sheetFormatPr baseColWidth="10" defaultColWidth="11" defaultRowHeight="12"/>
  <cols>
    <col min="1" max="1" width="31.875" style="244" customWidth="1"/>
    <col min="2" max="2" width="15.125" style="244" customWidth="1"/>
    <col min="3" max="3" width="14.125" style="244" customWidth="1"/>
    <col min="4" max="4" width="15.5" style="244" customWidth="1"/>
    <col min="5" max="5" width="17.625" style="244" customWidth="1"/>
    <col min="6" max="6" width="9.75" style="17" customWidth="1"/>
    <col min="7" max="7" width="11" style="17"/>
    <col min="8" max="8" width="33.375" style="17" bestFit="1" customWidth="1"/>
    <col min="9" max="16384" width="11" style="17"/>
  </cols>
  <sheetData>
    <row r="1" spans="1:5" s="244" customFormat="1" ht="21">
      <c r="A1" s="549" t="s">
        <v>786</v>
      </c>
      <c r="B1" s="473"/>
    </row>
    <row r="2" spans="1:5" s="244" customFormat="1">
      <c r="A2" s="73"/>
      <c r="B2" s="509"/>
    </row>
    <row r="3" spans="1:5" s="244" customFormat="1">
      <c r="A3" s="739" t="s">
        <v>876</v>
      </c>
      <c r="B3" s="722"/>
      <c r="C3" s="722"/>
      <c r="D3" s="722"/>
    </row>
    <row r="4" spans="1:5" s="244" customFormat="1" ht="24">
      <c r="A4" s="740" t="s">
        <v>753</v>
      </c>
      <c r="B4" s="741" t="s">
        <v>713</v>
      </c>
      <c r="C4" s="741" t="s">
        <v>714</v>
      </c>
      <c r="D4" s="741" t="s">
        <v>698</v>
      </c>
    </row>
    <row r="5" spans="1:5" s="244" customFormat="1">
      <c r="A5" s="742" t="s">
        <v>834</v>
      </c>
      <c r="B5" s="812">
        <v>15</v>
      </c>
      <c r="C5" s="812">
        <v>13</v>
      </c>
      <c r="D5" s="812">
        <v>0</v>
      </c>
    </row>
    <row r="6" spans="1:5" s="244" customFormat="1">
      <c r="A6" s="742" t="s">
        <v>29</v>
      </c>
      <c r="B6" s="812">
        <v>15</v>
      </c>
      <c r="C6" s="812">
        <v>15</v>
      </c>
      <c r="D6" s="812">
        <v>137</v>
      </c>
      <c r="E6" s="749"/>
    </row>
    <row r="7" spans="1:5" s="244" customFormat="1">
      <c r="A7" s="742" t="s">
        <v>702</v>
      </c>
      <c r="B7" s="812">
        <v>2</v>
      </c>
      <c r="C7" s="812">
        <v>4</v>
      </c>
      <c r="D7" s="812">
        <v>1</v>
      </c>
      <c r="E7" s="749"/>
    </row>
    <row r="8" spans="1:5" s="244" customFormat="1">
      <c r="A8" s="742" t="s">
        <v>31</v>
      </c>
      <c r="B8" s="812">
        <v>59</v>
      </c>
      <c r="C8" s="812">
        <v>93</v>
      </c>
      <c r="D8" s="812">
        <v>116</v>
      </c>
      <c r="E8" s="749"/>
    </row>
    <row r="9" spans="1:5" s="244" customFormat="1">
      <c r="A9" s="742" t="s">
        <v>715</v>
      </c>
      <c r="B9" s="812">
        <v>17</v>
      </c>
      <c r="C9" s="812">
        <v>17</v>
      </c>
      <c r="D9" s="812">
        <v>12</v>
      </c>
      <c r="E9" s="749"/>
    </row>
    <row r="10" spans="1:5" s="244" customFormat="1">
      <c r="A10" s="742" t="s">
        <v>703</v>
      </c>
      <c r="B10" s="812">
        <v>10</v>
      </c>
      <c r="C10" s="812">
        <v>7</v>
      </c>
      <c r="D10" s="812">
        <v>735</v>
      </c>
      <c r="E10" s="812"/>
    </row>
    <row r="11" spans="1:5" s="244" customFormat="1">
      <c r="A11" s="742" t="s">
        <v>704</v>
      </c>
      <c r="B11" s="812">
        <v>15</v>
      </c>
      <c r="C11" s="812">
        <v>8</v>
      </c>
      <c r="D11" s="812">
        <v>15</v>
      </c>
      <c r="E11" s="812"/>
    </row>
    <row r="12" spans="1:5" s="244" customFormat="1">
      <c r="A12" s="742" t="s">
        <v>705</v>
      </c>
      <c r="B12" s="812">
        <v>4</v>
      </c>
      <c r="C12" s="812">
        <v>8</v>
      </c>
      <c r="D12" s="812">
        <v>0</v>
      </c>
      <c r="E12" s="812"/>
    </row>
    <row r="13" spans="1:5" s="244" customFormat="1">
      <c r="A13" s="742" t="s">
        <v>706</v>
      </c>
      <c r="B13" s="812">
        <v>112</v>
      </c>
      <c r="C13" s="812">
        <v>107</v>
      </c>
      <c r="D13" s="812">
        <v>74</v>
      </c>
      <c r="E13" s="812"/>
    </row>
    <row r="14" spans="1:5" s="244" customFormat="1">
      <c r="A14" s="742" t="s">
        <v>707</v>
      </c>
      <c r="B14" s="812">
        <v>19</v>
      </c>
      <c r="C14" s="812">
        <v>28</v>
      </c>
      <c r="D14" s="812">
        <v>538</v>
      </c>
      <c r="E14" s="749"/>
    </row>
    <row r="15" spans="1:5" s="244" customFormat="1">
      <c r="A15" s="743" t="s">
        <v>32</v>
      </c>
      <c r="B15" s="812">
        <v>0</v>
      </c>
      <c r="C15" s="812">
        <v>0</v>
      </c>
      <c r="D15" s="812">
        <v>0</v>
      </c>
      <c r="E15" s="749"/>
    </row>
    <row r="16" spans="1:5" s="244" customFormat="1">
      <c r="A16" s="744" t="s">
        <v>716</v>
      </c>
      <c r="B16" s="826">
        <f>SUM(B5:B15)</f>
        <v>268</v>
      </c>
      <c r="C16" s="826">
        <f t="shared" ref="C16:D16" si="0">SUM(C5:C15)</f>
        <v>300</v>
      </c>
      <c r="D16" s="826">
        <f t="shared" si="0"/>
        <v>1628</v>
      </c>
      <c r="E16" s="749"/>
    </row>
    <row r="17" spans="1:5" s="244" customFormat="1">
      <c r="A17" s="744" t="s">
        <v>717</v>
      </c>
      <c r="B17" s="812">
        <v>23</v>
      </c>
      <c r="C17" s="812">
        <v>61</v>
      </c>
      <c r="D17" s="812">
        <v>75</v>
      </c>
    </row>
    <row r="18" spans="1:5" s="244" customFormat="1">
      <c r="A18" s="745" t="s">
        <v>759</v>
      </c>
      <c r="B18" s="826">
        <f>SUM(B16:B17)</f>
        <v>291</v>
      </c>
      <c r="C18" s="826">
        <f>SUM(C16:C17)</f>
        <v>361</v>
      </c>
      <c r="D18" s="826">
        <f>SUM(D16:D17)</f>
        <v>1703</v>
      </c>
    </row>
    <row r="19" spans="1:5" s="244" customFormat="1">
      <c r="A19" s="511"/>
      <c r="B19" s="476"/>
      <c r="C19" s="476"/>
      <c r="D19" s="476"/>
    </row>
    <row r="20" spans="1:5" s="244" customFormat="1">
      <c r="A20" s="511"/>
      <c r="B20" s="476"/>
      <c r="C20" s="476"/>
      <c r="D20" s="476"/>
    </row>
    <row r="21" spans="1:5" s="244" customFormat="1">
      <c r="A21" s="511"/>
      <c r="B21" s="476"/>
      <c r="C21" s="476"/>
      <c r="D21" s="476"/>
    </row>
    <row r="22" spans="1:5" s="244" customFormat="1">
      <c r="A22" s="511"/>
      <c r="B22" s="476"/>
      <c r="C22" s="476"/>
      <c r="D22" s="476"/>
    </row>
    <row r="23" spans="1:5" s="244" customFormat="1">
      <c r="A23" s="511"/>
      <c r="B23" s="476"/>
      <c r="C23" s="476"/>
      <c r="D23" s="476"/>
    </row>
    <row r="24" spans="1:5" s="244" customFormat="1">
      <c r="A24" s="248" t="s">
        <v>843</v>
      </c>
    </row>
    <row r="25" spans="1:5" s="244" customFormat="1" ht="24">
      <c r="A25" s="505" t="s">
        <v>753</v>
      </c>
      <c r="B25" s="474" t="s">
        <v>713</v>
      </c>
      <c r="C25" s="474" t="s">
        <v>714</v>
      </c>
      <c r="D25" s="474" t="s">
        <v>698</v>
      </c>
    </row>
    <row r="26" spans="1:5">
      <c r="A26" s="475" t="s">
        <v>834</v>
      </c>
      <c r="B26" s="244">
        <v>9</v>
      </c>
      <c r="C26" s="244">
        <v>9</v>
      </c>
      <c r="D26" s="244">
        <v>0</v>
      </c>
      <c r="E26" s="17"/>
    </row>
    <row r="27" spans="1:5" s="225" customFormat="1">
      <c r="A27" s="475" t="s">
        <v>29</v>
      </c>
      <c r="B27" s="244">
        <v>14</v>
      </c>
      <c r="C27" s="244">
        <v>14</v>
      </c>
      <c r="D27" s="244">
        <v>80</v>
      </c>
    </row>
    <row r="28" spans="1:5" ht="12" customHeight="1">
      <c r="A28" s="475" t="s">
        <v>702</v>
      </c>
      <c r="B28" s="244">
        <v>2</v>
      </c>
      <c r="C28" s="244">
        <v>9</v>
      </c>
      <c r="D28" s="244">
        <v>5</v>
      </c>
      <c r="E28" s="17"/>
    </row>
    <row r="29" spans="1:5" s="225" customFormat="1">
      <c r="A29" s="475" t="s">
        <v>31</v>
      </c>
      <c r="B29" s="244">
        <v>51</v>
      </c>
      <c r="C29" s="244">
        <v>72</v>
      </c>
      <c r="D29" s="244">
        <v>160</v>
      </c>
    </row>
    <row r="30" spans="1:5" s="225" customFormat="1">
      <c r="A30" s="475" t="s">
        <v>715</v>
      </c>
      <c r="B30" s="244">
        <v>22</v>
      </c>
      <c r="C30" s="244">
        <v>45</v>
      </c>
      <c r="D30" s="244">
        <v>8</v>
      </c>
    </row>
    <row r="31" spans="1:5" s="225" customFormat="1">
      <c r="A31" s="475" t="s">
        <v>703</v>
      </c>
      <c r="B31" s="244">
        <v>10</v>
      </c>
      <c r="C31" s="244">
        <v>27</v>
      </c>
      <c r="D31" s="244">
        <v>680</v>
      </c>
    </row>
    <row r="32" spans="1:5" s="225" customFormat="1">
      <c r="A32" s="475" t="s">
        <v>704</v>
      </c>
      <c r="B32" s="244">
        <v>12</v>
      </c>
      <c r="C32" s="244">
        <v>24</v>
      </c>
      <c r="D32" s="244">
        <v>13</v>
      </c>
    </row>
    <row r="33" spans="1:5" s="225" customFormat="1">
      <c r="A33" s="475" t="s">
        <v>705</v>
      </c>
      <c r="B33" s="244">
        <v>3</v>
      </c>
      <c r="C33" s="244">
        <v>8</v>
      </c>
      <c r="D33" s="244">
        <v>0</v>
      </c>
    </row>
    <row r="34" spans="1:5" s="225" customFormat="1">
      <c r="A34" s="475" t="s">
        <v>706</v>
      </c>
      <c r="B34" s="244">
        <v>90</v>
      </c>
      <c r="C34" s="244">
        <v>84</v>
      </c>
      <c r="D34" s="244">
        <v>59</v>
      </c>
    </row>
    <row r="35" spans="1:5" s="225" customFormat="1">
      <c r="A35" s="475" t="s">
        <v>707</v>
      </c>
      <c r="B35" s="244">
        <v>19</v>
      </c>
      <c r="C35" s="244">
        <v>67</v>
      </c>
      <c r="D35" s="244">
        <v>552</v>
      </c>
    </row>
    <row r="36" spans="1:5" s="225" customFormat="1">
      <c r="A36" s="477" t="s">
        <v>32</v>
      </c>
      <c r="B36" s="244">
        <v>0</v>
      </c>
      <c r="C36" s="244">
        <v>0</v>
      </c>
      <c r="D36" s="244">
        <v>0</v>
      </c>
      <c r="E36" s="244"/>
    </row>
    <row r="37" spans="1:5" s="225" customFormat="1">
      <c r="A37" s="479" t="s">
        <v>716</v>
      </c>
      <c r="B37" s="480">
        <f>SUM(B26:B36)</f>
        <v>232</v>
      </c>
      <c r="C37" s="480">
        <f t="shared" ref="C37:D37" si="1">SUM(C26:C36)</f>
        <v>359</v>
      </c>
      <c r="D37" s="480">
        <f t="shared" si="1"/>
        <v>1557</v>
      </c>
      <c r="E37" s="244"/>
    </row>
    <row r="38" spans="1:5" s="225" customFormat="1">
      <c r="A38" s="479" t="s">
        <v>717</v>
      </c>
      <c r="B38" s="244">
        <v>19</v>
      </c>
      <c r="C38" s="244">
        <v>37</v>
      </c>
      <c r="D38" s="244">
        <v>102</v>
      </c>
      <c r="E38" s="244"/>
    </row>
    <row r="39" spans="1:5" s="225" customFormat="1">
      <c r="A39" s="512" t="s">
        <v>759</v>
      </c>
      <c r="B39" s="480">
        <f>SUM(B37:B38)</f>
        <v>251</v>
      </c>
      <c r="C39" s="480">
        <f>SUM(C37:C38)</f>
        <v>396</v>
      </c>
      <c r="D39" s="480">
        <f>SUM(D37:D38)</f>
        <v>1659</v>
      </c>
      <c r="E39" s="244"/>
    </row>
    <row r="40" spans="1:5" s="225" customFormat="1">
      <c r="E40" s="244"/>
    </row>
    <row r="41" spans="1:5">
      <c r="A41" s="97"/>
      <c r="B41" s="97"/>
      <c r="C41" s="97"/>
      <c r="D41" s="97"/>
    </row>
    <row r="42" spans="1:5" ht="12.75">
      <c r="A42" s="97"/>
      <c r="B42" s="357"/>
      <c r="C42" s="65"/>
      <c r="D42" s="97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pageSetUpPr fitToPage="1"/>
  </sheetPr>
  <dimension ref="A1:J42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45.75" style="225" bestFit="1" customWidth="1"/>
    <col min="2" max="2" width="7.5" style="225" customWidth="1"/>
    <col min="3" max="5" width="7.5" style="244" customWidth="1"/>
    <col min="6" max="6" width="3.5" style="17" customWidth="1"/>
    <col min="7" max="10" width="7.5" style="17" customWidth="1"/>
    <col min="11" max="16384" width="11" style="17"/>
  </cols>
  <sheetData>
    <row r="1" spans="1:10" ht="21">
      <c r="A1" s="549" t="s">
        <v>755</v>
      </c>
      <c r="F1" s="473"/>
    </row>
    <row r="2" spans="1:10" ht="12.75">
      <c r="A2" s="203" t="s">
        <v>110</v>
      </c>
      <c r="B2" s="73"/>
      <c r="C2" s="73"/>
      <c r="D2" s="73"/>
      <c r="E2" s="73"/>
      <c r="F2" s="473"/>
    </row>
    <row r="3" spans="1:10" s="244" customFormat="1" ht="12.75">
      <c r="A3" s="203"/>
      <c r="B3" s="73"/>
      <c r="C3" s="73"/>
      <c r="D3" s="73"/>
      <c r="E3" s="73"/>
      <c r="F3" s="442"/>
    </row>
    <row r="4" spans="1:10" s="244" customFormat="1">
      <c r="B4" s="73"/>
      <c r="C4" s="73"/>
      <c r="D4" s="73"/>
      <c r="E4" s="73"/>
      <c r="F4" s="442"/>
    </row>
    <row r="5" spans="1:10">
      <c r="A5" s="482"/>
      <c r="B5" s="483"/>
      <c r="C5" s="483"/>
      <c r="D5" s="483"/>
      <c r="E5" s="483"/>
    </row>
    <row r="6" spans="1:10">
      <c r="A6" s="864" t="s">
        <v>829</v>
      </c>
      <c r="B6" s="866" t="s">
        <v>844</v>
      </c>
      <c r="C6" s="866"/>
      <c r="D6" s="866"/>
      <c r="E6" s="866"/>
      <c r="F6" s="636"/>
      <c r="G6" s="866" t="s">
        <v>822</v>
      </c>
      <c r="H6" s="866"/>
      <c r="I6" s="866"/>
      <c r="J6" s="866"/>
    </row>
    <row r="7" spans="1:10">
      <c r="A7" s="865"/>
      <c r="B7" s="637" t="s">
        <v>718</v>
      </c>
      <c r="C7" s="637" t="s">
        <v>714</v>
      </c>
      <c r="D7" s="637" t="s">
        <v>698</v>
      </c>
      <c r="E7" s="638" t="s">
        <v>719</v>
      </c>
      <c r="F7" s="639"/>
      <c r="G7" s="637" t="s">
        <v>718</v>
      </c>
      <c r="H7" s="637" t="s">
        <v>714</v>
      </c>
      <c r="I7" s="637" t="s">
        <v>698</v>
      </c>
      <c r="J7" s="640" t="s">
        <v>719</v>
      </c>
    </row>
    <row r="8" spans="1:10">
      <c r="A8" s="641"/>
      <c r="B8" s="639"/>
      <c r="C8" s="639"/>
      <c r="D8" s="639"/>
      <c r="E8" s="642"/>
      <c r="F8" s="639"/>
      <c r="G8" s="639"/>
      <c r="H8" s="639"/>
      <c r="I8" s="639"/>
      <c r="J8" s="643"/>
    </row>
    <row r="9" spans="1:10">
      <c r="A9" s="644" t="s">
        <v>823</v>
      </c>
      <c r="B9" s="645">
        <v>146</v>
      </c>
      <c r="C9" s="645">
        <v>388</v>
      </c>
      <c r="D9" s="645">
        <v>892</v>
      </c>
      <c r="E9" s="646">
        <f>B9+C9+D9</f>
        <v>1426</v>
      </c>
      <c r="F9" s="645"/>
      <c r="G9" s="645">
        <v>229</v>
      </c>
      <c r="H9" s="645">
        <v>367</v>
      </c>
      <c r="I9" s="645">
        <v>631</v>
      </c>
      <c r="J9" s="647">
        <f>G9+H9+I9</f>
        <v>1227</v>
      </c>
    </row>
    <row r="10" spans="1:10">
      <c r="A10" s="644" t="s">
        <v>824</v>
      </c>
      <c r="B10" s="648"/>
      <c r="C10" s="648"/>
      <c r="D10" s="648"/>
      <c r="E10" s="646"/>
      <c r="F10" s="648"/>
      <c r="G10" s="648"/>
      <c r="H10" s="648"/>
      <c r="I10" s="648"/>
      <c r="J10" s="647"/>
    </row>
    <row r="11" spans="1:10">
      <c r="A11" s="649" t="s">
        <v>720</v>
      </c>
      <c r="B11" s="650">
        <v>-15</v>
      </c>
      <c r="C11" s="650">
        <v>15</v>
      </c>
      <c r="D11" s="650">
        <v>0</v>
      </c>
      <c r="E11" s="646">
        <f t="shared" ref="E11:E22" si="0">B11+C11+D11</f>
        <v>0</v>
      </c>
      <c r="F11" s="650"/>
      <c r="G11" s="650">
        <v>-24</v>
      </c>
      <c r="H11" s="650">
        <v>24</v>
      </c>
      <c r="I11" s="650">
        <v>0</v>
      </c>
      <c r="J11" s="647">
        <f t="shared" ref="J11:J21" si="1">G11+H11+I11</f>
        <v>0</v>
      </c>
    </row>
    <row r="12" spans="1:10">
      <c r="A12" s="649" t="s">
        <v>721</v>
      </c>
      <c r="B12" s="650">
        <v>62</v>
      </c>
      <c r="C12" s="650">
        <v>-67</v>
      </c>
      <c r="D12" s="650">
        <v>5</v>
      </c>
      <c r="E12" s="646">
        <f t="shared" si="0"/>
        <v>0</v>
      </c>
      <c r="F12" s="650"/>
      <c r="G12" s="650">
        <v>89</v>
      </c>
      <c r="H12" s="650">
        <v>-93</v>
      </c>
      <c r="I12" s="650">
        <v>4</v>
      </c>
      <c r="J12" s="647">
        <f t="shared" si="1"/>
        <v>0</v>
      </c>
    </row>
    <row r="13" spans="1:10">
      <c r="A13" s="649" t="s">
        <v>722</v>
      </c>
      <c r="B13" s="650">
        <v>5</v>
      </c>
      <c r="C13" s="650">
        <v>0</v>
      </c>
      <c r="D13" s="650">
        <v>-5</v>
      </c>
      <c r="E13" s="646">
        <f t="shared" si="0"/>
        <v>0</v>
      </c>
      <c r="F13" s="650"/>
      <c r="G13" s="650">
        <v>1</v>
      </c>
      <c r="H13" s="650">
        <v>3</v>
      </c>
      <c r="I13" s="650">
        <v>-4</v>
      </c>
      <c r="J13" s="647">
        <f t="shared" si="1"/>
        <v>0</v>
      </c>
    </row>
    <row r="14" spans="1:10">
      <c r="A14" s="651" t="s">
        <v>723</v>
      </c>
      <c r="B14" s="650">
        <v>36</v>
      </c>
      <c r="C14" s="650">
        <v>161</v>
      </c>
      <c r="D14" s="650">
        <v>20</v>
      </c>
      <c r="E14" s="646">
        <f t="shared" si="0"/>
        <v>217</v>
      </c>
      <c r="F14" s="650"/>
      <c r="G14" s="650">
        <v>-151</v>
      </c>
      <c r="H14" s="650">
        <v>140</v>
      </c>
      <c r="I14" s="650">
        <v>24</v>
      </c>
      <c r="J14" s="647">
        <f t="shared" si="1"/>
        <v>13</v>
      </c>
    </row>
    <row r="15" spans="1:10">
      <c r="A15" s="644" t="s">
        <v>724</v>
      </c>
      <c r="B15" s="650">
        <v>111</v>
      </c>
      <c r="C15" s="650">
        <v>48</v>
      </c>
      <c r="D15" s="650">
        <v>12</v>
      </c>
      <c r="E15" s="646">
        <f t="shared" si="0"/>
        <v>171</v>
      </c>
      <c r="F15" s="650"/>
      <c r="G15" s="650">
        <v>50</v>
      </c>
      <c r="H15" s="650">
        <v>37</v>
      </c>
      <c r="I15" s="650">
        <v>6</v>
      </c>
      <c r="J15" s="647">
        <f t="shared" si="1"/>
        <v>93</v>
      </c>
    </row>
    <row r="16" spans="1:10">
      <c r="A16" s="644" t="s">
        <v>725</v>
      </c>
      <c r="B16" s="650">
        <v>-47</v>
      </c>
      <c r="C16" s="650">
        <v>-188</v>
      </c>
      <c r="D16" s="650">
        <v>-25</v>
      </c>
      <c r="E16" s="646">
        <f t="shared" si="0"/>
        <v>-260</v>
      </c>
      <c r="F16" s="650"/>
      <c r="G16" s="650">
        <v>-48</v>
      </c>
      <c r="H16" s="650">
        <v>-90</v>
      </c>
      <c r="I16" s="650">
        <v>-13</v>
      </c>
      <c r="J16" s="647">
        <f t="shared" si="1"/>
        <v>-151</v>
      </c>
    </row>
    <row r="17" spans="1:10">
      <c r="A17" s="651" t="s">
        <v>726</v>
      </c>
      <c r="B17" s="650">
        <v>0</v>
      </c>
      <c r="C17" s="650">
        <v>0</v>
      </c>
      <c r="D17" s="650">
        <v>0</v>
      </c>
      <c r="E17" s="646">
        <f t="shared" si="0"/>
        <v>0</v>
      </c>
      <c r="F17" s="650"/>
      <c r="G17" s="650">
        <v>0</v>
      </c>
      <c r="H17" s="650">
        <v>0</v>
      </c>
      <c r="I17" s="650">
        <v>0</v>
      </c>
      <c r="J17" s="647">
        <f t="shared" si="1"/>
        <v>0</v>
      </c>
    </row>
    <row r="18" spans="1:10">
      <c r="A18" s="644" t="s">
        <v>727</v>
      </c>
      <c r="B18" s="650">
        <v>0</v>
      </c>
      <c r="C18" s="650">
        <v>0</v>
      </c>
      <c r="D18" s="650">
        <v>755</v>
      </c>
      <c r="E18" s="646">
        <f t="shared" si="0"/>
        <v>755</v>
      </c>
      <c r="F18" s="650"/>
      <c r="G18" s="650">
        <v>0</v>
      </c>
      <c r="H18" s="650">
        <v>0</v>
      </c>
      <c r="I18" s="650">
        <v>122</v>
      </c>
      <c r="J18" s="647">
        <f t="shared" si="1"/>
        <v>122</v>
      </c>
    </row>
    <row r="19" spans="1:10">
      <c r="A19" s="651" t="s">
        <v>728</v>
      </c>
      <c r="B19" s="650">
        <v>0</v>
      </c>
      <c r="C19" s="650">
        <v>0</v>
      </c>
      <c r="D19" s="650">
        <v>-395</v>
      </c>
      <c r="E19" s="646">
        <f t="shared" si="0"/>
        <v>-395</v>
      </c>
      <c r="F19" s="650"/>
      <c r="G19" s="650">
        <v>0</v>
      </c>
      <c r="H19" s="650">
        <v>0</v>
      </c>
      <c r="I19" s="650">
        <v>-60</v>
      </c>
      <c r="J19" s="647">
        <f t="shared" si="1"/>
        <v>-60</v>
      </c>
    </row>
    <row r="20" spans="1:10">
      <c r="A20" s="644" t="s">
        <v>729</v>
      </c>
      <c r="B20" s="650">
        <v>0</v>
      </c>
      <c r="C20" s="650">
        <v>0</v>
      </c>
      <c r="D20" s="650">
        <v>0</v>
      </c>
      <c r="E20" s="646">
        <f t="shared" si="0"/>
        <v>0</v>
      </c>
      <c r="F20" s="650"/>
      <c r="G20" s="650">
        <v>0</v>
      </c>
      <c r="H20" s="650">
        <v>0</v>
      </c>
      <c r="I20" s="650">
        <v>0</v>
      </c>
      <c r="J20" s="647">
        <f t="shared" si="1"/>
        <v>0</v>
      </c>
    </row>
    <row r="21" spans="1:10">
      <c r="A21" s="644" t="s">
        <v>730</v>
      </c>
      <c r="B21" s="650">
        <v>0</v>
      </c>
      <c r="C21" s="650">
        <v>0</v>
      </c>
      <c r="D21" s="650">
        <v>301</v>
      </c>
      <c r="E21" s="646">
        <f t="shared" si="0"/>
        <v>301</v>
      </c>
      <c r="F21" s="650"/>
      <c r="G21" s="650">
        <v>0</v>
      </c>
      <c r="H21" s="650">
        <v>0</v>
      </c>
      <c r="I21" s="650">
        <v>182</v>
      </c>
      <c r="J21" s="647">
        <f t="shared" si="1"/>
        <v>182</v>
      </c>
    </row>
    <row r="22" spans="1:10">
      <c r="A22" s="652" t="s">
        <v>825</v>
      </c>
      <c r="B22" s="653">
        <f>B9+SUM(B11:B21)</f>
        <v>298</v>
      </c>
      <c r="C22" s="653">
        <f>C9+SUM(C11:C21)</f>
        <v>357</v>
      </c>
      <c r="D22" s="653">
        <f>D9+SUM(D11:D21)</f>
        <v>1560</v>
      </c>
      <c r="E22" s="654">
        <f t="shared" si="0"/>
        <v>2215</v>
      </c>
      <c r="F22" s="655"/>
      <c r="G22" s="653">
        <f t="shared" ref="G22:J22" si="2">G9+SUM(G11:G21)</f>
        <v>146</v>
      </c>
      <c r="H22" s="653">
        <f t="shared" si="2"/>
        <v>388</v>
      </c>
      <c r="I22" s="653">
        <f t="shared" si="2"/>
        <v>892</v>
      </c>
      <c r="J22" s="656">
        <f t="shared" si="2"/>
        <v>1426</v>
      </c>
    </row>
    <row r="23" spans="1:10">
      <c r="A23" s="657"/>
      <c r="B23" s="655"/>
      <c r="C23" s="655"/>
      <c r="D23" s="655"/>
      <c r="E23" s="655"/>
      <c r="F23" s="655"/>
      <c r="G23" s="655"/>
      <c r="H23" s="655"/>
      <c r="I23" s="655"/>
      <c r="J23" s="655"/>
    </row>
    <row r="24" spans="1:10">
      <c r="A24" s="658"/>
      <c r="B24" s="659"/>
      <c r="C24" s="659"/>
      <c r="D24" s="659"/>
      <c r="E24" s="659"/>
      <c r="F24" s="659"/>
      <c r="G24" s="659"/>
      <c r="H24" s="659"/>
      <c r="I24" s="659"/>
      <c r="J24" s="659"/>
    </row>
    <row r="25" spans="1:10">
      <c r="A25" s="864" t="s">
        <v>828</v>
      </c>
      <c r="B25" s="866" t="str">
        <f>B6</f>
        <v>01.01.2020- 31.12.2020</v>
      </c>
      <c r="C25" s="867"/>
      <c r="D25" s="867"/>
      <c r="E25" s="867"/>
      <c r="F25" s="636"/>
      <c r="G25" s="866" t="s">
        <v>822</v>
      </c>
      <c r="H25" s="866"/>
      <c r="I25" s="866"/>
      <c r="J25" s="866"/>
    </row>
    <row r="26" spans="1:10">
      <c r="A26" s="865"/>
      <c r="B26" s="660" t="s">
        <v>718</v>
      </c>
      <c r="C26" s="660" t="s">
        <v>714</v>
      </c>
      <c r="D26" s="660" t="s">
        <v>698</v>
      </c>
      <c r="E26" s="638" t="s">
        <v>719</v>
      </c>
      <c r="F26" s="639"/>
      <c r="G26" s="660" t="s">
        <v>718</v>
      </c>
      <c r="H26" s="660" t="s">
        <v>714</v>
      </c>
      <c r="I26" s="660" t="s">
        <v>698</v>
      </c>
      <c r="J26" s="661" t="s">
        <v>719</v>
      </c>
    </row>
    <row r="27" spans="1:10">
      <c r="A27" s="641"/>
      <c r="B27" s="639"/>
      <c r="C27" s="639"/>
      <c r="D27" s="639"/>
      <c r="E27" s="642"/>
      <c r="F27" s="639"/>
      <c r="G27" s="639"/>
      <c r="H27" s="639"/>
      <c r="I27" s="639"/>
      <c r="J27" s="643"/>
    </row>
    <row r="28" spans="1:10">
      <c r="A28" s="644" t="str">
        <f>A9</f>
        <v>Balanse 01.01.</v>
      </c>
      <c r="B28" s="645">
        <v>21</v>
      </c>
      <c r="C28" s="645">
        <v>82</v>
      </c>
      <c r="D28" s="645">
        <v>27</v>
      </c>
      <c r="E28" s="646">
        <f>B28+C28+D28</f>
        <v>130</v>
      </c>
      <c r="F28" s="645"/>
      <c r="G28" s="645">
        <v>31</v>
      </c>
      <c r="H28" s="645">
        <v>57</v>
      </c>
      <c r="I28" s="645">
        <v>19</v>
      </c>
      <c r="J28" s="647">
        <f>G28+H28+I28</f>
        <v>107</v>
      </c>
    </row>
    <row r="29" spans="1:10">
      <c r="A29" s="644" t="str">
        <f>A10</f>
        <v>Endringer 01.01. - 31.12.</v>
      </c>
      <c r="B29" s="648"/>
      <c r="C29" s="648"/>
      <c r="D29" s="648"/>
      <c r="E29" s="646"/>
      <c r="F29" s="648"/>
      <c r="G29" s="648"/>
      <c r="H29" s="648"/>
      <c r="I29" s="648"/>
      <c r="J29" s="647"/>
    </row>
    <row r="30" spans="1:10">
      <c r="A30" s="649" t="s">
        <v>720</v>
      </c>
      <c r="B30" s="650">
        <v>-2</v>
      </c>
      <c r="C30" s="650">
        <v>2</v>
      </c>
      <c r="D30" s="650">
        <v>0</v>
      </c>
      <c r="E30" s="646">
        <f t="shared" ref="E30:E41" si="3">B30+C30+D30</f>
        <v>0</v>
      </c>
      <c r="F30" s="650"/>
      <c r="G30" s="650">
        <v>-4</v>
      </c>
      <c r="H30" s="650">
        <v>4</v>
      </c>
      <c r="I30" s="650">
        <v>0</v>
      </c>
      <c r="J30" s="647">
        <f t="shared" ref="J30:J41" si="4">G30+H30+I30</f>
        <v>0</v>
      </c>
    </row>
    <row r="31" spans="1:10">
      <c r="A31" s="649" t="s">
        <v>721</v>
      </c>
      <c r="B31" s="650">
        <v>10</v>
      </c>
      <c r="C31" s="650">
        <v>-10</v>
      </c>
      <c r="D31" s="650">
        <v>0</v>
      </c>
      <c r="E31" s="646">
        <f t="shared" si="3"/>
        <v>0</v>
      </c>
      <c r="F31" s="650"/>
      <c r="G31" s="650">
        <v>6</v>
      </c>
      <c r="H31" s="650">
        <v>-6</v>
      </c>
      <c r="I31" s="650">
        <v>0</v>
      </c>
      <c r="J31" s="647">
        <f t="shared" si="4"/>
        <v>0</v>
      </c>
    </row>
    <row r="32" spans="1:10">
      <c r="A32" s="649" t="s">
        <v>722</v>
      </c>
      <c r="B32" s="650">
        <v>0</v>
      </c>
      <c r="C32" s="650">
        <v>0</v>
      </c>
      <c r="D32" s="650">
        <v>0</v>
      </c>
      <c r="E32" s="646">
        <f t="shared" si="3"/>
        <v>0</v>
      </c>
      <c r="F32" s="650"/>
      <c r="G32" s="650">
        <v>0</v>
      </c>
      <c r="H32" s="650">
        <v>0</v>
      </c>
      <c r="I32" s="650">
        <v>0</v>
      </c>
      <c r="J32" s="647">
        <f t="shared" si="4"/>
        <v>0</v>
      </c>
    </row>
    <row r="33" spans="1:10">
      <c r="A33" s="651" t="s">
        <v>723</v>
      </c>
      <c r="B33" s="650">
        <v>3</v>
      </c>
      <c r="C33" s="650">
        <v>12</v>
      </c>
      <c r="D33" s="650">
        <v>11</v>
      </c>
      <c r="E33" s="646">
        <f t="shared" si="3"/>
        <v>26</v>
      </c>
      <c r="F33" s="650"/>
      <c r="G33" s="650">
        <v>-15</v>
      </c>
      <c r="H33" s="650">
        <v>35</v>
      </c>
      <c r="I33" s="650">
        <v>1</v>
      </c>
      <c r="J33" s="647">
        <f t="shared" si="4"/>
        <v>21</v>
      </c>
    </row>
    <row r="34" spans="1:10">
      <c r="A34" s="644" t="s">
        <v>724</v>
      </c>
      <c r="B34" s="650">
        <v>16</v>
      </c>
      <c r="C34" s="650">
        <v>4</v>
      </c>
      <c r="D34" s="650">
        <v>1</v>
      </c>
      <c r="E34" s="646">
        <f t="shared" si="3"/>
        <v>21</v>
      </c>
      <c r="F34" s="650"/>
      <c r="G34" s="650">
        <v>9</v>
      </c>
      <c r="H34" s="650">
        <v>3</v>
      </c>
      <c r="I34" s="650">
        <v>0</v>
      </c>
      <c r="J34" s="647">
        <f t="shared" si="4"/>
        <v>12</v>
      </c>
    </row>
    <row r="35" spans="1:10">
      <c r="A35" s="644" t="s">
        <v>725</v>
      </c>
      <c r="B35" s="650">
        <v>-5</v>
      </c>
      <c r="C35" s="650">
        <v>-43</v>
      </c>
      <c r="D35" s="650">
        <v>-1</v>
      </c>
      <c r="E35" s="646">
        <f t="shared" si="3"/>
        <v>-49</v>
      </c>
      <c r="F35" s="650"/>
      <c r="G35" s="650">
        <v>-6</v>
      </c>
      <c r="H35" s="650">
        <v>-11</v>
      </c>
      <c r="I35" s="650">
        <v>-1</v>
      </c>
      <c r="J35" s="647">
        <f t="shared" si="4"/>
        <v>-18</v>
      </c>
    </row>
    <row r="36" spans="1:10">
      <c r="A36" s="644" t="s">
        <v>726</v>
      </c>
      <c r="B36" s="650">
        <v>0</v>
      </c>
      <c r="C36" s="650">
        <v>0</v>
      </c>
      <c r="D36" s="650">
        <v>0</v>
      </c>
      <c r="E36" s="646">
        <f t="shared" si="3"/>
        <v>0</v>
      </c>
      <c r="F36" s="650"/>
      <c r="G36" s="650">
        <v>0</v>
      </c>
      <c r="H36" s="650">
        <v>0</v>
      </c>
      <c r="I36" s="650">
        <v>0</v>
      </c>
      <c r="J36" s="647">
        <f t="shared" si="4"/>
        <v>0</v>
      </c>
    </row>
    <row r="37" spans="1:10">
      <c r="A37" s="644" t="s">
        <v>727</v>
      </c>
      <c r="B37" s="650">
        <v>0</v>
      </c>
      <c r="C37" s="650">
        <v>0</v>
      </c>
      <c r="D37" s="650">
        <v>0</v>
      </c>
      <c r="E37" s="646">
        <f t="shared" si="3"/>
        <v>0</v>
      </c>
      <c r="F37" s="650"/>
      <c r="G37" s="650">
        <v>0</v>
      </c>
      <c r="H37" s="650">
        <v>0</v>
      </c>
      <c r="I37" s="650">
        <v>0</v>
      </c>
      <c r="J37" s="647">
        <f t="shared" si="4"/>
        <v>0</v>
      </c>
    </row>
    <row r="38" spans="1:10">
      <c r="A38" s="644" t="s">
        <v>728</v>
      </c>
      <c r="B38" s="650">
        <v>0</v>
      </c>
      <c r="C38" s="650">
        <v>0</v>
      </c>
      <c r="D38" s="650">
        <v>0</v>
      </c>
      <c r="E38" s="646">
        <f t="shared" si="3"/>
        <v>0</v>
      </c>
      <c r="F38" s="650"/>
      <c r="G38" s="650">
        <v>0</v>
      </c>
      <c r="H38" s="650">
        <v>0</v>
      </c>
      <c r="I38" s="650">
        <v>0</v>
      </c>
      <c r="J38" s="647">
        <f t="shared" si="4"/>
        <v>0</v>
      </c>
    </row>
    <row r="39" spans="1:10">
      <c r="A39" s="644" t="s">
        <v>729</v>
      </c>
      <c r="B39" s="650">
        <v>0</v>
      </c>
      <c r="C39" s="650">
        <v>0</v>
      </c>
      <c r="D39" s="650">
        <v>0</v>
      </c>
      <c r="E39" s="646">
        <f t="shared" si="3"/>
        <v>0</v>
      </c>
      <c r="F39" s="650"/>
      <c r="G39" s="650">
        <v>0</v>
      </c>
      <c r="H39" s="650">
        <v>0</v>
      </c>
      <c r="I39" s="650">
        <v>0</v>
      </c>
      <c r="J39" s="647">
        <f t="shared" si="4"/>
        <v>0</v>
      </c>
    </row>
    <row r="40" spans="1:10">
      <c r="A40" s="644" t="s">
        <v>730</v>
      </c>
      <c r="B40" s="650">
        <v>0</v>
      </c>
      <c r="C40" s="650">
        <v>0</v>
      </c>
      <c r="D40" s="650">
        <v>128</v>
      </c>
      <c r="E40" s="646">
        <f t="shared" si="3"/>
        <v>128</v>
      </c>
      <c r="F40" s="650"/>
      <c r="G40" s="650">
        <v>0</v>
      </c>
      <c r="H40" s="650">
        <v>0</v>
      </c>
      <c r="I40" s="650">
        <v>8</v>
      </c>
      <c r="J40" s="647">
        <f t="shared" si="4"/>
        <v>8</v>
      </c>
    </row>
    <row r="41" spans="1:10">
      <c r="A41" s="652" t="str">
        <f>A22</f>
        <v>Balanse 31.12.</v>
      </c>
      <c r="B41" s="653">
        <f>B28+SUM(B30:B40)</f>
        <v>43</v>
      </c>
      <c r="C41" s="653">
        <f>C28+SUM(C30:C40)</f>
        <v>47</v>
      </c>
      <c r="D41" s="653">
        <f>D28+SUM(D30:D40)</f>
        <v>166</v>
      </c>
      <c r="E41" s="654">
        <f t="shared" si="3"/>
        <v>256</v>
      </c>
      <c r="F41" s="655"/>
      <c r="G41" s="653">
        <f>G28+SUM(G30:G40)</f>
        <v>21</v>
      </c>
      <c r="H41" s="653">
        <f>H28+SUM(H30:H40)</f>
        <v>82</v>
      </c>
      <c r="I41" s="653">
        <f>I28+SUM(I30:I40)</f>
        <v>27</v>
      </c>
      <c r="J41" s="656">
        <f t="shared" si="4"/>
        <v>130</v>
      </c>
    </row>
    <row r="42" spans="1:10">
      <c r="A42" s="244"/>
      <c r="B42" s="244"/>
      <c r="F42" s="244"/>
      <c r="G42" s="244"/>
      <c r="H42" s="244"/>
      <c r="I42" s="244"/>
      <c r="J42" s="244"/>
    </row>
  </sheetData>
  <mergeCells count="6">
    <mergeCell ref="A6:A7"/>
    <mergeCell ref="B6:E6"/>
    <mergeCell ref="G6:J6"/>
    <mergeCell ref="A25:A26"/>
    <mergeCell ref="B25:E25"/>
    <mergeCell ref="G25:J25"/>
  </mergeCells>
  <phoneticPr fontId="4" type="noConversion"/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pageSetUpPr fitToPage="1"/>
  </sheetPr>
  <dimension ref="A1:F23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19.5" style="17" customWidth="1"/>
    <col min="2" max="2" width="16.25" style="17" customWidth="1"/>
    <col min="3" max="3" width="16" style="17" customWidth="1"/>
    <col min="4" max="4" width="16.625" style="17" customWidth="1"/>
    <col min="5" max="16384" width="11" style="17"/>
  </cols>
  <sheetData>
    <row r="1" spans="1:6" ht="21">
      <c r="A1" s="549" t="s">
        <v>787</v>
      </c>
      <c r="B1" s="508"/>
      <c r="C1" s="508"/>
      <c r="D1" s="508"/>
    </row>
    <row r="2" spans="1:6">
      <c r="A2" s="125" t="s">
        <v>110</v>
      </c>
      <c r="B2" s="226"/>
      <c r="C2" s="226"/>
      <c r="D2" s="226"/>
      <c r="F2" s="492"/>
    </row>
    <row r="3" spans="1:6" ht="12" customHeight="1">
      <c r="A3" s="125"/>
      <c r="B3" s="226"/>
      <c r="C3" s="226"/>
      <c r="D3" s="226"/>
      <c r="F3" s="21"/>
    </row>
    <row r="4" spans="1:6" ht="12" customHeight="1">
      <c r="A4" s="482"/>
      <c r="B4" s="868"/>
      <c r="C4" s="868"/>
      <c r="D4" s="486"/>
    </row>
    <row r="5" spans="1:6" s="244" customFormat="1" ht="12" customHeight="1">
      <c r="A5" s="482"/>
      <c r="B5" s="616"/>
      <c r="C5" s="616"/>
      <c r="D5" s="486"/>
    </row>
    <row r="6" spans="1:6" s="244" customFormat="1" ht="12" customHeight="1" thickBot="1">
      <c r="A6" s="487" t="s">
        <v>848</v>
      </c>
      <c r="B6" s="488" t="s">
        <v>718</v>
      </c>
      <c r="C6" s="488" t="s">
        <v>714</v>
      </c>
      <c r="D6" s="488" t="s">
        <v>698</v>
      </c>
    </row>
    <row r="7" spans="1:6" s="244" customFormat="1" ht="12" customHeight="1">
      <c r="A7" s="52" t="s">
        <v>24</v>
      </c>
      <c r="B7" s="489">
        <v>153</v>
      </c>
      <c r="C7" s="489">
        <v>172</v>
      </c>
      <c r="D7" s="489">
        <v>1196</v>
      </c>
    </row>
    <row r="8" spans="1:6" s="244" customFormat="1" ht="12" customHeight="1">
      <c r="A8" s="52" t="s">
        <v>814</v>
      </c>
      <c r="B8" s="489">
        <v>30</v>
      </c>
      <c r="C8" s="489">
        <v>45</v>
      </c>
      <c r="D8" s="489">
        <v>58</v>
      </c>
    </row>
    <row r="9" spans="1:6" s="244" customFormat="1" ht="12" customHeight="1">
      <c r="A9" s="52" t="s">
        <v>815</v>
      </c>
      <c r="B9" s="489">
        <v>51</v>
      </c>
      <c r="C9" s="489">
        <v>64</v>
      </c>
      <c r="D9" s="489">
        <v>202</v>
      </c>
    </row>
    <row r="10" spans="1:6" s="244" customFormat="1" ht="12" customHeight="1">
      <c r="A10" s="490" t="s">
        <v>816</v>
      </c>
      <c r="B10" s="489">
        <v>37</v>
      </c>
      <c r="C10" s="489">
        <v>33</v>
      </c>
      <c r="D10" s="489">
        <v>9</v>
      </c>
    </row>
    <row r="11" spans="1:6" s="244" customFormat="1" ht="12" customHeight="1">
      <c r="A11" s="490" t="s">
        <v>25</v>
      </c>
      <c r="B11" s="489">
        <v>27</v>
      </c>
      <c r="C11" s="489">
        <v>43</v>
      </c>
      <c r="D11" s="489">
        <v>95</v>
      </c>
    </row>
    <row r="12" spans="1:6" s="244" customFormat="1" ht="12" customHeight="1">
      <c r="A12" s="491" t="s">
        <v>5</v>
      </c>
      <c r="B12" s="262">
        <f>SUM(B7:B11)</f>
        <v>298</v>
      </c>
      <c r="C12" s="262">
        <f t="shared" ref="C12:D12" si="0">SUM(C7:C11)</f>
        <v>357</v>
      </c>
      <c r="D12" s="262">
        <f t="shared" si="0"/>
        <v>1560</v>
      </c>
    </row>
    <row r="13" spans="1:6" s="244" customFormat="1" ht="12" customHeight="1">
      <c r="A13" s="482"/>
      <c r="B13" s="616"/>
      <c r="C13" s="616"/>
      <c r="D13" s="486"/>
    </row>
    <row r="14" spans="1:6" s="244" customFormat="1" ht="12" customHeight="1">
      <c r="A14" s="482"/>
      <c r="B14" s="616"/>
      <c r="C14" s="616"/>
      <c r="D14" s="486"/>
    </row>
    <row r="15" spans="1:6" s="244" customFormat="1" ht="12" customHeight="1">
      <c r="A15" s="482"/>
      <c r="B15" s="616"/>
      <c r="C15" s="616"/>
      <c r="D15" s="486"/>
    </row>
    <row r="16" spans="1:6" ht="12.75" thickBot="1">
      <c r="A16" s="487" t="s">
        <v>826</v>
      </c>
      <c r="B16" s="488" t="s">
        <v>718</v>
      </c>
      <c r="C16" s="488" t="s">
        <v>714</v>
      </c>
      <c r="D16" s="488" t="s">
        <v>698</v>
      </c>
    </row>
    <row r="17" spans="1:6">
      <c r="A17" s="52" t="s">
        <v>24</v>
      </c>
      <c r="B17" s="489">
        <v>89</v>
      </c>
      <c r="C17" s="489">
        <v>216</v>
      </c>
      <c r="D17" s="489">
        <v>776</v>
      </c>
      <c r="F17" s="21"/>
    </row>
    <row r="18" spans="1:6">
      <c r="A18" s="52" t="s">
        <v>814</v>
      </c>
      <c r="B18" s="489">
        <v>16</v>
      </c>
      <c r="C18" s="489">
        <v>61</v>
      </c>
      <c r="D18" s="489">
        <v>91</v>
      </c>
    </row>
    <row r="19" spans="1:6">
      <c r="A19" s="52" t="s">
        <v>815</v>
      </c>
      <c r="B19" s="489">
        <v>24</v>
      </c>
      <c r="C19" s="489">
        <v>64</v>
      </c>
      <c r="D19" s="489">
        <v>32</v>
      </c>
    </row>
    <row r="20" spans="1:6">
      <c r="A20" s="490" t="s">
        <v>816</v>
      </c>
      <c r="B20" s="489">
        <v>24</v>
      </c>
      <c r="C20" s="489">
        <v>27</v>
      </c>
      <c r="D20" s="489">
        <v>6</v>
      </c>
    </row>
    <row r="21" spans="1:6">
      <c r="A21" s="684" t="s">
        <v>25</v>
      </c>
      <c r="B21" s="685">
        <v>14</v>
      </c>
      <c r="C21" s="685">
        <v>102</v>
      </c>
      <c r="D21" s="685">
        <v>14</v>
      </c>
    </row>
    <row r="22" spans="1:6" s="244" customFormat="1">
      <c r="A22" s="686" t="s">
        <v>5</v>
      </c>
      <c r="B22" s="687">
        <f>SUM(B17:B21)</f>
        <v>167</v>
      </c>
      <c r="C22" s="687">
        <f>SUM(C17:C21)</f>
        <v>470</v>
      </c>
      <c r="D22" s="687">
        <f>SUM(D17:D21)</f>
        <v>919</v>
      </c>
    </row>
    <row r="23" spans="1:6" s="244" customFormat="1">
      <c r="A23" s="506"/>
      <c r="B23" s="507"/>
      <c r="C23" s="507"/>
      <c r="D23" s="507"/>
    </row>
  </sheetData>
  <mergeCells count="1">
    <mergeCell ref="B4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pageSetUpPr fitToPage="1"/>
  </sheetPr>
  <dimension ref="A1:J34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61.25" style="17" customWidth="1"/>
    <col min="2" max="2" width="14" style="17" customWidth="1"/>
    <col min="3" max="3" width="14.75" style="17" customWidth="1"/>
    <col min="4" max="4" width="15.625" style="17" customWidth="1"/>
    <col min="5" max="5" width="8.625" style="17" customWidth="1"/>
    <col min="6" max="6" width="45.75" style="17" bestFit="1" customWidth="1"/>
    <col min="7" max="16384" width="11" style="17"/>
  </cols>
  <sheetData>
    <row r="1" spans="1:10" ht="21">
      <c r="A1" s="549" t="s">
        <v>142</v>
      </c>
      <c r="B1" s="549"/>
      <c r="C1" s="549"/>
      <c r="D1" s="549"/>
      <c r="E1" s="549"/>
    </row>
    <row r="2" spans="1:10">
      <c r="A2" s="227" t="s">
        <v>110</v>
      </c>
      <c r="B2" s="227"/>
      <c r="C2" s="227"/>
      <c r="D2" s="227"/>
      <c r="E2" s="227"/>
    </row>
    <row r="3" spans="1:10">
      <c r="F3" s="473"/>
      <c r="G3" s="244"/>
      <c r="H3" s="244"/>
      <c r="I3" s="244"/>
      <c r="J3" s="244"/>
    </row>
    <row r="4" spans="1:10">
      <c r="F4" s="473"/>
      <c r="G4" s="244"/>
      <c r="H4" s="244"/>
      <c r="I4" s="244"/>
      <c r="J4" s="244"/>
    </row>
    <row r="5" spans="1:10" s="244" customFormat="1" ht="48.75" thickBot="1">
      <c r="A5" s="612" t="s">
        <v>846</v>
      </c>
      <c r="B5" s="90">
        <v>43831</v>
      </c>
      <c r="C5" s="241" t="s">
        <v>732</v>
      </c>
      <c r="D5" s="241" t="s">
        <v>817</v>
      </c>
      <c r="E5" s="241" t="s">
        <v>847</v>
      </c>
    </row>
    <row r="6" spans="1:10" s="244" customFormat="1">
      <c r="A6" s="494"/>
      <c r="B6" s="495"/>
      <c r="C6" s="484"/>
      <c r="D6" s="484"/>
      <c r="E6" s="504"/>
    </row>
    <row r="7" spans="1:10" s="244" customFormat="1">
      <c r="A7" s="496" t="s">
        <v>819</v>
      </c>
      <c r="B7" s="476">
        <v>1396</v>
      </c>
      <c r="C7" s="476">
        <v>738</v>
      </c>
      <c r="D7" s="476">
        <v>125</v>
      </c>
      <c r="E7" s="476">
        <f>SUM(B7:D7)</f>
        <v>2259</v>
      </c>
    </row>
    <row r="8" spans="1:10" s="244" customFormat="1">
      <c r="A8" s="497" t="s">
        <v>820</v>
      </c>
      <c r="B8" s="476">
        <v>160</v>
      </c>
      <c r="C8" s="476">
        <v>51</v>
      </c>
      <c r="D8" s="476">
        <v>1</v>
      </c>
      <c r="E8" s="476">
        <f>SUM(B8:D8)</f>
        <v>212</v>
      </c>
    </row>
    <row r="9" spans="1:10" s="244" customFormat="1">
      <c r="A9" s="498" t="s">
        <v>736</v>
      </c>
      <c r="B9" s="478">
        <v>0</v>
      </c>
      <c r="C9" s="478">
        <v>0</v>
      </c>
      <c r="D9" s="478">
        <v>0</v>
      </c>
      <c r="E9" s="679">
        <f>SUM(B9:D9)</f>
        <v>0</v>
      </c>
    </row>
    <row r="10" spans="1:10" s="244" customFormat="1">
      <c r="A10" s="499" t="s">
        <v>737</v>
      </c>
      <c r="B10" s="480">
        <f>B7+B8+B9</f>
        <v>1556</v>
      </c>
      <c r="C10" s="480">
        <f>C7+C8+C9</f>
        <v>789</v>
      </c>
      <c r="D10" s="480">
        <f>D7+D8+D9</f>
        <v>126</v>
      </c>
      <c r="E10" s="680">
        <f>E7+E8+E9</f>
        <v>2471</v>
      </c>
    </row>
    <row r="11" spans="1:10" s="244" customFormat="1">
      <c r="A11" s="12"/>
      <c r="B11" s="500"/>
      <c r="C11" s="500"/>
      <c r="D11" s="500"/>
      <c r="E11" s="485"/>
    </row>
    <row r="12" spans="1:10" s="244" customFormat="1">
      <c r="A12" s="12" t="s">
        <v>738</v>
      </c>
      <c r="B12" s="500"/>
      <c r="C12" s="500"/>
      <c r="D12" s="500"/>
      <c r="E12" s="485"/>
    </row>
    <row r="13" spans="1:10" s="244" customFormat="1">
      <c r="A13" s="501" t="s">
        <v>821</v>
      </c>
      <c r="B13" s="476">
        <v>1426</v>
      </c>
      <c r="C13" s="476">
        <v>789</v>
      </c>
      <c r="D13" s="476">
        <v>0</v>
      </c>
      <c r="E13" s="476">
        <f>SUM(B13:D13)</f>
        <v>2215</v>
      </c>
    </row>
    <row r="14" spans="1:10" s="244" customFormat="1">
      <c r="A14" s="502" t="s">
        <v>739</v>
      </c>
      <c r="B14" s="478">
        <v>130</v>
      </c>
      <c r="C14" s="478">
        <v>0</v>
      </c>
      <c r="D14" s="478">
        <v>126</v>
      </c>
      <c r="E14" s="679">
        <f>SUM(B14:D14)</f>
        <v>256</v>
      </c>
    </row>
    <row r="15" spans="1:10" s="244" customFormat="1">
      <c r="A15" s="503" t="s">
        <v>737</v>
      </c>
      <c r="B15" s="480">
        <f>B13+B14</f>
        <v>1556</v>
      </c>
      <c r="C15" s="480">
        <f>C13+C14</f>
        <v>789</v>
      </c>
      <c r="D15" s="480">
        <f>D13+D14</f>
        <v>126</v>
      </c>
      <c r="E15" s="680">
        <f>E13+E14</f>
        <v>2471</v>
      </c>
    </row>
    <row r="16" spans="1:10" s="244" customFormat="1">
      <c r="F16" s="611"/>
    </row>
    <row r="17" spans="1:10" s="244" customFormat="1">
      <c r="F17" s="611"/>
    </row>
    <row r="18" spans="1:10" s="244" customFormat="1">
      <c r="F18" s="611"/>
    </row>
    <row r="19" spans="1:10" s="244" customFormat="1">
      <c r="F19" s="611"/>
    </row>
    <row r="20" spans="1:10" s="244" customFormat="1">
      <c r="F20" s="611"/>
    </row>
    <row r="21" spans="1:10">
      <c r="A21" s="493" t="s">
        <v>845</v>
      </c>
      <c r="B21" s="869"/>
      <c r="C21" s="869"/>
      <c r="D21" s="869"/>
      <c r="E21" s="869"/>
      <c r="F21" s="442"/>
      <c r="G21" s="244"/>
      <c r="H21" s="244"/>
      <c r="I21" s="244"/>
      <c r="J21" s="244"/>
    </row>
    <row r="22" spans="1:10" ht="24.75" thickBot="1">
      <c r="A22" s="455" t="s">
        <v>731</v>
      </c>
      <c r="B22" s="90">
        <v>43466</v>
      </c>
      <c r="C22" s="241" t="s">
        <v>732</v>
      </c>
      <c r="D22" s="241" t="s">
        <v>733</v>
      </c>
      <c r="E22" s="241" t="s">
        <v>818</v>
      </c>
    </row>
    <row r="23" spans="1:10">
      <c r="A23" s="494"/>
      <c r="B23" s="495"/>
      <c r="C23" s="484"/>
      <c r="D23" s="484"/>
      <c r="E23" s="504"/>
    </row>
    <row r="24" spans="1:10">
      <c r="A24" s="496" t="s">
        <v>734</v>
      </c>
      <c r="B24" s="476">
        <v>1168</v>
      </c>
      <c r="C24" s="476">
        <v>205</v>
      </c>
      <c r="D24" s="476">
        <v>23</v>
      </c>
      <c r="E24" s="476">
        <f>SUM(B24:D24)</f>
        <v>1396</v>
      </c>
    </row>
    <row r="25" spans="1:10">
      <c r="A25" s="497" t="s">
        <v>735</v>
      </c>
      <c r="B25" s="476">
        <v>166</v>
      </c>
      <c r="C25" s="476">
        <v>-6</v>
      </c>
      <c r="D25" s="476">
        <v>0</v>
      </c>
      <c r="E25" s="476">
        <f>SUM(B25:D25)</f>
        <v>160</v>
      </c>
    </row>
    <row r="26" spans="1:10">
      <c r="A26" s="498" t="s">
        <v>736</v>
      </c>
      <c r="B26" s="478">
        <v>0</v>
      </c>
      <c r="C26" s="478">
        <v>0</v>
      </c>
      <c r="D26" s="478">
        <v>0</v>
      </c>
      <c r="E26" s="478">
        <f>SUM(B26:D26)</f>
        <v>0</v>
      </c>
    </row>
    <row r="27" spans="1:10">
      <c r="A27" s="499" t="s">
        <v>737</v>
      </c>
      <c r="B27" s="480">
        <f>SUM(B24:B26)</f>
        <v>1334</v>
      </c>
      <c r="C27" s="480">
        <f>SUM(C24:C26)</f>
        <v>199</v>
      </c>
      <c r="D27" s="480">
        <f>SUM(D24:D26)</f>
        <v>23</v>
      </c>
      <c r="E27" s="481">
        <f>SUM(E24:E26)</f>
        <v>1556</v>
      </c>
    </row>
    <row r="28" spans="1:10">
      <c r="A28" s="12"/>
      <c r="B28" s="500"/>
      <c r="C28" s="500"/>
      <c r="D28" s="500"/>
      <c r="E28" s="485"/>
    </row>
    <row r="29" spans="1:10">
      <c r="A29" s="12" t="s">
        <v>738</v>
      </c>
      <c r="B29" s="500"/>
      <c r="C29" s="500"/>
      <c r="D29" s="500"/>
      <c r="E29" s="485"/>
    </row>
    <row r="30" spans="1:10">
      <c r="A30" s="501" t="s">
        <v>699</v>
      </c>
      <c r="B30" s="476">
        <v>1227</v>
      </c>
      <c r="C30" s="476">
        <v>199</v>
      </c>
      <c r="D30" s="476">
        <v>0</v>
      </c>
      <c r="E30" s="476">
        <f>SUM(B30:D30)</f>
        <v>1426</v>
      </c>
    </row>
    <row r="31" spans="1:10">
      <c r="A31" s="502" t="s">
        <v>739</v>
      </c>
      <c r="B31" s="478">
        <v>107</v>
      </c>
      <c r="C31" s="478">
        <v>0</v>
      </c>
      <c r="D31" s="478">
        <v>23</v>
      </c>
      <c r="E31" s="478">
        <f>SUM(B31:D31)</f>
        <v>130</v>
      </c>
    </row>
    <row r="32" spans="1:10">
      <c r="A32" s="503" t="s">
        <v>737</v>
      </c>
      <c r="B32" s="480">
        <f>+B30+B31</f>
        <v>1334</v>
      </c>
      <c r="C32" s="480">
        <f>+C30+C31</f>
        <v>199</v>
      </c>
      <c r="D32" s="480">
        <f>+D30+D31</f>
        <v>23</v>
      </c>
      <c r="E32" s="481">
        <f>+E30+E31</f>
        <v>1556</v>
      </c>
    </row>
    <row r="34" spans="1:5">
      <c r="A34" s="227"/>
      <c r="B34" s="227"/>
      <c r="C34" s="227"/>
      <c r="D34" s="227"/>
      <c r="E34" s="227"/>
    </row>
  </sheetData>
  <mergeCells count="1">
    <mergeCell ref="B21:E2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/>
  <dimension ref="A1:K155"/>
  <sheetViews>
    <sheetView zoomScaleNormal="100" workbookViewId="0"/>
  </sheetViews>
  <sheetFormatPr baseColWidth="10" defaultColWidth="10" defaultRowHeight="12.75"/>
  <cols>
    <col min="1" max="1" width="24.75" style="514" customWidth="1"/>
    <col min="2" max="2" width="13.125" style="514" bestFit="1" customWidth="1"/>
    <col min="3" max="3" width="14.875" style="514" bestFit="1" customWidth="1"/>
    <col min="4" max="4" width="14.25" style="514" bestFit="1" customWidth="1"/>
    <col min="5" max="5" width="11.75" style="514" customWidth="1"/>
    <col min="6" max="6" width="13.875" style="514" bestFit="1" customWidth="1"/>
    <col min="7" max="7" width="15.375" style="514" customWidth="1"/>
    <col min="8" max="8" width="10.875" style="514" bestFit="1" customWidth="1"/>
    <col min="9" max="9" width="13.5" style="514" customWidth="1"/>
    <col min="10" max="10" width="12.125" style="514" customWidth="1"/>
    <col min="11" max="16384" width="10" style="514"/>
  </cols>
  <sheetData>
    <row r="1" spans="1:11" ht="21">
      <c r="A1" s="513" t="s">
        <v>761</v>
      </c>
    </row>
    <row r="3" spans="1:11">
      <c r="A3" s="788">
        <v>2020</v>
      </c>
    </row>
    <row r="4" spans="1:11" ht="38.25">
      <c r="A4" s="789" t="s">
        <v>114</v>
      </c>
      <c r="B4" s="576" t="s">
        <v>762</v>
      </c>
      <c r="C4" s="577" t="s">
        <v>763</v>
      </c>
      <c r="D4" s="577" t="s">
        <v>764</v>
      </c>
      <c r="E4" s="578" t="s">
        <v>39</v>
      </c>
      <c r="F4" s="790" t="s">
        <v>765</v>
      </c>
      <c r="G4" s="790" t="s">
        <v>766</v>
      </c>
      <c r="H4" s="578" t="s">
        <v>767</v>
      </c>
      <c r="I4" s="578" t="s">
        <v>801</v>
      </c>
      <c r="J4" s="578" t="s">
        <v>768</v>
      </c>
      <c r="K4" s="578" t="s">
        <v>623</v>
      </c>
    </row>
    <row r="5" spans="1:11">
      <c r="A5" s="579" t="s">
        <v>769</v>
      </c>
      <c r="B5" s="580" t="s">
        <v>45</v>
      </c>
      <c r="C5" s="515">
        <v>0</v>
      </c>
      <c r="D5" s="516">
        <v>0</v>
      </c>
      <c r="E5" s="516">
        <v>0</v>
      </c>
      <c r="F5" s="791">
        <v>0</v>
      </c>
      <c r="G5" s="792"/>
      <c r="H5" s="516">
        <v>0</v>
      </c>
      <c r="I5" s="516"/>
      <c r="J5" s="581">
        <v>0</v>
      </c>
      <c r="K5" s="516">
        <v>0</v>
      </c>
    </row>
    <row r="6" spans="1:11">
      <c r="A6" s="579" t="s">
        <v>769</v>
      </c>
      <c r="B6" s="580" t="s">
        <v>46</v>
      </c>
      <c r="C6" s="515">
        <v>137608567</v>
      </c>
      <c r="D6" s="516">
        <v>41565741</v>
      </c>
      <c r="E6" s="516">
        <v>179174.30799999999</v>
      </c>
      <c r="F6" s="791">
        <v>0.21450006102437399</v>
      </c>
      <c r="G6" s="793">
        <v>14.6907998662398</v>
      </c>
      <c r="H6" s="516">
        <v>32918.718000000001</v>
      </c>
      <c r="I6" s="516">
        <v>32413.903999999999</v>
      </c>
      <c r="J6" s="518">
        <v>0.1837245438112701</v>
      </c>
      <c r="K6" s="516">
        <v>56.634</v>
      </c>
    </row>
    <row r="7" spans="1:11">
      <c r="A7" s="579" t="s">
        <v>769</v>
      </c>
      <c r="B7" s="580" t="s">
        <v>47</v>
      </c>
      <c r="C7" s="515">
        <v>2469327881</v>
      </c>
      <c r="D7" s="516">
        <v>932447519</v>
      </c>
      <c r="E7" s="516">
        <v>3021986.9909999999</v>
      </c>
      <c r="F7" s="791">
        <v>0.36616674121867798</v>
      </c>
      <c r="G7" s="793">
        <v>24.314517693670599</v>
      </c>
      <c r="H7" s="516">
        <v>900666.70399999991</v>
      </c>
      <c r="I7" s="516">
        <v>821296.37199999997</v>
      </c>
      <c r="J7" s="518">
        <v>0.29803791567678523</v>
      </c>
      <c r="K7" s="516">
        <v>2663.8220000000001</v>
      </c>
    </row>
    <row r="8" spans="1:11">
      <c r="A8" s="579" t="s">
        <v>769</v>
      </c>
      <c r="B8" s="580" t="s">
        <v>48</v>
      </c>
      <c r="C8" s="515">
        <v>2447426902</v>
      </c>
      <c r="D8" s="516">
        <v>992514682</v>
      </c>
      <c r="E8" s="516">
        <v>2970339.91</v>
      </c>
      <c r="F8" s="791">
        <v>0.63177291382789902</v>
      </c>
      <c r="G8" s="793">
        <v>23.6182476839831</v>
      </c>
      <c r="H8" s="516">
        <v>1100466.8959999999</v>
      </c>
      <c r="I8" s="516">
        <v>1032043.324</v>
      </c>
      <c r="J8" s="518">
        <v>0.37048517319352853</v>
      </c>
      <c r="K8" s="516">
        <v>4421.9359999999997</v>
      </c>
    </row>
    <row r="9" spans="1:11">
      <c r="A9" s="579" t="s">
        <v>769</v>
      </c>
      <c r="B9" s="580" t="s">
        <v>49</v>
      </c>
      <c r="C9" s="515">
        <v>4046695606</v>
      </c>
      <c r="D9" s="516">
        <v>2078971074</v>
      </c>
      <c r="E9" s="516">
        <v>5223506.591</v>
      </c>
      <c r="F9" s="791">
        <v>0.98704731542667401</v>
      </c>
      <c r="G9" s="793">
        <v>27.997529762976601</v>
      </c>
      <c r="H9" s="516">
        <v>2729738.7710000002</v>
      </c>
      <c r="I9" s="516">
        <v>2591284.8859999999</v>
      </c>
      <c r="J9" s="518">
        <v>0.52258740817964833</v>
      </c>
      <c r="K9" s="516">
        <v>14504.505000000001</v>
      </c>
    </row>
    <row r="10" spans="1:11">
      <c r="A10" s="579" t="s">
        <v>769</v>
      </c>
      <c r="B10" s="580" t="s">
        <v>50</v>
      </c>
      <c r="C10" s="515">
        <v>4658439960</v>
      </c>
      <c r="D10" s="516">
        <v>1503759322</v>
      </c>
      <c r="E10" s="516">
        <v>5607923.0750000002</v>
      </c>
      <c r="F10" s="791">
        <v>1.7699258162601399</v>
      </c>
      <c r="G10" s="793">
        <v>29.354488560824802</v>
      </c>
      <c r="H10" s="516">
        <v>3420573.3</v>
      </c>
      <c r="I10" s="516">
        <v>3229776.8960000002</v>
      </c>
      <c r="J10" s="518">
        <v>0.60995367701258985</v>
      </c>
      <c r="K10" s="516">
        <v>29607.414000000001</v>
      </c>
    </row>
    <row r="11" spans="1:11">
      <c r="A11" s="579" t="s">
        <v>769</v>
      </c>
      <c r="B11" s="580" t="s">
        <v>51</v>
      </c>
      <c r="C11" s="515">
        <v>5604631495</v>
      </c>
      <c r="D11" s="516">
        <v>1781671997</v>
      </c>
      <c r="E11" s="516">
        <v>6678505.8509999998</v>
      </c>
      <c r="F11" s="791">
        <v>3.8475386154647402</v>
      </c>
      <c r="G11" s="793">
        <v>33.766326043345899</v>
      </c>
      <c r="H11" s="516">
        <v>5608995.9910000004</v>
      </c>
      <c r="I11" s="516">
        <v>5440838.5669999998</v>
      </c>
      <c r="J11" s="518">
        <v>0.83985791375179264</v>
      </c>
      <c r="K11" s="516">
        <v>84455.118000000002</v>
      </c>
    </row>
    <row r="12" spans="1:11">
      <c r="A12" s="579" t="s">
        <v>769</v>
      </c>
      <c r="B12" s="580" t="s">
        <v>52</v>
      </c>
      <c r="C12" s="515">
        <v>681082556</v>
      </c>
      <c r="D12" s="516">
        <v>228598724</v>
      </c>
      <c r="E12" s="516">
        <v>853841.12</v>
      </c>
      <c r="F12" s="791">
        <v>6.9141235549770697</v>
      </c>
      <c r="G12" s="793">
        <v>46.414918152454398</v>
      </c>
      <c r="H12" s="516">
        <v>1184553.622</v>
      </c>
      <c r="I12" s="516">
        <v>1087543.048</v>
      </c>
      <c r="J12" s="518">
        <v>1.3873232317506563</v>
      </c>
      <c r="K12" s="516">
        <v>27646.024000000001</v>
      </c>
    </row>
    <row r="13" spans="1:11">
      <c r="A13" s="579" t="s">
        <v>769</v>
      </c>
      <c r="B13" s="580" t="s">
        <v>770</v>
      </c>
      <c r="C13" s="515">
        <v>404948290</v>
      </c>
      <c r="D13" s="516">
        <v>187745995</v>
      </c>
      <c r="E13" s="516">
        <v>539110.30599999998</v>
      </c>
      <c r="F13" s="791">
        <v>16.233703386111898</v>
      </c>
      <c r="G13" s="793">
        <v>49.561102250566101</v>
      </c>
      <c r="H13" s="516">
        <v>1112285.0460000001</v>
      </c>
      <c r="I13" s="516">
        <v>961585.30599999998</v>
      </c>
      <c r="J13" s="518">
        <v>2.0631863899110847</v>
      </c>
      <c r="K13" s="516">
        <v>44630.442000000003</v>
      </c>
    </row>
    <row r="14" spans="1:11">
      <c r="A14" s="579" t="s">
        <v>769</v>
      </c>
      <c r="B14" s="580" t="s">
        <v>54</v>
      </c>
      <c r="C14" s="515">
        <v>27384230</v>
      </c>
      <c r="D14" s="516">
        <v>11810506</v>
      </c>
      <c r="E14" s="516">
        <v>35348.47</v>
      </c>
      <c r="F14" s="791">
        <v>100</v>
      </c>
      <c r="G14" s="793">
        <v>43.444788416584899</v>
      </c>
      <c r="H14" s="516">
        <v>20398.674999999999</v>
      </c>
      <c r="I14" s="516">
        <v>20398.674999999999</v>
      </c>
      <c r="J14" s="518">
        <v>0.57707377433874785</v>
      </c>
      <c r="K14" s="516">
        <v>15357.07</v>
      </c>
    </row>
    <row r="15" spans="1:11">
      <c r="A15" s="579" t="s">
        <v>769</v>
      </c>
      <c r="B15" s="579" t="s">
        <v>55</v>
      </c>
      <c r="C15" s="519">
        <v>1794572341</v>
      </c>
      <c r="D15" s="520">
        <v>1059258479</v>
      </c>
      <c r="E15" s="520">
        <v>2754428.6660000002</v>
      </c>
      <c r="F15" s="794">
        <v>100</v>
      </c>
      <c r="G15" s="583">
        <v>0</v>
      </c>
      <c r="H15" s="520">
        <v>1718988.3759999999</v>
      </c>
      <c r="I15" s="520">
        <v>1718988.3759999999</v>
      </c>
      <c r="J15" s="522">
        <v>0.62408164612094541</v>
      </c>
      <c r="K15" s="520">
        <v>687182.55200000003</v>
      </c>
    </row>
    <row r="16" spans="1:11">
      <c r="A16" s="584" t="s">
        <v>769</v>
      </c>
      <c r="B16" s="584" t="s">
        <v>771</v>
      </c>
      <c r="C16" s="585">
        <v>22272117828</v>
      </c>
      <c r="D16" s="523">
        <v>8818344039</v>
      </c>
      <c r="E16" s="586">
        <v>27864165.288000003</v>
      </c>
      <c r="F16" s="795">
        <v>12.11</v>
      </c>
      <c r="G16" s="795">
        <v>26.93</v>
      </c>
      <c r="H16" s="586">
        <v>17829586.098999999</v>
      </c>
      <c r="I16" s="586">
        <v>16936169.353999998</v>
      </c>
      <c r="J16" s="524">
        <v>0.63987511970001487</v>
      </c>
      <c r="K16" s="523">
        <v>910525.51699999999</v>
      </c>
    </row>
    <row r="17" spans="1:11">
      <c r="A17" s="588" t="s">
        <v>80</v>
      </c>
      <c r="B17" s="589" t="s">
        <v>45</v>
      </c>
      <c r="C17" s="526">
        <v>93593813</v>
      </c>
      <c r="D17" s="530">
        <v>82290820</v>
      </c>
      <c r="E17" s="528">
        <v>115939.223</v>
      </c>
      <c r="F17" s="796">
        <v>9.5748442267894099E-2</v>
      </c>
      <c r="G17" s="796">
        <v>18.721289860636698</v>
      </c>
      <c r="H17" s="528">
        <v>12818.665000000001</v>
      </c>
      <c r="I17" s="516">
        <v>12625.261</v>
      </c>
      <c r="J17" s="518">
        <v>0.11056366144527294</v>
      </c>
      <c r="K17" s="528">
        <v>20.669</v>
      </c>
    </row>
    <row r="18" spans="1:11">
      <c r="A18" s="579" t="s">
        <v>80</v>
      </c>
      <c r="B18" s="580" t="s">
        <v>46</v>
      </c>
      <c r="C18" s="515">
        <v>848737428</v>
      </c>
      <c r="D18" s="530">
        <v>684205179</v>
      </c>
      <c r="E18" s="516">
        <v>1150503.9010000001</v>
      </c>
      <c r="F18" s="797">
        <v>0.14892474493226401</v>
      </c>
      <c r="G18" s="797">
        <v>26.986315711762199</v>
      </c>
      <c r="H18" s="516">
        <v>268222.49800000002</v>
      </c>
      <c r="I18" s="516">
        <v>265964.32400000002</v>
      </c>
      <c r="J18" s="518">
        <v>0.23313480099186557</v>
      </c>
      <c r="K18" s="516">
        <v>456.67700000000002</v>
      </c>
    </row>
    <row r="19" spans="1:11">
      <c r="A19" s="579" t="s">
        <v>80</v>
      </c>
      <c r="B19" s="580" t="s">
        <v>47</v>
      </c>
      <c r="C19" s="515">
        <v>5715878454</v>
      </c>
      <c r="D19" s="530">
        <v>245266048</v>
      </c>
      <c r="E19" s="516">
        <v>5826982.5990000004</v>
      </c>
      <c r="F19" s="797">
        <v>0.37821436095900002</v>
      </c>
      <c r="G19" s="797">
        <v>25.164139348067401</v>
      </c>
      <c r="H19" s="516">
        <v>1872111.5649999999</v>
      </c>
      <c r="I19" s="516">
        <v>1770132.8540000001</v>
      </c>
      <c r="J19" s="518">
        <v>0.32128319129034005</v>
      </c>
      <c r="K19" s="516">
        <v>5542.8990000000003</v>
      </c>
    </row>
    <row r="20" spans="1:11">
      <c r="A20" s="579" t="s">
        <v>80</v>
      </c>
      <c r="B20" s="580" t="s">
        <v>48</v>
      </c>
      <c r="C20" s="515">
        <v>4743714431</v>
      </c>
      <c r="D20" s="530">
        <v>321272422</v>
      </c>
      <c r="E20" s="516">
        <v>4936912.1150000002</v>
      </c>
      <c r="F20" s="797">
        <v>0.60995584483885401</v>
      </c>
      <c r="G20" s="797">
        <v>24.4484057419766</v>
      </c>
      <c r="H20" s="516">
        <v>1924632.0049999999</v>
      </c>
      <c r="I20" s="516">
        <v>1866528.6259999999</v>
      </c>
      <c r="J20" s="518">
        <v>0.38984530414311414</v>
      </c>
      <c r="K20" s="516">
        <v>7385.6059999999998</v>
      </c>
    </row>
    <row r="21" spans="1:11">
      <c r="A21" s="579" t="s">
        <v>80</v>
      </c>
      <c r="B21" s="580" t="s">
        <v>49</v>
      </c>
      <c r="C21" s="515">
        <v>7623906484</v>
      </c>
      <c r="D21" s="530">
        <v>815180121</v>
      </c>
      <c r="E21" s="516">
        <v>8162708.9550000001</v>
      </c>
      <c r="F21" s="797">
        <v>0.98410702185816201</v>
      </c>
      <c r="G21" s="797">
        <v>28.174584058779502</v>
      </c>
      <c r="H21" s="516">
        <v>4147079.912</v>
      </c>
      <c r="I21" s="516">
        <v>4030587.6310000001</v>
      </c>
      <c r="J21" s="518">
        <v>0.50805191448847875</v>
      </c>
      <c r="K21" s="516">
        <v>22424.955000000002</v>
      </c>
    </row>
    <row r="22" spans="1:11">
      <c r="A22" s="579" t="s">
        <v>80</v>
      </c>
      <c r="B22" s="580" t="s">
        <v>50</v>
      </c>
      <c r="C22" s="515">
        <v>12766022841</v>
      </c>
      <c r="D22" s="530">
        <v>894380607</v>
      </c>
      <c r="E22" s="516">
        <v>13402478.393999999</v>
      </c>
      <c r="F22" s="797">
        <v>1.7184039192564899</v>
      </c>
      <c r="G22" s="797">
        <v>25.7123381638335</v>
      </c>
      <c r="H22" s="516">
        <v>7483220.0329999998</v>
      </c>
      <c r="I22" s="516">
        <v>7290870.227</v>
      </c>
      <c r="J22" s="518">
        <v>0.55834598743692632</v>
      </c>
      <c r="K22" s="516">
        <v>58931.983</v>
      </c>
    </row>
    <row r="23" spans="1:11">
      <c r="A23" s="579" t="s">
        <v>80</v>
      </c>
      <c r="B23" s="580" t="s">
        <v>51</v>
      </c>
      <c r="C23" s="515">
        <v>6575045276</v>
      </c>
      <c r="D23" s="530">
        <v>1263112392</v>
      </c>
      <c r="E23" s="516">
        <v>7506592.1789999995</v>
      </c>
      <c r="F23" s="797">
        <v>3.4845711977235099</v>
      </c>
      <c r="G23" s="797">
        <v>28.251605008366301</v>
      </c>
      <c r="H23" s="516">
        <v>5221332.4859999996</v>
      </c>
      <c r="I23" s="516">
        <v>5038355.7149999999</v>
      </c>
      <c r="J23" s="518">
        <v>0.69556629179974527</v>
      </c>
      <c r="K23" s="516">
        <v>74954.544999999998</v>
      </c>
    </row>
    <row r="24" spans="1:11">
      <c r="A24" s="579" t="s">
        <v>80</v>
      </c>
      <c r="B24" s="580" t="s">
        <v>52</v>
      </c>
      <c r="C24" s="515">
        <v>2581282594</v>
      </c>
      <c r="D24" s="530">
        <v>189579712</v>
      </c>
      <c r="E24" s="516">
        <v>2744855.0189999999</v>
      </c>
      <c r="F24" s="797">
        <v>6.5421328178353599</v>
      </c>
      <c r="G24" s="797">
        <v>27.996682581798702</v>
      </c>
      <c r="H24" s="516">
        <v>2258773.4559999998</v>
      </c>
      <c r="I24" s="516">
        <v>2175457.5240000002</v>
      </c>
      <c r="J24" s="518">
        <v>0.82291175321271126</v>
      </c>
      <c r="K24" s="516">
        <v>50379.976000000002</v>
      </c>
    </row>
    <row r="25" spans="1:11">
      <c r="A25" s="579" t="s">
        <v>80</v>
      </c>
      <c r="B25" s="580" t="s">
        <v>770</v>
      </c>
      <c r="C25" s="515">
        <v>413621976</v>
      </c>
      <c r="D25" s="530">
        <v>34637344</v>
      </c>
      <c r="E25" s="516">
        <v>440889.68300000002</v>
      </c>
      <c r="F25" s="797">
        <v>15.674417584409699</v>
      </c>
      <c r="G25" s="797">
        <v>32.911891249675698</v>
      </c>
      <c r="H25" s="516">
        <v>584582.92599999998</v>
      </c>
      <c r="I25" s="516">
        <v>504106.51799999998</v>
      </c>
      <c r="J25" s="518">
        <v>1.3259165467929535</v>
      </c>
      <c r="K25" s="516">
        <v>22519.406999999999</v>
      </c>
    </row>
    <row r="26" spans="1:11">
      <c r="A26" s="579" t="s">
        <v>80</v>
      </c>
      <c r="B26" s="580" t="s">
        <v>54</v>
      </c>
      <c r="C26" s="515">
        <v>11922743</v>
      </c>
      <c r="D26" s="530">
        <v>178000</v>
      </c>
      <c r="E26" s="516">
        <v>12011.743</v>
      </c>
      <c r="F26" s="797">
        <v>100</v>
      </c>
      <c r="G26" s="797">
        <v>35.149619834523598</v>
      </c>
      <c r="H26" s="516">
        <v>2209.8879999999999</v>
      </c>
      <c r="I26" s="516">
        <v>2209.8879999999999</v>
      </c>
      <c r="J26" s="518">
        <v>0.18397729621754311</v>
      </c>
      <c r="K26" s="516">
        <v>4222.0829999999996</v>
      </c>
    </row>
    <row r="27" spans="1:11">
      <c r="A27" s="579" t="s">
        <v>80</v>
      </c>
      <c r="B27" s="579" t="s">
        <v>55</v>
      </c>
      <c r="C27" s="519">
        <v>219406513</v>
      </c>
      <c r="D27" s="532">
        <v>5909134</v>
      </c>
      <c r="E27" s="520">
        <v>223615.022</v>
      </c>
      <c r="F27" s="798">
        <v>100</v>
      </c>
      <c r="G27" s="798">
        <v>10.7461389601992</v>
      </c>
      <c r="H27" s="520">
        <v>173148.52900000001</v>
      </c>
      <c r="I27" s="520">
        <v>173148.52900000001</v>
      </c>
      <c r="J27" s="522">
        <v>0.77431528280778927</v>
      </c>
      <c r="K27" s="520">
        <v>70835.281000000003</v>
      </c>
    </row>
    <row r="28" spans="1:11">
      <c r="A28" s="584" t="s">
        <v>80</v>
      </c>
      <c r="B28" s="584" t="s">
        <v>771</v>
      </c>
      <c r="C28" s="534">
        <v>41593132553</v>
      </c>
      <c r="D28" s="535">
        <v>4536011779</v>
      </c>
      <c r="E28" s="523">
        <v>44523488.832999997</v>
      </c>
      <c r="F28" s="795">
        <v>2.38</v>
      </c>
      <c r="G28" s="795">
        <v>26.69</v>
      </c>
      <c r="H28" s="586">
        <v>23948131.962999996</v>
      </c>
      <c r="I28" s="586">
        <v>23129987.096999999</v>
      </c>
      <c r="J28" s="536">
        <v>0.53787635674341128</v>
      </c>
      <c r="K28" s="523">
        <v>317674.08100000001</v>
      </c>
    </row>
    <row r="29" spans="1:11">
      <c r="A29" s="588" t="s">
        <v>772</v>
      </c>
      <c r="B29" s="589" t="s">
        <v>45</v>
      </c>
      <c r="C29" s="526">
        <v>0</v>
      </c>
      <c r="D29" s="527">
        <v>0</v>
      </c>
      <c r="E29" s="528">
        <v>0</v>
      </c>
      <c r="F29" s="799"/>
      <c r="G29" s="799"/>
      <c r="H29" s="537">
        <v>0</v>
      </c>
      <c r="I29" s="537">
        <v>0</v>
      </c>
      <c r="J29" s="590"/>
      <c r="K29" s="528">
        <v>0</v>
      </c>
    </row>
    <row r="30" spans="1:11">
      <c r="A30" s="579" t="s">
        <v>772</v>
      </c>
      <c r="B30" s="580" t="s">
        <v>46</v>
      </c>
      <c r="C30" s="515">
        <v>86425227</v>
      </c>
      <c r="D30" s="530">
        <v>0</v>
      </c>
      <c r="E30" s="516">
        <v>86425.226999999999</v>
      </c>
      <c r="F30" s="800">
        <v>0.15000018455259601</v>
      </c>
      <c r="G30" s="800">
        <v>18.6516802553495</v>
      </c>
      <c r="H30" s="537">
        <v>11650.684999999999</v>
      </c>
      <c r="I30" s="537">
        <v>11650.684999999999</v>
      </c>
      <c r="J30" s="518">
        <v>0.13480653050526556</v>
      </c>
      <c r="K30" s="516">
        <v>24.18</v>
      </c>
    </row>
    <row r="31" spans="1:11">
      <c r="A31" s="579" t="s">
        <v>772</v>
      </c>
      <c r="B31" s="580" t="s">
        <v>47</v>
      </c>
      <c r="C31" s="515">
        <v>1251470170</v>
      </c>
      <c r="D31" s="530">
        <v>144650860</v>
      </c>
      <c r="E31" s="516">
        <v>1300400.3419999999</v>
      </c>
      <c r="F31" s="800">
        <v>0.368651779391796</v>
      </c>
      <c r="G31" s="800">
        <v>16.377893262657999</v>
      </c>
      <c r="H31" s="537">
        <v>301763.34299999999</v>
      </c>
      <c r="I31" s="537">
        <v>301763.34299999999</v>
      </c>
      <c r="J31" s="518">
        <v>0.2320541861253986</v>
      </c>
      <c r="K31" s="516">
        <v>766.63300000000004</v>
      </c>
    </row>
    <row r="32" spans="1:11">
      <c r="A32" s="579" t="s">
        <v>772</v>
      </c>
      <c r="B32" s="580" t="s">
        <v>48</v>
      </c>
      <c r="C32" s="515">
        <v>1049676700</v>
      </c>
      <c r="D32" s="530">
        <v>203616235</v>
      </c>
      <c r="E32" s="516">
        <v>1169984.818</v>
      </c>
      <c r="F32" s="800">
        <v>0.63256666976682097</v>
      </c>
      <c r="G32" s="800">
        <v>35.367128157042501</v>
      </c>
      <c r="H32" s="537">
        <v>742687.64800000004</v>
      </c>
      <c r="I32" s="537">
        <v>742687.64800000004</v>
      </c>
      <c r="J32" s="518">
        <v>0.63478400452201433</v>
      </c>
      <c r="K32" s="516">
        <v>2714.828</v>
      </c>
    </row>
    <row r="33" spans="1:11">
      <c r="A33" s="579" t="s">
        <v>772</v>
      </c>
      <c r="B33" s="580" t="s">
        <v>49</v>
      </c>
      <c r="C33" s="515">
        <v>484343416</v>
      </c>
      <c r="D33" s="530">
        <v>1167436656</v>
      </c>
      <c r="E33" s="516">
        <v>1069307.3119999999</v>
      </c>
      <c r="F33" s="800">
        <v>0.93317981538313799</v>
      </c>
      <c r="G33" s="800">
        <v>23.6921985996856</v>
      </c>
      <c r="H33" s="537">
        <v>513555.59700000001</v>
      </c>
      <c r="I33" s="537">
        <v>513555.59700000001</v>
      </c>
      <c r="J33" s="518">
        <v>0.4802694148228176</v>
      </c>
      <c r="K33" s="516">
        <v>2257.5160000000001</v>
      </c>
    </row>
    <row r="34" spans="1:11">
      <c r="A34" s="579" t="s">
        <v>772</v>
      </c>
      <c r="B34" s="580" t="s">
        <v>50</v>
      </c>
      <c r="C34" s="515">
        <v>2705981252</v>
      </c>
      <c r="D34" s="530">
        <v>1022378811</v>
      </c>
      <c r="E34" s="516">
        <v>3287037.9610000001</v>
      </c>
      <c r="F34" s="800">
        <v>1.73154778482341</v>
      </c>
      <c r="G34" s="800">
        <v>24.202564054294498</v>
      </c>
      <c r="H34" s="537">
        <v>1942098.419</v>
      </c>
      <c r="I34" s="537">
        <v>1942098.419</v>
      </c>
      <c r="J34" s="518">
        <v>0.59083540927807376</v>
      </c>
      <c r="K34" s="516">
        <v>13710.22</v>
      </c>
    </row>
    <row r="35" spans="1:11">
      <c r="A35" s="579" t="s">
        <v>772</v>
      </c>
      <c r="B35" s="580" t="s">
        <v>51</v>
      </c>
      <c r="C35" s="515">
        <v>576793060</v>
      </c>
      <c r="D35" s="530">
        <v>724468160</v>
      </c>
      <c r="E35" s="516">
        <v>950983.04599999997</v>
      </c>
      <c r="F35" s="800">
        <v>3.5489201560382</v>
      </c>
      <c r="G35" s="800">
        <v>40.375833156546101</v>
      </c>
      <c r="H35" s="537">
        <v>1205763.557</v>
      </c>
      <c r="I35" s="537">
        <v>1205763.557</v>
      </c>
      <c r="J35" s="518">
        <v>1.2679127793830303</v>
      </c>
      <c r="K35" s="516">
        <v>14081.941999999999</v>
      </c>
    </row>
    <row r="36" spans="1:11">
      <c r="A36" s="579" t="s">
        <v>772</v>
      </c>
      <c r="B36" s="580" t="s">
        <v>52</v>
      </c>
      <c r="C36" s="515">
        <v>148876634</v>
      </c>
      <c r="D36" s="530">
        <v>497859807</v>
      </c>
      <c r="E36" s="516">
        <v>445075.29499999998</v>
      </c>
      <c r="F36" s="800">
        <v>8.4163963762580902</v>
      </c>
      <c r="G36" s="800">
        <v>30.029713287051798</v>
      </c>
      <c r="H36" s="537">
        <v>527136.69099999999</v>
      </c>
      <c r="I36" s="537">
        <v>527136.69099999999</v>
      </c>
      <c r="J36" s="518">
        <v>1.1843764345536187</v>
      </c>
      <c r="K36" s="516">
        <v>10980.727000000001</v>
      </c>
    </row>
    <row r="37" spans="1:11">
      <c r="A37" s="579" t="s">
        <v>772</v>
      </c>
      <c r="B37" s="580" t="s">
        <v>770</v>
      </c>
      <c r="C37" s="515">
        <v>0</v>
      </c>
      <c r="D37" s="530">
        <v>0</v>
      </c>
      <c r="E37" s="516">
        <v>0</v>
      </c>
      <c r="F37" s="800">
        <v>0</v>
      </c>
      <c r="G37" s="800">
        <v>0</v>
      </c>
      <c r="H37" s="537">
        <v>0</v>
      </c>
      <c r="I37" s="537">
        <v>0</v>
      </c>
      <c r="J37" s="518">
        <v>0</v>
      </c>
      <c r="K37" s="516">
        <v>0</v>
      </c>
    </row>
    <row r="38" spans="1:11">
      <c r="A38" s="579" t="s">
        <v>772</v>
      </c>
      <c r="B38" s="580" t="s">
        <v>54</v>
      </c>
      <c r="C38" s="515">
        <v>367</v>
      </c>
      <c r="D38" s="530">
        <v>0</v>
      </c>
      <c r="E38" s="516">
        <v>0.36699999999999999</v>
      </c>
      <c r="F38" s="800">
        <v>100</v>
      </c>
      <c r="G38" s="800">
        <v>1.3623978201634901</v>
      </c>
      <c r="H38" s="537">
        <v>0</v>
      </c>
      <c r="I38" s="537">
        <v>0</v>
      </c>
      <c r="J38" s="537">
        <v>0</v>
      </c>
      <c r="K38" s="537">
        <v>5.0000000000000001E-3</v>
      </c>
    </row>
    <row r="39" spans="1:11">
      <c r="A39" s="592" t="s">
        <v>772</v>
      </c>
      <c r="B39" s="592" t="s">
        <v>55</v>
      </c>
      <c r="C39" s="538">
        <v>1163478296</v>
      </c>
      <c r="D39" s="539">
        <v>265420179</v>
      </c>
      <c r="E39" s="516">
        <v>1363943.1129999999</v>
      </c>
      <c r="F39" s="801">
        <v>100</v>
      </c>
      <c r="G39" s="801">
        <v>0</v>
      </c>
      <c r="H39" s="537">
        <v>1283895.3430000001</v>
      </c>
      <c r="I39" s="537">
        <v>1283895.3430000001</v>
      </c>
      <c r="J39" s="537">
        <v>0</v>
      </c>
      <c r="K39" s="537">
        <v>781000.00100000005</v>
      </c>
    </row>
    <row r="40" spans="1:11">
      <c r="A40" s="594" t="s">
        <v>772</v>
      </c>
      <c r="B40" s="594" t="s">
        <v>771</v>
      </c>
      <c r="C40" s="542">
        <v>7467045122</v>
      </c>
      <c r="D40" s="543">
        <v>4025830708</v>
      </c>
      <c r="E40" s="543">
        <v>9673157.4809999987</v>
      </c>
      <c r="F40" s="802">
        <v>16.14</v>
      </c>
      <c r="G40" s="802">
        <v>22.9</v>
      </c>
      <c r="H40" s="596">
        <v>6528551.2829999998</v>
      </c>
      <c r="I40" s="596">
        <v>6528551.2829999998</v>
      </c>
      <c r="J40" s="544">
        <v>0.67491419382175577</v>
      </c>
      <c r="K40" s="545">
        <v>825536.05200000003</v>
      </c>
    </row>
    <row r="41" spans="1:11">
      <c r="A41" s="588" t="s">
        <v>41</v>
      </c>
      <c r="B41" s="589" t="s">
        <v>45</v>
      </c>
      <c r="C41" s="526">
        <v>3931856</v>
      </c>
      <c r="D41" s="527">
        <v>0</v>
      </c>
      <c r="E41" s="528">
        <v>3931.8560000000002</v>
      </c>
      <c r="F41" s="803">
        <v>8.9779483277108801E-2</v>
      </c>
      <c r="G41" s="803">
        <v>21.4243858371212</v>
      </c>
      <c r="H41" s="528">
        <v>190.79499999999999</v>
      </c>
      <c r="I41" s="528">
        <v>190.79499999999999</v>
      </c>
      <c r="J41" s="715">
        <v>4.8525429212056589E-2</v>
      </c>
      <c r="K41" s="528">
        <v>0.73399999999999999</v>
      </c>
    </row>
    <row r="42" spans="1:11">
      <c r="A42" s="579" t="s">
        <v>41</v>
      </c>
      <c r="B42" s="580" t="s">
        <v>46</v>
      </c>
      <c r="C42" s="515">
        <v>1339293204</v>
      </c>
      <c r="D42" s="530">
        <v>629506352</v>
      </c>
      <c r="E42" s="516">
        <v>1967256.0560000001</v>
      </c>
      <c r="F42" s="791">
        <v>0.206151862520941</v>
      </c>
      <c r="G42" s="791">
        <v>15.5880981565523</v>
      </c>
      <c r="H42" s="516">
        <v>133748.93900000001</v>
      </c>
      <c r="I42" s="516">
        <v>132032.14499999999</v>
      </c>
      <c r="J42" s="518">
        <v>6.7987559927481039E-2</v>
      </c>
      <c r="K42" s="516">
        <v>634.73599999999999</v>
      </c>
    </row>
    <row r="43" spans="1:11">
      <c r="A43" s="579" t="s">
        <v>41</v>
      </c>
      <c r="B43" s="580" t="s">
        <v>47</v>
      </c>
      <c r="C43" s="515">
        <v>1718478007</v>
      </c>
      <c r="D43" s="530">
        <v>153620984</v>
      </c>
      <c r="E43" s="516">
        <v>1871819.9909999999</v>
      </c>
      <c r="F43" s="791">
        <v>0.35676448761680102</v>
      </c>
      <c r="G43" s="791">
        <v>19.374088413611801</v>
      </c>
      <c r="H43" s="516">
        <v>235129.889</v>
      </c>
      <c r="I43" s="516">
        <v>232182.26500000001</v>
      </c>
      <c r="J43" s="518">
        <v>0.12561565221577975</v>
      </c>
      <c r="K43" s="516">
        <v>1298.596</v>
      </c>
    </row>
    <row r="44" spans="1:11">
      <c r="A44" s="579" t="s">
        <v>41</v>
      </c>
      <c r="B44" s="580" t="s">
        <v>48</v>
      </c>
      <c r="C44" s="515">
        <v>887345203</v>
      </c>
      <c r="D44" s="530">
        <v>18132342</v>
      </c>
      <c r="E44" s="516">
        <v>905435.54500000004</v>
      </c>
      <c r="F44" s="791">
        <v>0.60701471577416399</v>
      </c>
      <c r="G44" s="791">
        <v>20.6928923913629</v>
      </c>
      <c r="H44" s="516">
        <v>176449.88800000001</v>
      </c>
      <c r="I44" s="516">
        <v>173780.823</v>
      </c>
      <c r="J44" s="518">
        <v>0.19487846371217954</v>
      </c>
      <c r="K44" s="516">
        <v>1132.6559999999999</v>
      </c>
    </row>
    <row r="45" spans="1:11">
      <c r="A45" s="579" t="s">
        <v>41</v>
      </c>
      <c r="B45" s="580" t="s">
        <v>49</v>
      </c>
      <c r="C45" s="515">
        <v>758670695</v>
      </c>
      <c r="D45" s="530">
        <v>7824680</v>
      </c>
      <c r="E45" s="516">
        <v>766195.875</v>
      </c>
      <c r="F45" s="791">
        <v>0.95642918985957703</v>
      </c>
      <c r="G45" s="791">
        <v>20.583882548310498</v>
      </c>
      <c r="H45" s="516">
        <v>203580.894</v>
      </c>
      <c r="I45" s="516">
        <v>201319.421</v>
      </c>
      <c r="J45" s="518">
        <v>0.26570345866192507</v>
      </c>
      <c r="K45" s="516">
        <v>1516.049</v>
      </c>
    </row>
    <row r="46" spans="1:11">
      <c r="A46" s="579" t="s">
        <v>41</v>
      </c>
      <c r="B46" s="580" t="s">
        <v>50</v>
      </c>
      <c r="C46" s="515">
        <v>308682461</v>
      </c>
      <c r="D46" s="530">
        <v>7950215</v>
      </c>
      <c r="E46" s="516">
        <v>316632.67599999998</v>
      </c>
      <c r="F46" s="791">
        <v>1.6491927068196801</v>
      </c>
      <c r="G46" s="791">
        <v>21.121944470443701</v>
      </c>
      <c r="H46" s="516">
        <v>121663.77800000001</v>
      </c>
      <c r="I46" s="516">
        <v>119511.69</v>
      </c>
      <c r="J46" s="518">
        <v>0.38424264841194095</v>
      </c>
      <c r="K46" s="516">
        <v>1095.623</v>
      </c>
    </row>
    <row r="47" spans="1:11">
      <c r="A47" s="579" t="s">
        <v>41</v>
      </c>
      <c r="B47" s="580" t="s">
        <v>51</v>
      </c>
      <c r="C47" s="515">
        <v>181994365</v>
      </c>
      <c r="D47" s="530">
        <v>946799</v>
      </c>
      <c r="E47" s="516">
        <v>182866.16399999999</v>
      </c>
      <c r="F47" s="791">
        <v>3.5054615133721501</v>
      </c>
      <c r="G47" s="791">
        <v>20.9170155721099</v>
      </c>
      <c r="H47" s="516">
        <v>110127.914</v>
      </c>
      <c r="I47" s="516">
        <v>108234.548</v>
      </c>
      <c r="J47" s="518">
        <v>0.60223231893244078</v>
      </c>
      <c r="K47" s="516">
        <v>1352.3579999999999</v>
      </c>
    </row>
    <row r="48" spans="1:11">
      <c r="A48" s="579" t="s">
        <v>41</v>
      </c>
      <c r="B48" s="580" t="s">
        <v>52</v>
      </c>
      <c r="C48" s="515">
        <v>129145805</v>
      </c>
      <c r="D48" s="530">
        <v>1332351</v>
      </c>
      <c r="E48" s="516">
        <v>130478.156</v>
      </c>
      <c r="F48" s="791">
        <v>6.7449205827219103</v>
      </c>
      <c r="G48" s="791">
        <v>22.594605797463899</v>
      </c>
      <c r="H48" s="516">
        <v>118777.789</v>
      </c>
      <c r="I48" s="516">
        <v>117343.822</v>
      </c>
      <c r="J48" s="518">
        <v>0.91032700523450072</v>
      </c>
      <c r="K48" s="516">
        <v>1983.585</v>
      </c>
    </row>
    <row r="49" spans="1:11">
      <c r="A49" s="579" t="s">
        <v>41</v>
      </c>
      <c r="B49" s="580" t="s">
        <v>770</v>
      </c>
      <c r="C49" s="515">
        <v>204183009</v>
      </c>
      <c r="D49" s="530">
        <v>432414</v>
      </c>
      <c r="E49" s="516">
        <v>204577.92300000001</v>
      </c>
      <c r="F49" s="791">
        <v>23.833400635316799</v>
      </c>
      <c r="G49" s="791">
        <v>17.9401220140455</v>
      </c>
      <c r="H49" s="516">
        <v>211644.94200000001</v>
      </c>
      <c r="I49" s="516">
        <v>207857.55300000001</v>
      </c>
      <c r="J49" s="518">
        <v>1.0345443872748674</v>
      </c>
      <c r="K49" s="516">
        <v>8715.7829999999994</v>
      </c>
    </row>
    <row r="50" spans="1:11">
      <c r="A50" s="579" t="s">
        <v>41</v>
      </c>
      <c r="B50" s="580" t="s">
        <v>54</v>
      </c>
      <c r="C50" s="515">
        <v>15862498</v>
      </c>
      <c r="D50" s="530">
        <v>0</v>
      </c>
      <c r="E50" s="516">
        <v>15862.498</v>
      </c>
      <c r="F50" s="791">
        <v>100</v>
      </c>
      <c r="G50" s="791">
        <v>14.267191712175499</v>
      </c>
      <c r="H50" s="516">
        <v>2405.7930000000001</v>
      </c>
      <c r="I50" s="516">
        <v>2405.7930000000001</v>
      </c>
      <c r="J50" s="518">
        <v>0.15166545647476207</v>
      </c>
      <c r="K50" s="516">
        <v>2263.1329999999998</v>
      </c>
    </row>
    <row r="51" spans="1:11">
      <c r="A51" s="592" t="s">
        <v>41</v>
      </c>
      <c r="B51" s="592" t="s">
        <v>55</v>
      </c>
      <c r="C51" s="538">
        <v>19908006</v>
      </c>
      <c r="D51" s="539">
        <v>0</v>
      </c>
      <c r="E51" s="540">
        <v>19908.347000000002</v>
      </c>
      <c r="F51" s="804">
        <v>100</v>
      </c>
      <c r="G51" s="804">
        <v>22.0284235552053</v>
      </c>
      <c r="H51" s="540">
        <v>15799.154</v>
      </c>
      <c r="I51" s="540">
        <v>15799.154</v>
      </c>
      <c r="J51" s="541">
        <v>0.79359446567813985</v>
      </c>
      <c r="K51" s="540">
        <v>4385.491</v>
      </c>
    </row>
    <row r="52" spans="1:11">
      <c r="A52" s="594" t="s">
        <v>41</v>
      </c>
      <c r="B52" s="594" t="s">
        <v>771</v>
      </c>
      <c r="C52" s="542">
        <v>5567495109</v>
      </c>
      <c r="D52" s="543">
        <v>819746137</v>
      </c>
      <c r="E52" s="596">
        <v>6384965.0870000003</v>
      </c>
      <c r="F52" s="802">
        <v>2.04</v>
      </c>
      <c r="G52" s="802">
        <v>20.05</v>
      </c>
      <c r="H52" s="545">
        <v>1329519.7750000004</v>
      </c>
      <c r="I52" s="545">
        <v>1310658.0090000001</v>
      </c>
      <c r="J52" s="544">
        <v>0.20822663192112773</v>
      </c>
      <c r="K52" s="596">
        <v>24378.743999999999</v>
      </c>
    </row>
    <row r="53" spans="1:11">
      <c r="A53" s="588" t="s">
        <v>773</v>
      </c>
      <c r="B53" s="589" t="s">
        <v>45</v>
      </c>
      <c r="C53" s="526">
        <v>66297348</v>
      </c>
      <c r="D53" s="528">
        <v>3961629</v>
      </c>
      <c r="E53" s="528">
        <v>70258.976999999999</v>
      </c>
      <c r="F53" s="803">
        <v>8.26954824577079E-2</v>
      </c>
      <c r="G53" s="803">
        <v>15.8614151185264</v>
      </c>
      <c r="H53" s="528">
        <v>2385.7379999999998</v>
      </c>
      <c r="I53" s="528">
        <v>2385.7379999999998</v>
      </c>
      <c r="J53" s="715">
        <v>3.395634411243989E-2</v>
      </c>
      <c r="K53" s="528">
        <v>9.0920000000000005</v>
      </c>
    </row>
    <row r="54" spans="1:11">
      <c r="A54" s="579" t="s">
        <v>773</v>
      </c>
      <c r="B54" s="580" t="s">
        <v>46</v>
      </c>
      <c r="C54" s="515">
        <v>35869633061</v>
      </c>
      <c r="D54" s="516">
        <v>12637333139</v>
      </c>
      <c r="E54" s="516">
        <v>48503503.200000003</v>
      </c>
      <c r="F54" s="800">
        <v>0.20605701321796499</v>
      </c>
      <c r="G54" s="800">
        <v>16.979760140294399</v>
      </c>
      <c r="H54" s="516">
        <v>3592840.5780000002</v>
      </c>
      <c r="I54" s="516">
        <v>3592840.5780000002</v>
      </c>
      <c r="J54" s="518">
        <v>7.4073836753300745E-2</v>
      </c>
      <c r="K54" s="516">
        <v>17054.38</v>
      </c>
    </row>
    <row r="55" spans="1:11">
      <c r="A55" s="579" t="s">
        <v>773</v>
      </c>
      <c r="B55" s="580" t="s">
        <v>47</v>
      </c>
      <c r="C55" s="515">
        <v>41346638287</v>
      </c>
      <c r="D55" s="516">
        <v>1311740250</v>
      </c>
      <c r="E55" s="516">
        <v>42657193.689999998</v>
      </c>
      <c r="F55" s="800">
        <v>0.36341879408875499</v>
      </c>
      <c r="G55" s="800">
        <v>21.9672072263619</v>
      </c>
      <c r="H55" s="516">
        <v>6166695.682</v>
      </c>
      <c r="I55" s="516">
        <v>6166695.682</v>
      </c>
      <c r="J55" s="518">
        <v>0.14456402656993445</v>
      </c>
      <c r="K55" s="516">
        <v>34252.103000000003</v>
      </c>
    </row>
    <row r="56" spans="1:11">
      <c r="A56" s="579" t="s">
        <v>773</v>
      </c>
      <c r="B56" s="580" t="s">
        <v>48</v>
      </c>
      <c r="C56" s="515">
        <v>26776786564</v>
      </c>
      <c r="D56" s="516">
        <v>165927424</v>
      </c>
      <c r="E56" s="516">
        <v>26942488.147</v>
      </c>
      <c r="F56" s="800">
        <v>0.61257333806557601</v>
      </c>
      <c r="G56" s="800">
        <v>23.491170672389199</v>
      </c>
      <c r="H56" s="516">
        <v>6027350.6220000004</v>
      </c>
      <c r="I56" s="516">
        <v>6027350.6220000004</v>
      </c>
      <c r="J56" s="518">
        <v>0.22371172955943699</v>
      </c>
      <c r="K56" s="516">
        <v>38881.972999999998</v>
      </c>
    </row>
    <row r="57" spans="1:11">
      <c r="A57" s="579" t="s">
        <v>773</v>
      </c>
      <c r="B57" s="580" t="s">
        <v>49</v>
      </c>
      <c r="C57" s="515">
        <v>22114777334</v>
      </c>
      <c r="D57" s="516">
        <v>83872439</v>
      </c>
      <c r="E57" s="516">
        <v>22198466.522999998</v>
      </c>
      <c r="F57" s="800">
        <v>0.94201134471760595</v>
      </c>
      <c r="G57" s="800">
        <v>24.584128679995299</v>
      </c>
      <c r="H57" s="516">
        <v>6941267.2470000004</v>
      </c>
      <c r="I57" s="516">
        <v>6941267.2470000004</v>
      </c>
      <c r="J57" s="518">
        <v>0.31269129513104438</v>
      </c>
      <c r="K57" s="516">
        <v>51359.542999999998</v>
      </c>
    </row>
    <row r="58" spans="1:11">
      <c r="A58" s="579" t="s">
        <v>773</v>
      </c>
      <c r="B58" s="580" t="s">
        <v>50</v>
      </c>
      <c r="C58" s="515">
        <v>7184350173</v>
      </c>
      <c r="D58" s="516">
        <v>32137936</v>
      </c>
      <c r="E58" s="516">
        <v>7216227.7790000001</v>
      </c>
      <c r="F58" s="800">
        <v>1.61347418021961</v>
      </c>
      <c r="G58" s="800">
        <v>23.858404636425998</v>
      </c>
      <c r="H58" s="516">
        <v>3087010.6770000001</v>
      </c>
      <c r="I58" s="516">
        <v>3087010.6770000001</v>
      </c>
      <c r="J58" s="518">
        <v>0.42778731098033429</v>
      </c>
      <c r="K58" s="516">
        <v>27577.537</v>
      </c>
    </row>
    <row r="59" spans="1:11">
      <c r="A59" s="579" t="s">
        <v>773</v>
      </c>
      <c r="B59" s="580" t="s">
        <v>51</v>
      </c>
      <c r="C59" s="515">
        <v>1854537096</v>
      </c>
      <c r="D59" s="516">
        <v>9653466</v>
      </c>
      <c r="E59" s="516">
        <v>1864082.0619999999</v>
      </c>
      <c r="F59" s="800">
        <v>3.5757043833406099</v>
      </c>
      <c r="G59" s="800">
        <v>24.192054856005601</v>
      </c>
      <c r="H59" s="516">
        <v>1306615.1299999999</v>
      </c>
      <c r="I59" s="516">
        <v>1306615.1299999999</v>
      </c>
      <c r="J59" s="518">
        <v>0.70094292340226383</v>
      </c>
      <c r="K59" s="516">
        <v>16218.819</v>
      </c>
    </row>
    <row r="60" spans="1:11">
      <c r="A60" s="579" t="s">
        <v>773</v>
      </c>
      <c r="B60" s="580" t="s">
        <v>52</v>
      </c>
      <c r="C60" s="515">
        <v>1367056559</v>
      </c>
      <c r="D60" s="516">
        <v>1036894</v>
      </c>
      <c r="E60" s="516">
        <v>1367901.1129999999</v>
      </c>
      <c r="F60" s="800">
        <v>7.1064386947391904</v>
      </c>
      <c r="G60" s="800">
        <v>24.700357561592199</v>
      </c>
      <c r="H60" s="516">
        <v>1391427.355</v>
      </c>
      <c r="I60" s="516">
        <v>1391427.355</v>
      </c>
      <c r="J60" s="518">
        <v>1.0171987885501488</v>
      </c>
      <c r="K60" s="516">
        <v>23998.101999999999</v>
      </c>
    </row>
    <row r="61" spans="1:11">
      <c r="A61" s="579" t="s">
        <v>773</v>
      </c>
      <c r="B61" s="580" t="s">
        <v>770</v>
      </c>
      <c r="C61" s="515">
        <v>1669903718</v>
      </c>
      <c r="D61" s="516">
        <v>1123857</v>
      </c>
      <c r="E61" s="516">
        <v>1670951.575</v>
      </c>
      <c r="F61" s="800">
        <v>23.915608446043699</v>
      </c>
      <c r="G61" s="800">
        <v>23.5905056075608</v>
      </c>
      <c r="H61" s="516">
        <v>2257483.8859999999</v>
      </c>
      <c r="I61" s="516">
        <v>2257483.8859999999</v>
      </c>
      <c r="J61" s="518">
        <v>1.3510169413497217</v>
      </c>
      <c r="K61" s="516">
        <v>93884.866999999998</v>
      </c>
    </row>
    <row r="62" spans="1:11">
      <c r="A62" s="579" t="s">
        <v>773</v>
      </c>
      <c r="B62" s="580" t="s">
        <v>54</v>
      </c>
      <c r="C62" s="515">
        <v>153426613</v>
      </c>
      <c r="D62" s="516">
        <v>12486</v>
      </c>
      <c r="E62" s="516">
        <v>153439.09899999999</v>
      </c>
      <c r="F62" s="800">
        <v>100</v>
      </c>
      <c r="G62" s="800">
        <v>19.321238975732001</v>
      </c>
      <c r="H62" s="516">
        <v>63159.298000000003</v>
      </c>
      <c r="I62" s="516">
        <v>63159.298000000003</v>
      </c>
      <c r="J62" s="518">
        <v>0.41162453645533992</v>
      </c>
      <c r="K62" s="516">
        <v>29646.33</v>
      </c>
    </row>
    <row r="63" spans="1:11">
      <c r="A63" s="592" t="s">
        <v>773</v>
      </c>
      <c r="B63" s="592" t="s">
        <v>55</v>
      </c>
      <c r="C63" s="538">
        <v>124368615</v>
      </c>
      <c r="D63" s="540">
        <v>12256429</v>
      </c>
      <c r="E63" s="540">
        <v>136625.04399999999</v>
      </c>
      <c r="F63" s="801">
        <v>100</v>
      </c>
      <c r="G63" s="801">
        <v>24.837043785325299</v>
      </c>
      <c r="H63" s="540">
        <v>208702.47200000001</v>
      </c>
      <c r="I63" s="540">
        <v>208702.47200000001</v>
      </c>
      <c r="J63" s="541">
        <v>1.5275564851785155</v>
      </c>
      <c r="K63" s="540">
        <v>33933.623</v>
      </c>
    </row>
    <row r="64" spans="1:11">
      <c r="A64" s="579" t="s">
        <v>773</v>
      </c>
      <c r="B64" s="594" t="s">
        <v>771</v>
      </c>
      <c r="C64" s="542">
        <v>138527775368</v>
      </c>
      <c r="D64" s="545">
        <v>14259055949</v>
      </c>
      <c r="E64" s="596">
        <v>152781137.20900002</v>
      </c>
      <c r="F64" s="802">
        <v>1.03</v>
      </c>
      <c r="G64" s="802">
        <v>21.28</v>
      </c>
      <c r="H64" s="545">
        <v>31044938.685000002</v>
      </c>
      <c r="I64" s="545">
        <v>31044938.685000002</v>
      </c>
      <c r="J64" s="547">
        <v>0.20319876689051905</v>
      </c>
      <c r="K64" s="596">
        <v>366816.36900000001</v>
      </c>
    </row>
    <row r="65" spans="1:11">
      <c r="A65" s="588" t="s">
        <v>96</v>
      </c>
      <c r="B65" s="589" t="s">
        <v>45</v>
      </c>
      <c r="C65" s="526">
        <v>3250013</v>
      </c>
      <c r="D65" s="527"/>
      <c r="E65" s="528">
        <v>3250.0129999999999</v>
      </c>
      <c r="F65" s="803">
        <v>7.9015068555110396E-2</v>
      </c>
      <c r="G65" s="803">
        <v>51.060011144570801</v>
      </c>
      <c r="H65" s="528">
        <v>366.56</v>
      </c>
      <c r="I65" s="528">
        <v>366.56</v>
      </c>
      <c r="J65" s="715">
        <v>0.11278724115872768</v>
      </c>
      <c r="K65" s="528">
        <v>1.3109999999999999</v>
      </c>
    </row>
    <row r="66" spans="1:11">
      <c r="A66" s="579" t="s">
        <v>96</v>
      </c>
      <c r="B66" s="580" t="s">
        <v>46</v>
      </c>
      <c r="C66" s="515">
        <v>824951101</v>
      </c>
      <c r="D66" s="530">
        <v>776572756</v>
      </c>
      <c r="E66" s="516">
        <v>1598605.8570000001</v>
      </c>
      <c r="F66" s="797">
        <v>0.2077044353415386</v>
      </c>
      <c r="G66" s="797">
        <v>50.280876609381281</v>
      </c>
      <c r="H66" s="516">
        <v>353807.85399999999</v>
      </c>
      <c r="I66" s="516">
        <v>353653.29700000002</v>
      </c>
      <c r="J66" s="518">
        <v>0.22132275598187051</v>
      </c>
      <c r="K66" s="516">
        <v>1669.6879999999999</v>
      </c>
    </row>
    <row r="67" spans="1:11">
      <c r="A67" s="579" t="s">
        <v>96</v>
      </c>
      <c r="B67" s="580" t="s">
        <v>47</v>
      </c>
      <c r="C67" s="515">
        <v>1700101439</v>
      </c>
      <c r="D67" s="530">
        <v>326856573</v>
      </c>
      <c r="E67" s="516">
        <v>2023646.0120000001</v>
      </c>
      <c r="F67" s="797">
        <v>0.37346928236981247</v>
      </c>
      <c r="G67" s="797">
        <v>50.221127797013828</v>
      </c>
      <c r="H67" s="516">
        <v>648806.74399999995</v>
      </c>
      <c r="I67" s="516">
        <v>648517.94099999999</v>
      </c>
      <c r="J67" s="518">
        <v>0.32061276535157174</v>
      </c>
      <c r="K67" s="516">
        <v>3801.4009999999998</v>
      </c>
    </row>
    <row r="68" spans="1:11">
      <c r="A68" s="579" t="s">
        <v>96</v>
      </c>
      <c r="B68" s="580" t="s">
        <v>48</v>
      </c>
      <c r="C68" s="515">
        <v>1358151648</v>
      </c>
      <c r="D68" s="530">
        <v>77311246</v>
      </c>
      <c r="E68" s="516">
        <v>1434592.8940000001</v>
      </c>
      <c r="F68" s="797">
        <v>0.61807593424146101</v>
      </c>
      <c r="G68" s="797">
        <v>50.568756545095901</v>
      </c>
      <c r="H68" s="516">
        <v>619087.36400000006</v>
      </c>
      <c r="I68" s="516">
        <v>618755.37</v>
      </c>
      <c r="J68" s="518">
        <v>0.4315421933213619</v>
      </c>
      <c r="K68" s="516">
        <v>4485.7199999999993</v>
      </c>
    </row>
    <row r="69" spans="1:11">
      <c r="A69" s="579" t="s">
        <v>96</v>
      </c>
      <c r="B69" s="580" t="s">
        <v>49</v>
      </c>
      <c r="C69" s="515">
        <v>1120942060</v>
      </c>
      <c r="D69" s="530">
        <v>32657550</v>
      </c>
      <c r="E69" s="516">
        <v>1152645.6100000001</v>
      </c>
      <c r="F69" s="797">
        <v>0.93556420525630102</v>
      </c>
      <c r="G69" s="797">
        <v>50.375098093647466</v>
      </c>
      <c r="H69" s="516">
        <v>605197.38500000001</v>
      </c>
      <c r="I69" s="516">
        <v>604814.424</v>
      </c>
      <c r="J69" s="518">
        <v>0.5250507005357874</v>
      </c>
      <c r="K69" s="516">
        <v>5431.299</v>
      </c>
    </row>
    <row r="70" spans="1:11">
      <c r="A70" s="579" t="s">
        <v>96</v>
      </c>
      <c r="B70" s="580" t="s">
        <v>50</v>
      </c>
      <c r="C70" s="515">
        <v>420235898</v>
      </c>
      <c r="D70" s="530">
        <v>8774932</v>
      </c>
      <c r="E70" s="516">
        <v>428679.07</v>
      </c>
      <c r="F70" s="797">
        <v>1.6229623977349177</v>
      </c>
      <c r="G70" s="797">
        <v>49.163934055206653</v>
      </c>
      <c r="H70" s="516">
        <v>269477.03200000001</v>
      </c>
      <c r="I70" s="516">
        <v>269269.63299999997</v>
      </c>
      <c r="J70" s="518">
        <v>0.62862185457293263</v>
      </c>
      <c r="K70" s="516">
        <v>3423.5129999999999</v>
      </c>
    </row>
    <row r="71" spans="1:11">
      <c r="A71" s="579" t="s">
        <v>96</v>
      </c>
      <c r="B71" s="580" t="s">
        <v>51</v>
      </c>
      <c r="C71" s="515">
        <v>137097341</v>
      </c>
      <c r="D71" s="530">
        <v>4348926</v>
      </c>
      <c r="E71" s="516">
        <v>141286.26699999999</v>
      </c>
      <c r="F71" s="797">
        <v>3.5058808428189234</v>
      </c>
      <c r="G71" s="797">
        <v>49.76107884674466</v>
      </c>
      <c r="H71" s="516">
        <v>105649.16800000001</v>
      </c>
      <c r="I71" s="516">
        <v>105497.81600000001</v>
      </c>
      <c r="J71" s="518">
        <v>0.74776671677509898</v>
      </c>
      <c r="K71" s="516">
        <v>2469.4470000000001</v>
      </c>
    </row>
    <row r="72" spans="1:11">
      <c r="A72" s="579" t="s">
        <v>96</v>
      </c>
      <c r="B72" s="580" t="s">
        <v>52</v>
      </c>
      <c r="C72" s="515">
        <v>83751822</v>
      </c>
      <c r="D72" s="530">
        <v>1717841</v>
      </c>
      <c r="E72" s="516">
        <v>85315.163</v>
      </c>
      <c r="F72" s="797">
        <v>7.1892394302739806</v>
      </c>
      <c r="G72" s="797">
        <v>49.432724728279894</v>
      </c>
      <c r="H72" s="516">
        <v>69348.088000000003</v>
      </c>
      <c r="I72" s="516">
        <v>69272.412000000011</v>
      </c>
      <c r="J72" s="518">
        <v>0.81284598846748968</v>
      </c>
      <c r="K72" s="516">
        <v>3019.7640000000001</v>
      </c>
    </row>
    <row r="73" spans="1:11">
      <c r="A73" s="579" t="s">
        <v>96</v>
      </c>
      <c r="B73" s="580" t="s">
        <v>770</v>
      </c>
      <c r="C73" s="515">
        <v>129291547</v>
      </c>
      <c r="D73" s="530">
        <v>2218371</v>
      </c>
      <c r="E73" s="516">
        <v>131140.66800000001</v>
      </c>
      <c r="F73" s="797">
        <v>23.199189581072766</v>
      </c>
      <c r="G73" s="797">
        <v>49.513515940846929</v>
      </c>
      <c r="H73" s="516">
        <v>152402.03899999999</v>
      </c>
      <c r="I73" s="516">
        <v>152366.33899999998</v>
      </c>
      <c r="J73" s="518">
        <v>1.1621264503548203</v>
      </c>
      <c r="K73" s="516">
        <v>15102.297</v>
      </c>
    </row>
    <row r="74" spans="1:11">
      <c r="A74" s="579" t="s">
        <v>96</v>
      </c>
      <c r="B74" s="580" t="s">
        <v>54</v>
      </c>
      <c r="C74" s="515">
        <v>19865215</v>
      </c>
      <c r="D74" s="530">
        <v>264035</v>
      </c>
      <c r="E74" s="516">
        <v>20090.75</v>
      </c>
      <c r="F74" s="797">
        <v>100</v>
      </c>
      <c r="G74" s="797">
        <v>50.889969056836065</v>
      </c>
      <c r="H74" s="516">
        <v>2.5139999999999998</v>
      </c>
      <c r="I74" s="516">
        <v>2.5139999999999998</v>
      </c>
      <c r="J74" s="518">
        <v>1.2513221258539375E-4</v>
      </c>
      <c r="K74" s="516">
        <v>10224.119000000001</v>
      </c>
    </row>
    <row r="75" spans="1:11">
      <c r="A75" s="592" t="s">
        <v>96</v>
      </c>
      <c r="B75" s="592" t="s">
        <v>55</v>
      </c>
      <c r="C75" s="538">
        <v>43372070</v>
      </c>
      <c r="D75" s="539">
        <v>126507</v>
      </c>
      <c r="E75" s="540">
        <v>43460.077000000005</v>
      </c>
      <c r="F75" s="805">
        <v>100</v>
      </c>
      <c r="G75" s="805">
        <v>78.860489771248211</v>
      </c>
      <c r="H75" s="540">
        <v>2236.6970000000001</v>
      </c>
      <c r="I75" s="540">
        <v>2236.6970000000001</v>
      </c>
      <c r="J75" s="541">
        <v>5.1465555387764268E-2</v>
      </c>
      <c r="K75" s="540">
        <v>34269.767</v>
      </c>
    </row>
    <row r="76" spans="1:11">
      <c r="A76" s="579" t="s">
        <v>96</v>
      </c>
      <c r="B76" s="594" t="s">
        <v>771</v>
      </c>
      <c r="C76" s="542">
        <v>5841010154</v>
      </c>
      <c r="D76" s="543">
        <v>1230848737</v>
      </c>
      <c r="E76" s="596">
        <v>7062712.3810000001</v>
      </c>
      <c r="F76" s="806">
        <v>2</v>
      </c>
      <c r="G76" s="802">
        <v>51.12</v>
      </c>
      <c r="H76" s="545">
        <v>2826381.4449999998</v>
      </c>
      <c r="I76" s="545">
        <v>2824753.0030000005</v>
      </c>
      <c r="J76" s="547">
        <v>0.40018356865323973</v>
      </c>
      <c r="K76" s="596">
        <v>83898.326000000001</v>
      </c>
    </row>
    <row r="77" spans="1:11">
      <c r="A77" s="594" t="s">
        <v>774</v>
      </c>
      <c r="B77" s="594"/>
      <c r="C77" s="598">
        <v>221268576134</v>
      </c>
      <c r="D77" s="599">
        <v>33689837349</v>
      </c>
      <c r="E77" s="600">
        <v>248289626.27900004</v>
      </c>
      <c r="F77" s="807">
        <v>3.25</v>
      </c>
      <c r="G77" s="807">
        <v>23.76</v>
      </c>
      <c r="H77" s="599">
        <v>83507109.25</v>
      </c>
      <c r="I77" s="599">
        <v>81775057.431000009</v>
      </c>
      <c r="J77" s="518">
        <v>0.33632943309586394</v>
      </c>
      <c r="K77" s="599">
        <v>2528829.0889999997</v>
      </c>
    </row>
    <row r="81" spans="1:11">
      <c r="A81" s="788">
        <v>2019</v>
      </c>
    </row>
    <row r="82" spans="1:11" ht="38.25">
      <c r="A82" s="789" t="s">
        <v>114</v>
      </c>
      <c r="B82" s="576" t="s">
        <v>762</v>
      </c>
      <c r="C82" s="577" t="s">
        <v>763</v>
      </c>
      <c r="D82" s="577" t="s">
        <v>764</v>
      </c>
      <c r="E82" s="578" t="s">
        <v>39</v>
      </c>
      <c r="F82" s="578" t="s">
        <v>765</v>
      </c>
      <c r="G82" s="578" t="s">
        <v>766</v>
      </c>
      <c r="H82" s="578" t="s">
        <v>767</v>
      </c>
      <c r="I82" s="578" t="s">
        <v>801</v>
      </c>
      <c r="J82" s="578" t="s">
        <v>768</v>
      </c>
      <c r="K82" s="578" t="s">
        <v>623</v>
      </c>
    </row>
    <row r="83" spans="1:11">
      <c r="A83" s="579" t="s">
        <v>769</v>
      </c>
      <c r="B83" s="580" t="s">
        <v>45</v>
      </c>
      <c r="C83" s="515">
        <v>0</v>
      </c>
      <c r="D83" s="516">
        <v>0</v>
      </c>
      <c r="E83" s="516">
        <v>0</v>
      </c>
      <c r="F83" s="517">
        <v>0</v>
      </c>
      <c r="G83" s="581"/>
      <c r="H83" s="516">
        <v>0</v>
      </c>
      <c r="I83" s="516"/>
      <c r="J83" s="581">
        <v>0</v>
      </c>
      <c r="K83" s="516">
        <v>0</v>
      </c>
    </row>
    <row r="84" spans="1:11">
      <c r="A84" s="579" t="s">
        <v>769</v>
      </c>
      <c r="B84" s="580" t="s">
        <v>46</v>
      </c>
      <c r="C84" s="515">
        <v>280721182</v>
      </c>
      <c r="D84" s="516">
        <v>380575346</v>
      </c>
      <c r="E84" s="516">
        <v>384588.31699999998</v>
      </c>
      <c r="F84" s="517">
        <v>0.22946172855271599</v>
      </c>
      <c r="G84" s="582">
        <v>21.636085476824299</v>
      </c>
      <c r="H84" s="516">
        <v>90144.104000000007</v>
      </c>
      <c r="I84" s="516">
        <v>83489.084000000003</v>
      </c>
      <c r="J84" s="518">
        <v>0.23439116586581077</v>
      </c>
      <c r="K84" s="516">
        <v>194.846</v>
      </c>
    </row>
    <row r="85" spans="1:11">
      <c r="A85" s="579" t="s">
        <v>769</v>
      </c>
      <c r="B85" s="580" t="s">
        <v>47</v>
      </c>
      <c r="C85" s="515">
        <v>3020144856</v>
      </c>
      <c r="D85" s="516">
        <v>1437355853</v>
      </c>
      <c r="E85" s="516">
        <v>3858437.5260000001</v>
      </c>
      <c r="F85" s="517">
        <v>0.39621955511739998</v>
      </c>
      <c r="G85" s="582">
        <v>25.4110892658781</v>
      </c>
      <c r="H85" s="516">
        <v>1278439.3</v>
      </c>
      <c r="I85" s="516">
        <v>1206109.5620000002</v>
      </c>
      <c r="J85" s="518">
        <v>0.33133601137384333</v>
      </c>
      <c r="K85" s="516">
        <v>3817.701</v>
      </c>
    </row>
    <row r="86" spans="1:11">
      <c r="A86" s="579" t="s">
        <v>769</v>
      </c>
      <c r="B86" s="580" t="s">
        <v>48</v>
      </c>
      <c r="C86" s="515">
        <v>2372846272</v>
      </c>
      <c r="D86" s="516">
        <v>1285488170</v>
      </c>
      <c r="E86" s="516">
        <v>2898397.7590000001</v>
      </c>
      <c r="F86" s="517">
        <v>0.62882383701153</v>
      </c>
      <c r="G86" s="582">
        <v>27.365573221863599</v>
      </c>
      <c r="H86" s="516">
        <v>1215015.693</v>
      </c>
      <c r="I86" s="516">
        <v>1139824.3019999999</v>
      </c>
      <c r="J86" s="518">
        <v>0.41920253672125474</v>
      </c>
      <c r="K86" s="516">
        <v>4968.8959999999997</v>
      </c>
    </row>
    <row r="87" spans="1:11">
      <c r="A87" s="579" t="s">
        <v>769</v>
      </c>
      <c r="B87" s="580" t="s">
        <v>49</v>
      </c>
      <c r="C87" s="515">
        <v>5028085248</v>
      </c>
      <c r="D87" s="516">
        <v>1510591242</v>
      </c>
      <c r="E87" s="516">
        <v>5871966.0549999997</v>
      </c>
      <c r="F87" s="517">
        <v>0.97777120068859102</v>
      </c>
      <c r="G87" s="582">
        <v>34.289108147782002</v>
      </c>
      <c r="H87" s="516">
        <v>3677297.3420000002</v>
      </c>
      <c r="I87" s="516">
        <v>3572317.1979999999</v>
      </c>
      <c r="J87" s="518">
        <v>0.62624635557434272</v>
      </c>
      <c r="K87" s="516">
        <v>19790.167000000001</v>
      </c>
    </row>
    <row r="88" spans="1:11">
      <c r="A88" s="579" t="s">
        <v>769</v>
      </c>
      <c r="B88" s="580" t="s">
        <v>50</v>
      </c>
      <c r="C88" s="515">
        <v>6057456486</v>
      </c>
      <c r="D88" s="516">
        <v>1779224855</v>
      </c>
      <c r="E88" s="516">
        <v>7145905.8030000003</v>
      </c>
      <c r="F88" s="517">
        <v>1.87563330241117</v>
      </c>
      <c r="G88" s="582">
        <v>30.5878499977199</v>
      </c>
      <c r="H88" s="516">
        <v>4717506.5479999995</v>
      </c>
      <c r="I88" s="516">
        <v>4559504.1289999997</v>
      </c>
      <c r="J88" s="518">
        <v>0.66016914832819262</v>
      </c>
      <c r="K88" s="516">
        <v>40609.330999999998</v>
      </c>
    </row>
    <row r="89" spans="1:11">
      <c r="A89" s="579" t="s">
        <v>769</v>
      </c>
      <c r="B89" s="580" t="s">
        <v>51</v>
      </c>
      <c r="C89" s="515">
        <v>3977122490</v>
      </c>
      <c r="D89" s="516">
        <v>1176946560</v>
      </c>
      <c r="E89" s="516">
        <v>4646832.4890000001</v>
      </c>
      <c r="F89" s="517">
        <v>3.7137597580397701</v>
      </c>
      <c r="G89" s="582">
        <v>40.631880543779197</v>
      </c>
      <c r="H89" s="516">
        <v>4914796.9689999996</v>
      </c>
      <c r="I89" s="516">
        <v>4763869.0530000003</v>
      </c>
      <c r="J89" s="518">
        <v>1.0576660511508271</v>
      </c>
      <c r="K89" s="516">
        <v>71448.989000000001</v>
      </c>
    </row>
    <row r="90" spans="1:11">
      <c r="A90" s="579" t="s">
        <v>769</v>
      </c>
      <c r="B90" s="580" t="s">
        <v>52</v>
      </c>
      <c r="C90" s="515">
        <v>1229137081</v>
      </c>
      <c r="D90" s="516">
        <v>515202041</v>
      </c>
      <c r="E90" s="516">
        <v>1547350.932</v>
      </c>
      <c r="F90" s="517">
        <v>6.8510308688009998</v>
      </c>
      <c r="G90" s="582">
        <v>38.894529776907802</v>
      </c>
      <c r="H90" s="516">
        <v>1800104.7490000001</v>
      </c>
      <c r="I90" s="516">
        <v>1674414.8370000001</v>
      </c>
      <c r="J90" s="518">
        <v>1.1633461497149244</v>
      </c>
      <c r="K90" s="516">
        <v>40994.550999999999</v>
      </c>
    </row>
    <row r="91" spans="1:11">
      <c r="A91" s="579" t="s">
        <v>769</v>
      </c>
      <c r="B91" s="580" t="s">
        <v>770</v>
      </c>
      <c r="C91" s="515">
        <v>646842668</v>
      </c>
      <c r="D91" s="516">
        <v>97146799</v>
      </c>
      <c r="E91" s="516">
        <v>717112.77599999995</v>
      </c>
      <c r="F91" s="517">
        <v>15.5021272414201</v>
      </c>
      <c r="G91" s="582">
        <v>45.349915785073101</v>
      </c>
      <c r="H91" s="516">
        <v>1310632.4269999999</v>
      </c>
      <c r="I91" s="516">
        <v>1174963.3400000001</v>
      </c>
      <c r="J91" s="518">
        <v>1.8276517597561253</v>
      </c>
      <c r="K91" s="516">
        <v>49836.402000000002</v>
      </c>
    </row>
    <row r="92" spans="1:11">
      <c r="A92" s="579" t="s">
        <v>769</v>
      </c>
      <c r="B92" s="580" t="s">
        <v>54</v>
      </c>
      <c r="C92" s="515">
        <v>21929212</v>
      </c>
      <c r="D92" s="516">
        <v>4338237</v>
      </c>
      <c r="E92" s="516">
        <v>24423.330999999998</v>
      </c>
      <c r="F92" s="517">
        <v>100</v>
      </c>
      <c r="G92" s="582">
        <v>41.427993585313999</v>
      </c>
      <c r="H92" s="516">
        <v>8610.6759999999995</v>
      </c>
      <c r="I92" s="516">
        <v>8610.6759999999995</v>
      </c>
      <c r="J92" s="518">
        <v>0.35255944408238171</v>
      </c>
      <c r="K92" s="516">
        <v>10118.099</v>
      </c>
    </row>
    <row r="93" spans="1:11">
      <c r="A93" s="579" t="s">
        <v>769</v>
      </c>
      <c r="B93" s="579" t="s">
        <v>55</v>
      </c>
      <c r="C93" s="519">
        <v>1789613834</v>
      </c>
      <c r="D93" s="520">
        <v>901003343</v>
      </c>
      <c r="E93" s="520">
        <v>2651166.6359999999</v>
      </c>
      <c r="F93" s="521">
        <v>100</v>
      </c>
      <c r="G93" s="583">
        <v>1.6076997734215601E-2</v>
      </c>
      <c r="H93" s="520">
        <v>2340121.4920000001</v>
      </c>
      <c r="I93" s="520">
        <v>2340121.4920000001</v>
      </c>
      <c r="J93" s="522">
        <v>0.88267612462515921</v>
      </c>
      <c r="K93" s="520">
        <v>728291.99800000002</v>
      </c>
    </row>
    <row r="94" spans="1:11" s="525" customFormat="1">
      <c r="A94" s="584" t="s">
        <v>769</v>
      </c>
      <c r="B94" s="584" t="s">
        <v>771</v>
      </c>
      <c r="C94" s="585">
        <v>24423899329</v>
      </c>
      <c r="D94" s="523">
        <v>9087872446</v>
      </c>
      <c r="E94" s="586">
        <v>29746181.624000002</v>
      </c>
      <c r="F94" s="587">
        <v>11.06</v>
      </c>
      <c r="G94" s="587">
        <v>29.86</v>
      </c>
      <c r="H94" s="586">
        <v>21352669.300000001</v>
      </c>
      <c r="I94" s="586">
        <v>20523223.672999997</v>
      </c>
      <c r="J94" s="524">
        <v>0.71782891565390383</v>
      </c>
      <c r="K94" s="523">
        <v>970070.98</v>
      </c>
    </row>
    <row r="95" spans="1:11">
      <c r="A95" s="588" t="s">
        <v>80</v>
      </c>
      <c r="B95" s="589" t="s">
        <v>45</v>
      </c>
      <c r="C95" s="526">
        <v>295243433</v>
      </c>
      <c r="D95" s="530">
        <v>81915760</v>
      </c>
      <c r="E95" s="528">
        <v>317401.31300000002</v>
      </c>
      <c r="F95" s="529">
        <v>6.6465068466808802E-2</v>
      </c>
      <c r="G95" s="529">
        <v>37.384247052563403</v>
      </c>
      <c r="H95" s="528">
        <v>172297.788</v>
      </c>
      <c r="I95" s="516">
        <v>171516.65599999999</v>
      </c>
      <c r="J95" s="518">
        <v>0.542838926441366</v>
      </c>
      <c r="K95" s="528">
        <v>2362.819</v>
      </c>
    </row>
    <row r="96" spans="1:11">
      <c r="A96" s="579" t="s">
        <v>80</v>
      </c>
      <c r="B96" s="580" t="s">
        <v>46</v>
      </c>
      <c r="C96" s="515">
        <v>1019708053</v>
      </c>
      <c r="D96" s="530">
        <v>427796639</v>
      </c>
      <c r="E96" s="516">
        <v>1278770.6040000001</v>
      </c>
      <c r="F96" s="531">
        <v>0.179212283487868</v>
      </c>
      <c r="G96" s="531">
        <v>24.551834474293202</v>
      </c>
      <c r="H96" s="516">
        <v>294708.86700000003</v>
      </c>
      <c r="I96" s="516">
        <v>279737.40100000001</v>
      </c>
      <c r="J96" s="518">
        <v>0.23046265380057174</v>
      </c>
      <c r="K96" s="516">
        <v>697.44600000000003</v>
      </c>
    </row>
    <row r="97" spans="1:11">
      <c r="A97" s="579" t="s">
        <v>80</v>
      </c>
      <c r="B97" s="580" t="s">
        <v>47</v>
      </c>
      <c r="C97" s="515">
        <v>5682783217</v>
      </c>
      <c r="D97" s="530">
        <v>155937747</v>
      </c>
      <c r="E97" s="516">
        <v>5758691.7580000004</v>
      </c>
      <c r="F97" s="531">
        <v>0.37612596593505698</v>
      </c>
      <c r="G97" s="531">
        <v>24.3306786311934</v>
      </c>
      <c r="H97" s="516">
        <v>1772357.997</v>
      </c>
      <c r="I97" s="516">
        <v>1695721.2520000001</v>
      </c>
      <c r="J97" s="518">
        <v>0.3077709437282925</v>
      </c>
      <c r="K97" s="516">
        <v>5328.9219999999996</v>
      </c>
    </row>
    <row r="98" spans="1:11">
      <c r="A98" s="579" t="s">
        <v>80</v>
      </c>
      <c r="B98" s="580" t="s">
        <v>48</v>
      </c>
      <c r="C98" s="515">
        <v>5024973975</v>
      </c>
      <c r="D98" s="530">
        <v>252047637</v>
      </c>
      <c r="E98" s="516">
        <v>5196783.5980000002</v>
      </c>
      <c r="F98" s="531">
        <v>0.60512617866371299</v>
      </c>
      <c r="G98" s="531">
        <v>26.788110640892601</v>
      </c>
      <c r="H98" s="516">
        <v>2204680.719</v>
      </c>
      <c r="I98" s="516">
        <v>2133942.7689999999</v>
      </c>
      <c r="J98" s="518">
        <v>0.42423946993838246</v>
      </c>
      <c r="K98" s="516">
        <v>8470.3089999999993</v>
      </c>
    </row>
    <row r="99" spans="1:11">
      <c r="A99" s="579" t="s">
        <v>80</v>
      </c>
      <c r="B99" s="580" t="s">
        <v>49</v>
      </c>
      <c r="C99" s="515">
        <v>8775972794</v>
      </c>
      <c r="D99" s="530">
        <v>773677755</v>
      </c>
      <c r="E99" s="516">
        <v>9351287.3499999996</v>
      </c>
      <c r="F99" s="531">
        <v>0.97211606913138005</v>
      </c>
      <c r="G99" s="531">
        <v>26.625395881990499</v>
      </c>
      <c r="H99" s="516">
        <v>4516110.0420000004</v>
      </c>
      <c r="I99" s="516">
        <v>4386945.767</v>
      </c>
      <c r="J99" s="518">
        <v>0.48293992826559867</v>
      </c>
      <c r="K99" s="516">
        <v>24532.925999999999</v>
      </c>
    </row>
    <row r="100" spans="1:11">
      <c r="A100" s="579" t="s">
        <v>80</v>
      </c>
      <c r="B100" s="580" t="s">
        <v>50</v>
      </c>
      <c r="C100" s="515">
        <v>11905800473</v>
      </c>
      <c r="D100" s="530">
        <v>1441908314</v>
      </c>
      <c r="E100" s="516">
        <v>12926988.345000001</v>
      </c>
      <c r="F100" s="531">
        <v>1.68703027479986</v>
      </c>
      <c r="G100" s="531">
        <v>28.1672251635344</v>
      </c>
      <c r="H100" s="516">
        <v>7709208.1890000002</v>
      </c>
      <c r="I100" s="516">
        <v>7543710.358</v>
      </c>
      <c r="J100" s="518">
        <v>0.59636537012751523</v>
      </c>
      <c r="K100" s="516">
        <v>62731.483999999997</v>
      </c>
    </row>
    <row r="101" spans="1:11">
      <c r="A101" s="579" t="s">
        <v>80</v>
      </c>
      <c r="B101" s="580" t="s">
        <v>51</v>
      </c>
      <c r="C101" s="515">
        <v>6447638060</v>
      </c>
      <c r="D101" s="530">
        <v>1568577920</v>
      </c>
      <c r="E101" s="516">
        <v>7440701.0769999996</v>
      </c>
      <c r="F101" s="531">
        <v>3.3266615126514401</v>
      </c>
      <c r="G101" s="531">
        <v>29.395313322838899</v>
      </c>
      <c r="H101" s="516">
        <v>5448426.6880000001</v>
      </c>
      <c r="I101" s="516">
        <v>5274978.9460000005</v>
      </c>
      <c r="J101" s="518">
        <v>0.73224641490324993</v>
      </c>
      <c r="K101" s="516">
        <v>72779.436000000002</v>
      </c>
    </row>
    <row r="102" spans="1:11">
      <c r="A102" s="579" t="s">
        <v>80</v>
      </c>
      <c r="B102" s="580" t="s">
        <v>52</v>
      </c>
      <c r="C102" s="515">
        <v>2419784570</v>
      </c>
      <c r="D102" s="530">
        <v>497928133</v>
      </c>
      <c r="E102" s="516">
        <v>2820320.7409999999</v>
      </c>
      <c r="F102" s="531">
        <v>6.65553067320438</v>
      </c>
      <c r="G102" s="531">
        <v>35.125337895034797</v>
      </c>
      <c r="H102" s="516">
        <v>2912038.156</v>
      </c>
      <c r="I102" s="516">
        <v>2814413.1690000002</v>
      </c>
      <c r="J102" s="518">
        <v>1.032520207246882</v>
      </c>
      <c r="K102" s="516">
        <v>65066.508999999998</v>
      </c>
    </row>
    <row r="103" spans="1:11">
      <c r="A103" s="579" t="s">
        <v>80</v>
      </c>
      <c r="B103" s="580" t="s">
        <v>770</v>
      </c>
      <c r="C103" s="515">
        <v>524110663</v>
      </c>
      <c r="D103" s="530">
        <v>57260635</v>
      </c>
      <c r="E103" s="516">
        <v>557934.78599999996</v>
      </c>
      <c r="F103" s="531">
        <v>14.6230041659385</v>
      </c>
      <c r="G103" s="531">
        <v>33.430466011488299</v>
      </c>
      <c r="H103" s="516">
        <v>737320.12</v>
      </c>
      <c r="I103" s="516">
        <v>660586.83100000001</v>
      </c>
      <c r="J103" s="518">
        <v>1.3215166691542335</v>
      </c>
      <c r="K103" s="516">
        <v>27652.166000000001</v>
      </c>
    </row>
    <row r="104" spans="1:11">
      <c r="A104" s="579" t="s">
        <v>80</v>
      </c>
      <c r="B104" s="580" t="s">
        <v>54</v>
      </c>
      <c r="C104" s="515">
        <v>25747132</v>
      </c>
      <c r="D104" s="530">
        <v>159500</v>
      </c>
      <c r="E104" s="516">
        <v>25826.882000000001</v>
      </c>
      <c r="F104" s="531">
        <v>100</v>
      </c>
      <c r="G104" s="531">
        <v>33.075390207768798</v>
      </c>
      <c r="H104" s="516">
        <v>0.74099999999999999</v>
      </c>
      <c r="I104" s="516">
        <v>0.74099999999999999</v>
      </c>
      <c r="J104" s="518">
        <v>2.8691035952384804E-5</v>
      </c>
      <c r="K104" s="516">
        <v>8542.3420000000006</v>
      </c>
    </row>
    <row r="105" spans="1:11">
      <c r="A105" s="579" t="s">
        <v>80</v>
      </c>
      <c r="B105" s="579" t="s">
        <v>55</v>
      </c>
      <c r="C105" s="519">
        <v>178909305</v>
      </c>
      <c r="D105" s="532">
        <v>5675728</v>
      </c>
      <c r="E105" s="520">
        <v>182063.55799999999</v>
      </c>
      <c r="F105" s="533">
        <v>100</v>
      </c>
      <c r="G105" s="533">
        <v>12.569316040720199</v>
      </c>
      <c r="H105" s="520">
        <v>251904.32</v>
      </c>
      <c r="I105" s="520">
        <v>251904.32</v>
      </c>
      <c r="J105" s="522">
        <v>1.3836064875761684</v>
      </c>
      <c r="K105" s="520">
        <v>56625.794999999998</v>
      </c>
    </row>
    <row r="106" spans="1:11" s="525" customFormat="1">
      <c r="A106" s="584" t="s">
        <v>80</v>
      </c>
      <c r="B106" s="584" t="s">
        <v>771</v>
      </c>
      <c r="C106" s="534">
        <v>42300671675</v>
      </c>
      <c r="D106" s="535">
        <v>5262885768</v>
      </c>
      <c r="E106" s="523">
        <v>45856770.011999995</v>
      </c>
      <c r="F106" s="587">
        <v>2.38</v>
      </c>
      <c r="G106" s="587">
        <v>27.81</v>
      </c>
      <c r="H106" s="586">
        <v>26019053.627</v>
      </c>
      <c r="I106" s="586">
        <v>25213458.209999997</v>
      </c>
      <c r="J106" s="536">
        <v>0.56739830607762443</v>
      </c>
      <c r="K106" s="523">
        <v>334790.15399999998</v>
      </c>
    </row>
    <row r="107" spans="1:11">
      <c r="A107" s="588" t="s">
        <v>772</v>
      </c>
      <c r="B107" s="589" t="s">
        <v>45</v>
      </c>
      <c r="C107" s="526">
        <v>0</v>
      </c>
      <c r="D107" s="527">
        <v>0</v>
      </c>
      <c r="E107" s="528">
        <v>0</v>
      </c>
      <c r="F107" s="590"/>
      <c r="G107" s="590"/>
      <c r="H107" s="537">
        <v>0</v>
      </c>
      <c r="I107" s="537">
        <v>0</v>
      </c>
      <c r="J107" s="590"/>
      <c r="K107" s="528">
        <v>0</v>
      </c>
    </row>
    <row r="108" spans="1:11">
      <c r="A108" s="579" t="s">
        <v>772</v>
      </c>
      <c r="B108" s="580" t="s">
        <v>46</v>
      </c>
      <c r="C108" s="515">
        <v>125038022</v>
      </c>
      <c r="D108" s="530">
        <v>0</v>
      </c>
      <c r="E108" s="516">
        <v>125038.022</v>
      </c>
      <c r="F108" s="591">
        <v>0.149999973608028</v>
      </c>
      <c r="G108" s="591">
        <v>24.054048135854199</v>
      </c>
      <c r="H108" s="537">
        <v>27064.582999999999</v>
      </c>
      <c r="I108" s="537">
        <v>27064.582999999999</v>
      </c>
      <c r="J108" s="518">
        <v>0.21645082485389924</v>
      </c>
      <c r="K108" s="516">
        <v>45.113999999999997</v>
      </c>
    </row>
    <row r="109" spans="1:11">
      <c r="A109" s="579" t="s">
        <v>772</v>
      </c>
      <c r="B109" s="580" t="s">
        <v>47</v>
      </c>
      <c r="C109" s="515">
        <v>836941589</v>
      </c>
      <c r="D109" s="530">
        <v>533035394</v>
      </c>
      <c r="E109" s="516">
        <v>1027649.286</v>
      </c>
      <c r="F109" s="591">
        <v>0.35346883897898201</v>
      </c>
      <c r="G109" s="591">
        <v>16.9814392300371</v>
      </c>
      <c r="H109" s="537">
        <v>248025.69</v>
      </c>
      <c r="I109" s="537">
        <v>248025.69</v>
      </c>
      <c r="J109" s="518">
        <v>0.24135246662352083</v>
      </c>
      <c r="K109" s="516">
        <v>601.84699999999998</v>
      </c>
    </row>
    <row r="110" spans="1:11">
      <c r="A110" s="579" t="s">
        <v>772</v>
      </c>
      <c r="B110" s="580" t="s">
        <v>48</v>
      </c>
      <c r="C110" s="515">
        <v>743459248</v>
      </c>
      <c r="D110" s="530">
        <v>463140806</v>
      </c>
      <c r="E110" s="516">
        <v>898671.05299999996</v>
      </c>
      <c r="F110" s="591">
        <v>0.58802951117198199</v>
      </c>
      <c r="G110" s="591">
        <v>25.580216057098301</v>
      </c>
      <c r="H110" s="537">
        <v>360869.511</v>
      </c>
      <c r="I110" s="537">
        <v>360869.511</v>
      </c>
      <c r="J110" s="518">
        <v>0.40155906857723167</v>
      </c>
      <c r="K110" s="516">
        <v>1359.655</v>
      </c>
    </row>
    <row r="111" spans="1:11">
      <c r="A111" s="579" t="s">
        <v>772</v>
      </c>
      <c r="B111" s="580" t="s">
        <v>49</v>
      </c>
      <c r="C111" s="515">
        <v>1487738387</v>
      </c>
      <c r="D111" s="530">
        <v>518641941</v>
      </c>
      <c r="E111" s="516">
        <v>1775199.72</v>
      </c>
      <c r="F111" s="591">
        <v>0.93608380019347903</v>
      </c>
      <c r="G111" s="591">
        <v>18.804379430614201</v>
      </c>
      <c r="H111" s="537">
        <v>714662.10199999996</v>
      </c>
      <c r="I111" s="537">
        <v>714662.10199999996</v>
      </c>
      <c r="J111" s="518">
        <v>0.4025812385774824</v>
      </c>
      <c r="K111" s="516">
        <v>3143.9070000000002</v>
      </c>
    </row>
    <row r="112" spans="1:11">
      <c r="A112" s="579" t="s">
        <v>772</v>
      </c>
      <c r="B112" s="580" t="s">
        <v>50</v>
      </c>
      <c r="C112" s="515">
        <v>1477222081</v>
      </c>
      <c r="D112" s="530">
        <v>416793202</v>
      </c>
      <c r="E112" s="516">
        <v>1756389.358</v>
      </c>
      <c r="F112" s="591">
        <v>1.63023943805972</v>
      </c>
      <c r="G112" s="591">
        <v>29.9063183574584</v>
      </c>
      <c r="H112" s="537">
        <v>1288995.058</v>
      </c>
      <c r="I112" s="537">
        <v>1288995.058</v>
      </c>
      <c r="J112" s="518">
        <v>0.73388913006611367</v>
      </c>
      <c r="K112" s="516">
        <v>8626.777</v>
      </c>
    </row>
    <row r="113" spans="1:11">
      <c r="A113" s="579" t="s">
        <v>772</v>
      </c>
      <c r="B113" s="580" t="s">
        <v>51</v>
      </c>
      <c r="C113" s="515">
        <v>457246025</v>
      </c>
      <c r="D113" s="530">
        <v>554302457</v>
      </c>
      <c r="E113" s="516">
        <v>863441.03399999999</v>
      </c>
      <c r="F113" s="591">
        <v>3.3532492503709301</v>
      </c>
      <c r="G113" s="591">
        <v>29.577172377008001</v>
      </c>
      <c r="H113" s="537">
        <v>775327.451</v>
      </c>
      <c r="I113" s="537">
        <v>773532.82400000002</v>
      </c>
      <c r="J113" s="518">
        <v>0.89795066538382751</v>
      </c>
      <c r="K113" s="516">
        <v>8402.4609999999993</v>
      </c>
    </row>
    <row r="114" spans="1:11">
      <c r="A114" s="579" t="s">
        <v>772</v>
      </c>
      <c r="B114" s="580" t="s">
        <v>52</v>
      </c>
      <c r="C114" s="515">
        <v>324184149</v>
      </c>
      <c r="D114" s="530">
        <v>256110133</v>
      </c>
      <c r="E114" s="516">
        <v>481875.82699999999</v>
      </c>
      <c r="F114" s="591">
        <v>7.0066334744780603</v>
      </c>
      <c r="G114" s="591">
        <v>50.637474288578503</v>
      </c>
      <c r="H114" s="537">
        <v>902732.59600000002</v>
      </c>
      <c r="I114" s="537">
        <v>902732.59600000002</v>
      </c>
      <c r="J114" s="518">
        <v>1.8733718219901494</v>
      </c>
      <c r="K114" s="516">
        <v>17160.46</v>
      </c>
    </row>
    <row r="115" spans="1:11">
      <c r="A115" s="579" t="s">
        <v>772</v>
      </c>
      <c r="B115" s="580" t="s">
        <v>770</v>
      </c>
      <c r="C115" s="515">
        <v>85373320</v>
      </c>
      <c r="D115" s="530">
        <v>106448086</v>
      </c>
      <c r="E115" s="516">
        <v>145232.34299999999</v>
      </c>
      <c r="F115" s="591">
        <v>17.7732146068868</v>
      </c>
      <c r="G115" s="591">
        <v>60.185812742826798</v>
      </c>
      <c r="H115" s="537">
        <v>451609.402</v>
      </c>
      <c r="I115" s="537">
        <v>451609.402</v>
      </c>
      <c r="J115" s="518">
        <v>3.1095649403659351</v>
      </c>
      <c r="K115" s="516">
        <v>15842.607</v>
      </c>
    </row>
    <row r="116" spans="1:11">
      <c r="A116" s="579" t="s">
        <v>772</v>
      </c>
      <c r="B116" s="580" t="s">
        <v>54</v>
      </c>
      <c r="C116" s="515">
        <v>0</v>
      </c>
      <c r="D116" s="530">
        <v>0</v>
      </c>
      <c r="E116" s="516">
        <v>0</v>
      </c>
      <c r="F116" s="591">
        <v>0</v>
      </c>
      <c r="G116" s="591">
        <v>0</v>
      </c>
      <c r="H116" s="537">
        <v>0</v>
      </c>
      <c r="I116" s="537">
        <v>0</v>
      </c>
      <c r="J116" s="537">
        <v>0</v>
      </c>
      <c r="K116" s="537">
        <v>0</v>
      </c>
    </row>
    <row r="117" spans="1:11">
      <c r="A117" s="592" t="s">
        <v>772</v>
      </c>
      <c r="B117" s="592" t="s">
        <v>55</v>
      </c>
      <c r="C117" s="538">
        <v>0</v>
      </c>
      <c r="D117" s="539">
        <v>0</v>
      </c>
      <c r="E117" s="516">
        <v>0</v>
      </c>
      <c r="F117" s="593">
        <v>0</v>
      </c>
      <c r="G117" s="593">
        <v>0</v>
      </c>
      <c r="H117" s="537">
        <v>0</v>
      </c>
      <c r="I117" s="537">
        <v>0</v>
      </c>
      <c r="J117" s="537">
        <v>0</v>
      </c>
      <c r="K117" s="537">
        <v>0</v>
      </c>
    </row>
    <row r="118" spans="1:11" s="525" customFormat="1">
      <c r="A118" s="594" t="s">
        <v>772</v>
      </c>
      <c r="B118" s="594" t="s">
        <v>771</v>
      </c>
      <c r="C118" s="542">
        <v>5537202821</v>
      </c>
      <c r="D118" s="543">
        <v>2848472019</v>
      </c>
      <c r="E118" s="543">
        <v>7073496.6430000002</v>
      </c>
      <c r="F118" s="595">
        <v>2.02</v>
      </c>
      <c r="G118" s="595">
        <v>26.58</v>
      </c>
      <c r="H118" s="596">
        <v>4769286.3930000002</v>
      </c>
      <c r="I118" s="596">
        <v>4767491.7659999998</v>
      </c>
      <c r="J118" s="544">
        <v>0.67424735370726885</v>
      </c>
      <c r="K118" s="545">
        <v>55182.827999999994</v>
      </c>
    </row>
    <row r="119" spans="1:11">
      <c r="A119" s="588" t="s">
        <v>41</v>
      </c>
      <c r="B119" s="589" t="s">
        <v>45</v>
      </c>
      <c r="C119" s="526">
        <v>0</v>
      </c>
      <c r="D119" s="527">
        <v>0</v>
      </c>
      <c r="E119" s="528">
        <v>0</v>
      </c>
      <c r="F119" s="590"/>
      <c r="G119" s="590"/>
      <c r="H119" s="528">
        <v>0</v>
      </c>
      <c r="I119" s="528"/>
      <c r="J119" s="590"/>
      <c r="K119" s="528">
        <v>0</v>
      </c>
    </row>
    <row r="120" spans="1:11">
      <c r="A120" s="579" t="s">
        <v>41</v>
      </c>
      <c r="B120" s="580" t="s">
        <v>46</v>
      </c>
      <c r="C120" s="515">
        <v>1245117064</v>
      </c>
      <c r="D120" s="530">
        <v>585093257</v>
      </c>
      <c r="E120" s="516">
        <v>1828979.821</v>
      </c>
      <c r="F120" s="517">
        <v>0.20684711534605801</v>
      </c>
      <c r="G120" s="517">
        <v>16.894997170119101</v>
      </c>
      <c r="H120" s="516">
        <v>135060.00899999999</v>
      </c>
      <c r="I120" s="516">
        <v>133503.19699999999</v>
      </c>
      <c r="J120" s="518">
        <v>7.3844450031250508E-2</v>
      </c>
      <c r="K120" s="516">
        <v>641.44200000000001</v>
      </c>
    </row>
    <row r="121" spans="1:11">
      <c r="A121" s="579" t="s">
        <v>41</v>
      </c>
      <c r="B121" s="580" t="s">
        <v>47</v>
      </c>
      <c r="C121" s="515">
        <v>1517479402</v>
      </c>
      <c r="D121" s="530">
        <v>127413154</v>
      </c>
      <c r="E121" s="516">
        <v>1644022.5560000001</v>
      </c>
      <c r="F121" s="517">
        <v>0.361839561038237</v>
      </c>
      <c r="G121" s="517">
        <v>20.399765488375699</v>
      </c>
      <c r="H121" s="516">
        <v>218734.568</v>
      </c>
      <c r="I121" s="516">
        <v>214600.68299999999</v>
      </c>
      <c r="J121" s="518">
        <v>0.13304839839435875</v>
      </c>
      <c r="K121" s="516">
        <v>1210.249</v>
      </c>
    </row>
    <row r="122" spans="1:11">
      <c r="A122" s="579" t="s">
        <v>41</v>
      </c>
      <c r="B122" s="580" t="s">
        <v>48</v>
      </c>
      <c r="C122" s="515">
        <v>804634756</v>
      </c>
      <c r="D122" s="530">
        <v>14995202</v>
      </c>
      <c r="E122" s="516">
        <v>819428.95799999998</v>
      </c>
      <c r="F122" s="517">
        <v>0.61621119814025405</v>
      </c>
      <c r="G122" s="517">
        <v>21.409261204068901</v>
      </c>
      <c r="H122" s="516">
        <v>167342.54</v>
      </c>
      <c r="I122" s="516">
        <v>164494.092</v>
      </c>
      <c r="J122" s="518">
        <v>0.20421848455104269</v>
      </c>
      <c r="K122" s="516">
        <v>1080.7819999999999</v>
      </c>
    </row>
    <row r="123" spans="1:11">
      <c r="A123" s="579" t="s">
        <v>41</v>
      </c>
      <c r="B123" s="580" t="s">
        <v>49</v>
      </c>
      <c r="C123" s="515">
        <v>835847477</v>
      </c>
      <c r="D123" s="530">
        <v>9165097</v>
      </c>
      <c r="E123" s="516">
        <v>844799.07400000002</v>
      </c>
      <c r="F123" s="517">
        <v>0.97767555081387303</v>
      </c>
      <c r="G123" s="517">
        <v>22.582292863640099</v>
      </c>
      <c r="H123" s="516">
        <v>250121.60500000001</v>
      </c>
      <c r="I123" s="516">
        <v>241921.63200000001</v>
      </c>
      <c r="J123" s="518">
        <v>0.29607230014553731</v>
      </c>
      <c r="K123" s="516">
        <v>1880.0440000000001</v>
      </c>
    </row>
    <row r="124" spans="1:11">
      <c r="A124" s="579" t="s">
        <v>41</v>
      </c>
      <c r="B124" s="580" t="s">
        <v>50</v>
      </c>
      <c r="C124" s="515">
        <v>380582069</v>
      </c>
      <c r="D124" s="530">
        <v>8317961</v>
      </c>
      <c r="E124" s="516">
        <v>388780.53</v>
      </c>
      <c r="F124" s="517">
        <v>1.6762434065306699</v>
      </c>
      <c r="G124" s="517">
        <v>22.540856919969698</v>
      </c>
      <c r="H124" s="516">
        <v>162787.092</v>
      </c>
      <c r="I124" s="516">
        <v>157993.24600000001</v>
      </c>
      <c r="J124" s="518">
        <v>0.41871204815734986</v>
      </c>
      <c r="K124" s="516">
        <v>1486.7819999999999</v>
      </c>
    </row>
    <row r="125" spans="1:11">
      <c r="A125" s="579" t="s">
        <v>41</v>
      </c>
      <c r="B125" s="580" t="s">
        <v>51</v>
      </c>
      <c r="C125" s="515">
        <v>130698779</v>
      </c>
      <c r="D125" s="530">
        <v>2006932</v>
      </c>
      <c r="E125" s="516">
        <v>132663.21100000001</v>
      </c>
      <c r="F125" s="517">
        <v>3.6675585969346098</v>
      </c>
      <c r="G125" s="517">
        <v>23.630496174255899</v>
      </c>
      <c r="H125" s="516">
        <v>92927.351999999999</v>
      </c>
      <c r="I125" s="516">
        <v>92706.834000000003</v>
      </c>
      <c r="J125" s="518">
        <v>0.70047567294296831</v>
      </c>
      <c r="K125" s="516">
        <v>1170.7719999999999</v>
      </c>
    </row>
    <row r="126" spans="1:11">
      <c r="A126" s="579" t="s">
        <v>41</v>
      </c>
      <c r="B126" s="580" t="s">
        <v>52</v>
      </c>
      <c r="C126" s="515">
        <v>100650026</v>
      </c>
      <c r="D126" s="530">
        <v>269906</v>
      </c>
      <c r="E126" s="516">
        <v>100919.932</v>
      </c>
      <c r="F126" s="517">
        <v>6.9629357261160303</v>
      </c>
      <c r="G126" s="517">
        <v>19.904525896826801</v>
      </c>
      <c r="H126" s="516">
        <v>82018.642000000007</v>
      </c>
      <c r="I126" s="516">
        <v>81262.040999999997</v>
      </c>
      <c r="J126" s="518">
        <v>0.81271004027232208</v>
      </c>
      <c r="K126" s="516">
        <v>1397.2149999999999</v>
      </c>
    </row>
    <row r="127" spans="1:11">
      <c r="A127" s="579" t="s">
        <v>41</v>
      </c>
      <c r="B127" s="580" t="s">
        <v>770</v>
      </c>
      <c r="C127" s="515">
        <v>210732514</v>
      </c>
      <c r="D127" s="530">
        <v>340332</v>
      </c>
      <c r="E127" s="516">
        <v>210996.84599999999</v>
      </c>
      <c r="F127" s="517">
        <v>26.037263609144201</v>
      </c>
      <c r="G127" s="517">
        <v>19.698575020405801</v>
      </c>
      <c r="H127" s="516">
        <v>239802.37899999999</v>
      </c>
      <c r="I127" s="516">
        <v>236341.52799999999</v>
      </c>
      <c r="J127" s="518">
        <v>1.1365211544441758</v>
      </c>
      <c r="K127" s="516">
        <v>10606.512000000001</v>
      </c>
    </row>
    <row r="128" spans="1:11">
      <c r="A128" s="579" t="s">
        <v>41</v>
      </c>
      <c r="B128" s="580" t="s">
        <v>54</v>
      </c>
      <c r="C128" s="515">
        <v>2392536</v>
      </c>
      <c r="D128" s="530">
        <v>0</v>
      </c>
      <c r="E128" s="516">
        <v>2392.5360000000001</v>
      </c>
      <c r="F128" s="517">
        <v>100</v>
      </c>
      <c r="G128" s="517">
        <v>11.7020600734952</v>
      </c>
      <c r="H128" s="516">
        <v>1951.2919999999999</v>
      </c>
      <c r="I128" s="516">
        <v>1951.2919999999999</v>
      </c>
      <c r="J128" s="518">
        <v>0.81557477087074126</v>
      </c>
      <c r="K128" s="516">
        <v>279.976</v>
      </c>
    </row>
    <row r="129" spans="1:11">
      <c r="A129" s="592" t="s">
        <v>41</v>
      </c>
      <c r="B129" s="592" t="s">
        <v>55</v>
      </c>
      <c r="C129" s="538">
        <v>19369466</v>
      </c>
      <c r="D129" s="539">
        <v>0</v>
      </c>
      <c r="E129" s="540">
        <v>19369.466</v>
      </c>
      <c r="F129" s="546">
        <v>100</v>
      </c>
      <c r="G129" s="546">
        <v>27.663648548700301</v>
      </c>
      <c r="H129" s="540">
        <v>17086.094000000001</v>
      </c>
      <c r="I129" s="540">
        <v>17086.094000000001</v>
      </c>
      <c r="J129" s="541">
        <v>0.88211487090041618</v>
      </c>
      <c r="K129" s="540">
        <v>5358.308</v>
      </c>
    </row>
    <row r="130" spans="1:11" s="525" customFormat="1">
      <c r="A130" s="594" t="s">
        <v>41</v>
      </c>
      <c r="B130" s="594" t="s">
        <v>771</v>
      </c>
      <c r="C130" s="542">
        <v>5247504089</v>
      </c>
      <c r="D130" s="543">
        <v>747601841</v>
      </c>
      <c r="E130" s="596">
        <v>5992352.9300000006</v>
      </c>
      <c r="F130" s="595">
        <v>1.97</v>
      </c>
      <c r="G130" s="595">
        <v>19.97</v>
      </c>
      <c r="H130" s="545">
        <v>1367831.5729999999</v>
      </c>
      <c r="I130" s="545">
        <v>1341860.639</v>
      </c>
      <c r="J130" s="544">
        <v>0.22826285250191358</v>
      </c>
      <c r="K130" s="596">
        <v>25112.082000000002</v>
      </c>
    </row>
    <row r="131" spans="1:11">
      <c r="A131" s="588" t="s">
        <v>773</v>
      </c>
      <c r="B131" s="589" t="s">
        <v>45</v>
      </c>
      <c r="C131" s="526">
        <v>0</v>
      </c>
      <c r="D131" s="528"/>
      <c r="E131" s="528">
        <v>0</v>
      </c>
      <c r="F131" s="590"/>
      <c r="G131" s="590"/>
      <c r="H131" s="528">
        <v>0</v>
      </c>
      <c r="I131" s="528"/>
      <c r="J131" s="590"/>
      <c r="K131" s="528">
        <v>0</v>
      </c>
    </row>
    <row r="132" spans="1:11">
      <c r="A132" s="579" t="s">
        <v>773</v>
      </c>
      <c r="B132" s="580" t="s">
        <v>46</v>
      </c>
      <c r="C132" s="515">
        <v>32133597823</v>
      </c>
      <c r="D132" s="516">
        <v>12275047641</v>
      </c>
      <c r="E132" s="516">
        <v>44404806.464000002</v>
      </c>
      <c r="F132" s="591">
        <v>0.206084872983718</v>
      </c>
      <c r="G132" s="591">
        <v>17.5496769191369</v>
      </c>
      <c r="H132" s="516">
        <v>3399211.3459999999</v>
      </c>
      <c r="I132" s="516">
        <v>3399211.3459999999</v>
      </c>
      <c r="J132" s="518">
        <v>7.6550527221773135E-2</v>
      </c>
      <c r="K132" s="516">
        <v>16132.273999999999</v>
      </c>
    </row>
    <row r="133" spans="1:11">
      <c r="A133" s="579" t="s">
        <v>773</v>
      </c>
      <c r="B133" s="580" t="s">
        <v>47</v>
      </c>
      <c r="C133" s="515">
        <v>37842259889</v>
      </c>
      <c r="D133" s="516">
        <v>1320281593</v>
      </c>
      <c r="E133" s="516">
        <v>39161323.141000003</v>
      </c>
      <c r="F133" s="591">
        <v>0.36630691584017</v>
      </c>
      <c r="G133" s="591">
        <v>22.257785480374402</v>
      </c>
      <c r="H133" s="516">
        <v>5781184.2699999996</v>
      </c>
      <c r="I133" s="516">
        <v>5781184.2699999996</v>
      </c>
      <c r="J133" s="518">
        <v>0.14762484528893205</v>
      </c>
      <c r="K133" s="516">
        <v>32213.912</v>
      </c>
    </row>
    <row r="134" spans="1:11">
      <c r="A134" s="579" t="s">
        <v>773</v>
      </c>
      <c r="B134" s="580" t="s">
        <v>48</v>
      </c>
      <c r="C134" s="515">
        <v>25970595417</v>
      </c>
      <c r="D134" s="516">
        <v>179307940</v>
      </c>
      <c r="E134" s="516">
        <v>26149263.511</v>
      </c>
      <c r="F134" s="591">
        <v>0.61487494641049401</v>
      </c>
      <c r="G134" s="591">
        <v>24.3650129393505</v>
      </c>
      <c r="H134" s="516">
        <v>6078683.0389999999</v>
      </c>
      <c r="I134" s="516">
        <v>6078683.0389999999</v>
      </c>
      <c r="J134" s="518">
        <v>0.23246096535158359</v>
      </c>
      <c r="K134" s="516">
        <v>39249.879999999997</v>
      </c>
    </row>
    <row r="135" spans="1:11">
      <c r="A135" s="579" t="s">
        <v>773</v>
      </c>
      <c r="B135" s="580" t="s">
        <v>49</v>
      </c>
      <c r="C135" s="515">
        <v>21229447661</v>
      </c>
      <c r="D135" s="516">
        <v>64827286</v>
      </c>
      <c r="E135" s="516">
        <v>21294004.824000001</v>
      </c>
      <c r="F135" s="591">
        <v>0.94461810571814897</v>
      </c>
      <c r="G135" s="591">
        <v>25.3932925332374</v>
      </c>
      <c r="H135" s="516">
        <v>6902244.9639999997</v>
      </c>
      <c r="I135" s="516">
        <v>6902244.9639999997</v>
      </c>
      <c r="J135" s="518">
        <v>0.3241402930565993</v>
      </c>
      <c r="K135" s="516">
        <v>51181.180999999997</v>
      </c>
    </row>
    <row r="136" spans="1:11">
      <c r="A136" s="579" t="s">
        <v>773</v>
      </c>
      <c r="B136" s="580" t="s">
        <v>50</v>
      </c>
      <c r="C136" s="515">
        <v>7485698927</v>
      </c>
      <c r="D136" s="516">
        <v>25021961</v>
      </c>
      <c r="E136" s="516">
        <v>7510535.682</v>
      </c>
      <c r="F136" s="591">
        <v>1.60697176752991</v>
      </c>
      <c r="G136" s="591">
        <v>24.977769901233501</v>
      </c>
      <c r="H136" s="516">
        <v>3359120.6290000002</v>
      </c>
      <c r="I136" s="516">
        <v>3359120.6290000002</v>
      </c>
      <c r="J136" s="518">
        <v>0.44725446642249239</v>
      </c>
      <c r="K136" s="516">
        <v>29984.355</v>
      </c>
    </row>
    <row r="137" spans="1:11">
      <c r="A137" s="579" t="s">
        <v>773</v>
      </c>
      <c r="B137" s="580" t="s">
        <v>51</v>
      </c>
      <c r="C137" s="515">
        <v>1928857429</v>
      </c>
      <c r="D137" s="516">
        <v>14545645</v>
      </c>
      <c r="E137" s="516">
        <v>1943326.074</v>
      </c>
      <c r="F137" s="591">
        <v>3.53962744185359</v>
      </c>
      <c r="G137" s="591">
        <v>24.404020115051502</v>
      </c>
      <c r="H137" s="516">
        <v>1368064.696</v>
      </c>
      <c r="I137" s="516">
        <v>1368064.696</v>
      </c>
      <c r="J137" s="518">
        <v>0.70398103246979848</v>
      </c>
      <c r="K137" s="516">
        <v>16937.812000000002</v>
      </c>
    </row>
    <row r="138" spans="1:11">
      <c r="A138" s="579" t="s">
        <v>773</v>
      </c>
      <c r="B138" s="580" t="s">
        <v>52</v>
      </c>
      <c r="C138" s="515">
        <v>1588401101</v>
      </c>
      <c r="D138" s="516">
        <v>3145393</v>
      </c>
      <c r="E138" s="516">
        <v>1591249.6540000001</v>
      </c>
      <c r="F138" s="591">
        <v>6.84680544791496</v>
      </c>
      <c r="G138" s="591">
        <v>24.162512150968901</v>
      </c>
      <c r="H138" s="516">
        <v>1551020.095</v>
      </c>
      <c r="I138" s="516">
        <v>1551020.095</v>
      </c>
      <c r="J138" s="518">
        <v>0.97471826064573008</v>
      </c>
      <c r="K138" s="516">
        <v>26231.463</v>
      </c>
    </row>
    <row r="139" spans="1:11">
      <c r="A139" s="579" t="s">
        <v>773</v>
      </c>
      <c r="B139" s="580" t="s">
        <v>770</v>
      </c>
      <c r="C139" s="515">
        <v>1789656071</v>
      </c>
      <c r="D139" s="516">
        <v>1744289</v>
      </c>
      <c r="E139" s="516">
        <v>1791362.86</v>
      </c>
      <c r="F139" s="591">
        <v>24.5932511406427</v>
      </c>
      <c r="G139" s="591">
        <v>24.449744816078201</v>
      </c>
      <c r="H139" s="516">
        <v>2517209.2710000002</v>
      </c>
      <c r="I139" s="516">
        <v>2517209.2710000002</v>
      </c>
      <c r="J139" s="518">
        <v>1.4051922852749108</v>
      </c>
      <c r="K139" s="516">
        <v>109714.68700000001</v>
      </c>
    </row>
    <row r="140" spans="1:11">
      <c r="A140" s="579" t="s">
        <v>773</v>
      </c>
      <c r="B140" s="580" t="s">
        <v>54</v>
      </c>
      <c r="C140" s="515">
        <v>178156264</v>
      </c>
      <c r="D140" s="516">
        <v>6251</v>
      </c>
      <c r="E140" s="516">
        <v>178162.51500000001</v>
      </c>
      <c r="F140" s="591">
        <v>100</v>
      </c>
      <c r="G140" s="591">
        <v>23.758062126592701</v>
      </c>
      <c r="H140" s="516">
        <v>28043.907999999999</v>
      </c>
      <c r="I140" s="516">
        <v>28043.907999999999</v>
      </c>
      <c r="J140" s="518">
        <v>0.15740633207832747</v>
      </c>
      <c r="K140" s="516">
        <v>42327.96</v>
      </c>
    </row>
    <row r="141" spans="1:11">
      <c r="A141" s="592" t="s">
        <v>773</v>
      </c>
      <c r="B141" s="592" t="s">
        <v>55</v>
      </c>
      <c r="C141" s="538">
        <v>150601520</v>
      </c>
      <c r="D141" s="540">
        <v>4676288</v>
      </c>
      <c r="E141" s="540">
        <v>155277.80799999999</v>
      </c>
      <c r="F141" s="593">
        <v>100</v>
      </c>
      <c r="G141" s="593">
        <v>19.853339892587901</v>
      </c>
      <c r="H141" s="540">
        <v>303927.68800000002</v>
      </c>
      <c r="I141" s="540">
        <v>303927.68800000002</v>
      </c>
      <c r="J141" s="541">
        <v>1.9573156777174499</v>
      </c>
      <c r="K141" s="540">
        <v>30827.834999999999</v>
      </c>
    </row>
    <row r="142" spans="1:11" s="525" customFormat="1">
      <c r="A142" s="579" t="s">
        <v>773</v>
      </c>
      <c r="B142" s="594" t="s">
        <v>771</v>
      </c>
      <c r="C142" s="542">
        <v>130297272102</v>
      </c>
      <c r="D142" s="545">
        <v>13888604287</v>
      </c>
      <c r="E142" s="596">
        <v>144179312.53300002</v>
      </c>
      <c r="F142" s="595">
        <v>1.1599999999999999</v>
      </c>
      <c r="G142" s="595">
        <v>21.87</v>
      </c>
      <c r="H142" s="545">
        <v>31288709.906000003</v>
      </c>
      <c r="I142" s="545">
        <v>31288709.906000003</v>
      </c>
      <c r="J142" s="547">
        <v>0.21701247811705709</v>
      </c>
      <c r="K142" s="596">
        <v>394801.35900000005</v>
      </c>
    </row>
    <row r="143" spans="1:11">
      <c r="A143" s="588" t="s">
        <v>96</v>
      </c>
      <c r="B143" s="589" t="s">
        <v>45</v>
      </c>
      <c r="C143" s="526">
        <v>0</v>
      </c>
      <c r="D143" s="527">
        <v>0</v>
      </c>
      <c r="E143" s="528">
        <v>0</v>
      </c>
      <c r="F143" s="590"/>
      <c r="G143" s="590"/>
      <c r="H143" s="528">
        <v>0</v>
      </c>
      <c r="I143" s="528"/>
      <c r="J143" s="590"/>
      <c r="K143" s="528">
        <v>0</v>
      </c>
    </row>
    <row r="144" spans="1:11">
      <c r="A144" s="579" t="s">
        <v>96</v>
      </c>
      <c r="B144" s="580" t="s">
        <v>46</v>
      </c>
      <c r="C144" s="515">
        <v>569895211</v>
      </c>
      <c r="D144" s="530">
        <v>643653564</v>
      </c>
      <c r="E144" s="516">
        <v>1210025.2749999999</v>
      </c>
      <c r="F144" s="531">
        <v>0.2072514030457546</v>
      </c>
      <c r="G144" s="531">
        <v>50.158802785912584</v>
      </c>
      <c r="H144" s="516">
        <v>267065.55499999999</v>
      </c>
      <c r="I144" s="516">
        <v>266878.90999999997</v>
      </c>
      <c r="J144" s="518">
        <v>0.22071072441028144</v>
      </c>
      <c r="K144" s="516">
        <v>1259.2829999999999</v>
      </c>
    </row>
    <row r="145" spans="1:11">
      <c r="A145" s="579" t="s">
        <v>96</v>
      </c>
      <c r="B145" s="580" t="s">
        <v>47</v>
      </c>
      <c r="C145" s="515">
        <v>1329256006</v>
      </c>
      <c r="D145" s="530">
        <v>331230554</v>
      </c>
      <c r="E145" s="516">
        <v>1656994.06</v>
      </c>
      <c r="F145" s="531">
        <v>0.37176482947680745</v>
      </c>
      <c r="G145" s="531">
        <v>50.21793861204236</v>
      </c>
      <c r="H145" s="516">
        <v>529776.82500000007</v>
      </c>
      <c r="I145" s="516">
        <v>529328.24199999997</v>
      </c>
      <c r="J145" s="518">
        <v>0.31972161988317571</v>
      </c>
      <c r="K145" s="516">
        <v>3097.4389999999999</v>
      </c>
    </row>
    <row r="146" spans="1:11">
      <c r="A146" s="579" t="s">
        <v>96</v>
      </c>
      <c r="B146" s="580" t="s">
        <v>48</v>
      </c>
      <c r="C146" s="515">
        <v>1103071498</v>
      </c>
      <c r="D146" s="530">
        <v>71182016</v>
      </c>
      <c r="E146" s="516">
        <v>1173147.2540000002</v>
      </c>
      <c r="F146" s="531">
        <v>0.61414865283799391</v>
      </c>
      <c r="G146" s="531">
        <v>50.316961664692968</v>
      </c>
      <c r="H146" s="516">
        <v>502221.75299999997</v>
      </c>
      <c r="I146" s="516">
        <v>501777.092</v>
      </c>
      <c r="J146" s="518">
        <v>0.42809779530029901</v>
      </c>
      <c r="K146" s="516">
        <v>3627.232</v>
      </c>
    </row>
    <row r="147" spans="1:11">
      <c r="A147" s="579" t="s">
        <v>96</v>
      </c>
      <c r="B147" s="580" t="s">
        <v>49</v>
      </c>
      <c r="C147" s="515">
        <v>945446194</v>
      </c>
      <c r="D147" s="530">
        <v>31225471</v>
      </c>
      <c r="E147" s="516">
        <v>975587.41500000004</v>
      </c>
      <c r="F147" s="531">
        <v>0.95128731373063125</v>
      </c>
      <c r="G147" s="531">
        <v>50.340590883733746</v>
      </c>
      <c r="H147" s="516">
        <v>515385.20600000001</v>
      </c>
      <c r="I147" s="516">
        <v>515040.745</v>
      </c>
      <c r="J147" s="518">
        <v>0.52828193360817388</v>
      </c>
      <c r="K147" s="516">
        <v>4666.2169999999996</v>
      </c>
    </row>
    <row r="148" spans="1:11">
      <c r="A148" s="579" t="s">
        <v>96</v>
      </c>
      <c r="B148" s="580" t="s">
        <v>50</v>
      </c>
      <c r="C148" s="515">
        <v>406094022</v>
      </c>
      <c r="D148" s="530">
        <v>17264326</v>
      </c>
      <c r="E148" s="516">
        <v>423047.348</v>
      </c>
      <c r="F148" s="531">
        <v>1.6318731884682507</v>
      </c>
      <c r="G148" s="531">
        <v>50.511802464607776</v>
      </c>
      <c r="H148" s="516">
        <v>272980.18199999997</v>
      </c>
      <c r="I148" s="516">
        <v>272808.22100000002</v>
      </c>
      <c r="J148" s="518">
        <v>0.64527099222000084</v>
      </c>
      <c r="K148" s="516">
        <v>3477.9349999999999</v>
      </c>
    </row>
    <row r="149" spans="1:11">
      <c r="A149" s="579" t="s">
        <v>96</v>
      </c>
      <c r="B149" s="580" t="s">
        <v>51</v>
      </c>
      <c r="C149" s="515">
        <v>114131630</v>
      </c>
      <c r="D149" s="530">
        <v>4130004</v>
      </c>
      <c r="E149" s="516">
        <v>118224.13400000001</v>
      </c>
      <c r="F149" s="531">
        <v>3.5101077893152137</v>
      </c>
      <c r="G149" s="531">
        <v>49.582377698307695</v>
      </c>
      <c r="H149" s="516">
        <v>88091.129000000001</v>
      </c>
      <c r="I149" s="516">
        <v>88018.289000000004</v>
      </c>
      <c r="J149" s="518">
        <v>0.74511968089358127</v>
      </c>
      <c r="K149" s="516">
        <v>2051.2860000000001</v>
      </c>
    </row>
    <row r="150" spans="1:11">
      <c r="A150" s="579" t="s">
        <v>96</v>
      </c>
      <c r="B150" s="580" t="s">
        <v>52</v>
      </c>
      <c r="C150" s="515">
        <v>82827272</v>
      </c>
      <c r="D150" s="530">
        <v>1944229</v>
      </c>
      <c r="E150" s="516">
        <v>84546.501000000004</v>
      </c>
      <c r="F150" s="531">
        <v>7.010348991821501</v>
      </c>
      <c r="G150" s="531">
        <v>49.600893552140469</v>
      </c>
      <c r="H150" s="516">
        <v>68822.813999999998</v>
      </c>
      <c r="I150" s="516">
        <v>68700.032999999996</v>
      </c>
      <c r="J150" s="518">
        <v>0.81402320836435316</v>
      </c>
      <c r="K150" s="516">
        <v>2948.7710000000002</v>
      </c>
    </row>
    <row r="151" spans="1:11">
      <c r="A151" s="579" t="s">
        <v>96</v>
      </c>
      <c r="B151" s="580" t="s">
        <v>770</v>
      </c>
      <c r="C151" s="515">
        <v>91249064</v>
      </c>
      <c r="D151" s="530">
        <v>1409989</v>
      </c>
      <c r="E151" s="516">
        <v>92388.553</v>
      </c>
      <c r="F151" s="531">
        <v>21.395572626603833</v>
      </c>
      <c r="G151" s="531">
        <v>49.28385254618231</v>
      </c>
      <c r="H151" s="516">
        <v>105568.962</v>
      </c>
      <c r="I151" s="516">
        <v>105538.182</v>
      </c>
      <c r="J151" s="518">
        <v>1.1426627928678568</v>
      </c>
      <c r="K151" s="516">
        <v>9727.4830000000002</v>
      </c>
    </row>
    <row r="152" spans="1:11">
      <c r="A152" s="579" t="s">
        <v>96</v>
      </c>
      <c r="B152" s="580" t="s">
        <v>54</v>
      </c>
      <c r="C152" s="515">
        <v>21606770</v>
      </c>
      <c r="D152" s="530">
        <v>176878</v>
      </c>
      <c r="E152" s="516">
        <v>21712.648000000001</v>
      </c>
      <c r="F152" s="531">
        <v>100</v>
      </c>
      <c r="G152" s="531">
        <v>51.011223144726287</v>
      </c>
      <c r="H152" s="516">
        <v>164.87</v>
      </c>
      <c r="I152" s="516">
        <v>164.87</v>
      </c>
      <c r="J152" s="518">
        <v>7.5932700608419574E-3</v>
      </c>
      <c r="K152" s="516">
        <v>11096.224</v>
      </c>
    </row>
    <row r="153" spans="1:11">
      <c r="A153" s="592" t="s">
        <v>96</v>
      </c>
      <c r="B153" s="592" t="s">
        <v>55</v>
      </c>
      <c r="C153" s="538">
        <v>35149628</v>
      </c>
      <c r="D153" s="539">
        <v>127000</v>
      </c>
      <c r="E153" s="540">
        <v>35247.347999999998</v>
      </c>
      <c r="F153" s="548">
        <v>100</v>
      </c>
      <c r="G153" s="548">
        <v>87.324155807356519</v>
      </c>
      <c r="H153" s="540">
        <v>3597.71</v>
      </c>
      <c r="I153" s="540">
        <v>3597.71</v>
      </c>
      <c r="J153" s="541">
        <v>0.10207037420233715</v>
      </c>
      <c r="K153" s="540">
        <v>33607.735999999997</v>
      </c>
    </row>
    <row r="154" spans="1:11" s="525" customFormat="1">
      <c r="A154" s="579" t="s">
        <v>96</v>
      </c>
      <c r="B154" s="594" t="s">
        <v>771</v>
      </c>
      <c r="C154" s="542">
        <v>4698727295</v>
      </c>
      <c r="D154" s="543">
        <v>1102344031</v>
      </c>
      <c r="E154" s="596">
        <v>5790920.5360000012</v>
      </c>
      <c r="F154" s="597">
        <v>2.0499999999999998</v>
      </c>
      <c r="G154" s="595">
        <v>50.53</v>
      </c>
      <c r="H154" s="545">
        <v>2353675.0060000001</v>
      </c>
      <c r="I154" s="545">
        <v>2351852.2939999998</v>
      </c>
      <c r="J154" s="547">
        <v>0.40644229036956681</v>
      </c>
      <c r="K154" s="596">
        <v>75559.606</v>
      </c>
    </row>
    <row r="155" spans="1:11">
      <c r="A155" s="594" t="s">
        <v>774</v>
      </c>
      <c r="B155" s="594"/>
      <c r="C155" s="598">
        <v>212505277311</v>
      </c>
      <c r="D155" s="599">
        <v>32937780392</v>
      </c>
      <c r="E155" s="600">
        <v>238639034.27800006</v>
      </c>
      <c r="F155" s="601">
        <v>2.69</v>
      </c>
      <c r="G155" s="601">
        <v>24.8</v>
      </c>
      <c r="H155" s="599">
        <v>87151225.804999992</v>
      </c>
      <c r="I155" s="599">
        <v>85486596.487999991</v>
      </c>
      <c r="J155" s="518">
        <v>0.36520104964669814</v>
      </c>
      <c r="K155" s="599">
        <v>1855517.0090000001</v>
      </c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1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7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12.5" style="143" customWidth="1"/>
    <col min="2" max="3" width="12.75" style="143" customWidth="1"/>
    <col min="4" max="4" width="3.75" style="143" customWidth="1"/>
    <col min="5" max="5" width="12.5" style="143" customWidth="1"/>
    <col min="6" max="7" width="12.75" style="143" customWidth="1"/>
    <col min="8" max="8" width="3.75" style="143" customWidth="1"/>
    <col min="9" max="9" width="12.5" style="143" customWidth="1"/>
    <col min="10" max="11" width="12.75" style="143" customWidth="1"/>
    <col min="12" max="16384" width="11" style="143"/>
  </cols>
  <sheetData>
    <row r="1" spans="1:11" ht="21">
      <c r="A1" s="549" t="s">
        <v>551</v>
      </c>
      <c r="C1" s="144"/>
      <c r="F1" s="244"/>
    </row>
    <row r="2" spans="1:11">
      <c r="A2" s="142"/>
      <c r="C2" s="144"/>
      <c r="F2" s="244"/>
    </row>
    <row r="3" spans="1:11" ht="12.75">
      <c r="A3" s="786" t="s">
        <v>546</v>
      </c>
      <c r="B3"/>
      <c r="C3"/>
      <c r="D3"/>
      <c r="E3" s="786" t="s">
        <v>96</v>
      </c>
      <c r="F3"/>
      <c r="G3"/>
      <c r="I3" s="786" t="s">
        <v>17</v>
      </c>
      <c r="J3"/>
      <c r="K3"/>
    </row>
    <row r="4" spans="1:11" ht="12.75">
      <c r="A4"/>
      <c r="B4"/>
      <c r="C4"/>
      <c r="D4"/>
      <c r="E4"/>
      <c r="F4"/>
      <c r="G4"/>
      <c r="I4"/>
      <c r="J4"/>
      <c r="K4"/>
    </row>
    <row r="5" spans="1:11" ht="24.75" thickBot="1">
      <c r="A5" s="364" t="s">
        <v>616</v>
      </c>
      <c r="B5" s="367" t="s">
        <v>618</v>
      </c>
      <c r="C5" s="367" t="s">
        <v>619</v>
      </c>
      <c r="D5"/>
      <c r="E5" s="364" t="s">
        <v>616</v>
      </c>
      <c r="F5" s="367" t="s">
        <v>618</v>
      </c>
      <c r="G5" s="367" t="s">
        <v>619</v>
      </c>
      <c r="I5" s="364" t="s">
        <v>616</v>
      </c>
      <c r="J5" s="367" t="s">
        <v>618</v>
      </c>
      <c r="K5" s="367" t="s">
        <v>619</v>
      </c>
    </row>
    <row r="6" spans="1:11" ht="14.1" customHeight="1" thickTop="1">
      <c r="A6" s="368">
        <v>2010</v>
      </c>
      <c r="B6" s="369">
        <v>1.03E-2</v>
      </c>
      <c r="C6" s="369">
        <v>3.0333333333333336E-3</v>
      </c>
      <c r="D6" s="370"/>
      <c r="E6" s="368">
        <v>2010</v>
      </c>
      <c r="F6" s="369">
        <v>3.896666666666667E-2</v>
      </c>
      <c r="G6" s="369">
        <v>2.1466666666666669E-2</v>
      </c>
      <c r="I6" s="368">
        <v>2010</v>
      </c>
      <c r="J6" s="369">
        <v>3.4333333333333334E-2</v>
      </c>
      <c r="K6" s="369">
        <v>2.7208333333333331E-2</v>
      </c>
    </row>
    <row r="7" spans="1:11" ht="14.1" customHeight="1">
      <c r="A7" s="368">
        <v>2011</v>
      </c>
      <c r="B7" s="369">
        <v>1.0533333333333332E-2</v>
      </c>
      <c r="C7" s="369">
        <v>2.9333333333333329E-3</v>
      </c>
      <c r="D7" s="370"/>
      <c r="E7" s="368">
        <v>2011</v>
      </c>
      <c r="F7" s="369">
        <v>3.6400000000000009E-2</v>
      </c>
      <c r="G7" s="369">
        <v>1.9016666666666664E-2</v>
      </c>
      <c r="I7" s="368">
        <v>2011</v>
      </c>
      <c r="J7" s="369">
        <v>3.6850000000000001E-2</v>
      </c>
      <c r="K7" s="369">
        <v>2.4766666666666663E-2</v>
      </c>
    </row>
    <row r="8" spans="1:11" ht="14.1" customHeight="1">
      <c r="A8" s="368">
        <v>2012</v>
      </c>
      <c r="B8" s="369">
        <v>9.7833333333333331E-3</v>
      </c>
      <c r="C8" s="369">
        <v>2.558333333333333E-3</v>
      </c>
      <c r="D8" s="370"/>
      <c r="E8" s="368">
        <v>2012</v>
      </c>
      <c r="F8" s="369">
        <v>3.2566666666666667E-2</v>
      </c>
      <c r="G8" s="369">
        <v>1.356666666666667E-2</v>
      </c>
      <c r="I8" s="368">
        <v>2012</v>
      </c>
      <c r="J8" s="369">
        <v>3.5416666666666666E-2</v>
      </c>
      <c r="K8" s="369">
        <v>2.0750000000000001E-2</v>
      </c>
    </row>
    <row r="9" spans="1:11" ht="14.1" customHeight="1">
      <c r="A9" s="368">
        <v>2013</v>
      </c>
      <c r="B9" s="369">
        <v>9.2333333333333312E-3</v>
      </c>
      <c r="C9" s="369">
        <v>2.3166666666666665E-3</v>
      </c>
      <c r="D9" s="370"/>
      <c r="E9" s="368">
        <v>2013</v>
      </c>
      <c r="F9" s="369">
        <v>3.1708333333333338E-2</v>
      </c>
      <c r="G9" s="369">
        <v>1.5275000000000002E-2</v>
      </c>
      <c r="I9" s="368">
        <v>2013</v>
      </c>
      <c r="J9" s="369">
        <v>3.4400000000000007E-2</v>
      </c>
      <c r="K9" s="369">
        <v>2.1174999999999999E-2</v>
      </c>
    </row>
    <row r="10" spans="1:11" ht="14.1" customHeight="1">
      <c r="A10" s="368">
        <v>2014</v>
      </c>
      <c r="B10" s="369">
        <v>9.025E-3</v>
      </c>
      <c r="C10" s="369">
        <v>2.166666666666667E-3</v>
      </c>
      <c r="D10" s="370"/>
      <c r="E10" s="368">
        <v>2014</v>
      </c>
      <c r="F10" s="369">
        <v>2.8866666666666665E-2</v>
      </c>
      <c r="G10" s="369">
        <v>1.3716666666666667E-2</v>
      </c>
      <c r="I10" s="368">
        <v>2014</v>
      </c>
      <c r="J10" s="369">
        <v>3.2366666666666662E-2</v>
      </c>
      <c r="K10" s="369">
        <v>2.0549999999999999E-2</v>
      </c>
    </row>
    <row r="11" spans="1:11" ht="14.1" customHeight="1">
      <c r="A11" s="368">
        <v>2015</v>
      </c>
      <c r="B11" s="369">
        <v>8.8666666666666668E-3</v>
      </c>
      <c r="C11" s="369">
        <v>2.0833333333333333E-3</v>
      </c>
      <c r="D11" s="370"/>
      <c r="E11" s="368">
        <v>2015</v>
      </c>
      <c r="F11" s="369">
        <v>2.6316666666666665E-2</v>
      </c>
      <c r="G11" s="369">
        <v>1.0341666666666666E-2</v>
      </c>
      <c r="I11" s="368">
        <v>2015</v>
      </c>
      <c r="J11" s="369">
        <v>3.1491666666666668E-2</v>
      </c>
      <c r="K11" s="369">
        <v>2.1625000000000002E-2</v>
      </c>
    </row>
    <row r="12" spans="1:11" ht="14.1" customHeight="1">
      <c r="A12" s="368">
        <v>2016</v>
      </c>
      <c r="B12" s="369">
        <v>8.1083333333333337E-3</v>
      </c>
      <c r="C12" s="369">
        <v>1.6583333333333335E-3</v>
      </c>
      <c r="D12" s="370"/>
      <c r="E12" s="368">
        <v>2016</v>
      </c>
      <c r="F12" s="369">
        <v>2.3574999999999999E-2</v>
      </c>
      <c r="G12" s="369">
        <v>7.7833333333333339E-3</v>
      </c>
      <c r="I12" s="368">
        <v>2016</v>
      </c>
      <c r="J12" s="369">
        <v>3.046666666666667E-2</v>
      </c>
      <c r="K12" s="369">
        <v>1.9516666666666665E-2</v>
      </c>
    </row>
    <row r="13" spans="1:11" ht="14.1" customHeight="1">
      <c r="A13" s="368">
        <v>2017</v>
      </c>
      <c r="B13" s="369">
        <v>7.8833333333333342E-3</v>
      </c>
      <c r="C13" s="369">
        <v>1.8750000000000001E-3</v>
      </c>
      <c r="D13" s="370"/>
      <c r="E13" s="368">
        <v>2017</v>
      </c>
      <c r="F13" s="369">
        <v>2.205E-2</v>
      </c>
      <c r="G13" s="369">
        <v>8.7583333333333315E-3</v>
      </c>
      <c r="I13" s="368">
        <v>2017</v>
      </c>
      <c r="J13" s="369">
        <v>2.9708333333333333E-2</v>
      </c>
      <c r="K13" s="369">
        <v>1.6741666666666665E-2</v>
      </c>
    </row>
    <row r="14" spans="1:11" ht="14.1" customHeight="1">
      <c r="A14" s="368">
        <v>2018</v>
      </c>
      <c r="B14" s="369">
        <v>7.6500000000000005E-3</v>
      </c>
      <c r="C14" s="369">
        <v>2.3333333333333335E-3</v>
      </c>
      <c r="D14" s="370"/>
      <c r="E14" s="368">
        <v>2018</v>
      </c>
      <c r="F14" s="369">
        <v>2.1899999999999999E-2</v>
      </c>
      <c r="G14" s="369">
        <v>1.0799999999999999E-2</v>
      </c>
      <c r="I14" s="368">
        <v>2018</v>
      </c>
      <c r="J14" s="369">
        <v>2.9466666666666665E-2</v>
      </c>
      <c r="K14" s="369">
        <v>1.5316666666666666E-2</v>
      </c>
    </row>
    <row r="15" spans="1:11" ht="14.1" customHeight="1">
      <c r="A15" s="368">
        <v>2019</v>
      </c>
      <c r="B15" s="369">
        <v>7.566666666666666E-3</v>
      </c>
      <c r="C15" s="369">
        <v>1.9666666666666673E-3</v>
      </c>
      <c r="D15" s="370"/>
      <c r="E15" s="368">
        <v>2019</v>
      </c>
      <c r="F15" s="369">
        <v>2.0625000000000001E-2</v>
      </c>
      <c r="G15" s="369">
        <v>8.3333333333333332E-3</v>
      </c>
      <c r="I15" s="368">
        <v>2019</v>
      </c>
      <c r="J15" s="369">
        <v>2.9491666666666666E-2</v>
      </c>
      <c r="K15" s="369">
        <v>1.3733333333333334E-2</v>
      </c>
    </row>
    <row r="16" spans="1:11" ht="14.1" customHeight="1">
      <c r="A16" s="368">
        <v>2020</v>
      </c>
      <c r="B16" s="369">
        <v>7.6250000000000007E-3</v>
      </c>
      <c r="C16" s="369">
        <v>2.0750000000000005E-3</v>
      </c>
      <c r="D16" s="370"/>
      <c r="E16" s="368">
        <v>2020</v>
      </c>
      <c r="F16" s="369">
        <v>1.9366666666666667E-2</v>
      </c>
      <c r="G16" s="369">
        <v>6.3916666666666662E-3</v>
      </c>
      <c r="I16" s="368">
        <v>2020</v>
      </c>
      <c r="J16" s="369">
        <v>2.8950000000000004E-2</v>
      </c>
      <c r="K16" s="369">
        <v>1.55E-2</v>
      </c>
    </row>
    <row r="17" spans="1:11" ht="14.1" customHeight="1">
      <c r="A17" s="371" t="s">
        <v>617</v>
      </c>
      <c r="B17" s="372">
        <v>8.744186046511641E-3</v>
      </c>
      <c r="C17" s="372">
        <v>2.2550387596899225E-3</v>
      </c>
      <c r="D17" s="373"/>
      <c r="E17" s="371" t="s">
        <v>617</v>
      </c>
      <c r="F17" s="372">
        <v>2.7218604651162808E-2</v>
      </c>
      <c r="G17" s="372">
        <v>1.2100775193798452E-2</v>
      </c>
      <c r="I17" s="371" t="s">
        <v>617</v>
      </c>
      <c r="J17" s="372">
        <v>3.2085606060606064E-2</v>
      </c>
      <c r="K17" s="372">
        <v>1.9716666666666653E-2</v>
      </c>
    </row>
    <row r="18" spans="1:11">
      <c r="I18" s="787"/>
      <c r="J18" s="787"/>
      <c r="K18" s="784"/>
    </row>
    <row r="19" spans="1:11" ht="12.75">
      <c r="A19"/>
      <c r="I19" s="319"/>
      <c r="J19"/>
      <c r="K19"/>
    </row>
    <row r="21" spans="1:11" ht="21">
      <c r="A21" s="549" t="s">
        <v>621</v>
      </c>
    </row>
    <row r="23" spans="1:11" ht="12.75">
      <c r="A23" s="786" t="s">
        <v>546</v>
      </c>
      <c r="B23"/>
      <c r="C23"/>
      <c r="D23"/>
      <c r="E23" s="786" t="s">
        <v>96</v>
      </c>
      <c r="F23"/>
      <c r="G23"/>
      <c r="I23" s="786" t="s">
        <v>17</v>
      </c>
      <c r="J23"/>
      <c r="K23"/>
    </row>
    <row r="24" spans="1:11" ht="12.75">
      <c r="A24"/>
      <c r="B24"/>
      <c r="C24"/>
      <c r="D24"/>
      <c r="E24"/>
      <c r="F24"/>
      <c r="G24"/>
      <c r="I24"/>
      <c r="J24"/>
      <c r="K24"/>
    </row>
    <row r="25" spans="1:11" ht="24.75" thickBot="1">
      <c r="A25" s="364" t="s">
        <v>616</v>
      </c>
      <c r="B25" s="367" t="s">
        <v>618</v>
      </c>
      <c r="C25" s="367" t="s">
        <v>619</v>
      </c>
      <c r="D25"/>
      <c r="E25" s="364" t="s">
        <v>616</v>
      </c>
      <c r="F25" s="367" t="s">
        <v>618</v>
      </c>
      <c r="G25" s="367" t="s">
        <v>619</v>
      </c>
      <c r="I25" s="364" t="s">
        <v>616</v>
      </c>
      <c r="J25" s="367" t="s">
        <v>618</v>
      </c>
      <c r="K25" s="367" t="s">
        <v>619</v>
      </c>
    </row>
    <row r="26" spans="1:11" ht="14.1" customHeight="1" thickTop="1">
      <c r="A26" s="368">
        <v>2010</v>
      </c>
      <c r="B26" s="369">
        <v>1.2611111111111111E-2</v>
      </c>
      <c r="C26" s="369">
        <v>5.1555555555555556E-3</v>
      </c>
      <c r="D26" s="370"/>
      <c r="E26" s="368">
        <v>2010</v>
      </c>
      <c r="F26" s="369">
        <v>3.9622222222222218E-2</v>
      </c>
      <c r="G26" s="369">
        <v>7.6888888888888901E-3</v>
      </c>
      <c r="I26" s="368">
        <v>2010</v>
      </c>
      <c r="J26" s="369">
        <v>3.0624999999999999E-2</v>
      </c>
      <c r="K26" s="369">
        <v>1.4625000000000001E-2</v>
      </c>
    </row>
    <row r="27" spans="1:11" ht="14.1" customHeight="1">
      <c r="A27" s="368">
        <v>2011</v>
      </c>
      <c r="B27" s="369">
        <v>1.2624999999999997E-2</v>
      </c>
      <c r="C27" s="369">
        <v>4.3750000000000013E-3</v>
      </c>
      <c r="D27" s="370"/>
      <c r="E27" s="368">
        <v>2011</v>
      </c>
      <c r="F27" s="369">
        <v>3.9641666666666665E-2</v>
      </c>
      <c r="G27" s="369">
        <v>8.1333333333333327E-3</v>
      </c>
      <c r="I27" s="368">
        <v>2011</v>
      </c>
      <c r="J27" s="369">
        <v>3.0216666666666666E-2</v>
      </c>
      <c r="K27" s="369">
        <v>1.5174999999999999E-2</v>
      </c>
    </row>
    <row r="28" spans="1:11" ht="14.1" customHeight="1">
      <c r="A28" s="368">
        <v>2012</v>
      </c>
      <c r="B28" s="369">
        <v>1.1341666666666665E-2</v>
      </c>
      <c r="C28" s="369">
        <v>3.3916666666666661E-3</v>
      </c>
      <c r="D28" s="370"/>
      <c r="E28" s="368">
        <v>2012</v>
      </c>
      <c r="F28" s="369">
        <v>3.6174999999999992E-2</v>
      </c>
      <c r="G28" s="369">
        <v>6.2916666666666668E-3</v>
      </c>
      <c r="I28" s="368">
        <v>2012</v>
      </c>
      <c r="J28" s="369">
        <v>2.7166666666666669E-2</v>
      </c>
      <c r="K28" s="369">
        <v>1.4916666666666667E-2</v>
      </c>
    </row>
    <row r="29" spans="1:11" ht="14.1" customHeight="1">
      <c r="A29" s="368">
        <v>2013</v>
      </c>
      <c r="B29" s="369">
        <v>1.0566666666666663E-2</v>
      </c>
      <c r="C29" s="369">
        <v>2.558333333333333E-3</v>
      </c>
      <c r="D29" s="370"/>
      <c r="E29" s="368">
        <v>2013</v>
      </c>
      <c r="F29" s="369">
        <v>3.4049999999999997E-2</v>
      </c>
      <c r="G29" s="369">
        <v>6.1916666666666674E-3</v>
      </c>
      <c r="I29" s="368">
        <v>2013</v>
      </c>
      <c r="J29" s="369">
        <v>2.709166666666667E-2</v>
      </c>
      <c r="K29" s="369">
        <v>8.241666666666668E-3</v>
      </c>
    </row>
    <row r="30" spans="1:11" ht="14.1" customHeight="1">
      <c r="A30" s="368">
        <v>2014</v>
      </c>
      <c r="B30" s="369">
        <v>1.0458333333333333E-2</v>
      </c>
      <c r="C30" s="369">
        <v>3.3166666666666661E-3</v>
      </c>
      <c r="D30" s="370"/>
      <c r="E30" s="368">
        <v>2014</v>
      </c>
      <c r="F30" s="369">
        <v>3.2766666666666666E-2</v>
      </c>
      <c r="G30" s="369">
        <v>9.8750000000000001E-3</v>
      </c>
      <c r="I30" s="368">
        <v>2014</v>
      </c>
      <c r="J30" s="369">
        <v>2.4466666666666664E-2</v>
      </c>
      <c r="K30" s="369">
        <v>1.375E-2</v>
      </c>
    </row>
    <row r="31" spans="1:11" ht="14.1" customHeight="1">
      <c r="A31" s="368">
        <v>2015</v>
      </c>
      <c r="B31" s="369">
        <v>1.0308333333333334E-2</v>
      </c>
      <c r="C31" s="369">
        <v>2.2083333333333334E-3</v>
      </c>
      <c r="D31" s="370"/>
      <c r="E31" s="368">
        <v>2015</v>
      </c>
      <c r="F31" s="369">
        <v>2.7733333333333332E-2</v>
      </c>
      <c r="G31" s="369">
        <v>7.0166666666666676E-3</v>
      </c>
      <c r="I31" s="368">
        <v>2015</v>
      </c>
      <c r="J31" s="369">
        <v>2.2775000000000004E-2</v>
      </c>
      <c r="K31" s="369">
        <v>8.483333333333334E-3</v>
      </c>
    </row>
    <row r="32" spans="1:11" ht="14.1" customHeight="1">
      <c r="A32" s="368">
        <v>2016</v>
      </c>
      <c r="B32" s="369">
        <v>9.2333333333333312E-3</v>
      </c>
      <c r="C32" s="369">
        <v>2.0083333333333338E-3</v>
      </c>
      <c r="D32" s="370"/>
      <c r="E32" s="368">
        <v>2016</v>
      </c>
      <c r="F32" s="369">
        <v>2.8516666666666666E-2</v>
      </c>
      <c r="G32" s="369">
        <v>3.7083333333333339E-3</v>
      </c>
      <c r="I32" s="368">
        <v>2016</v>
      </c>
      <c r="J32" s="369">
        <v>2.1616666666666669E-2</v>
      </c>
      <c r="K32" s="369">
        <v>1.7350000000000001E-2</v>
      </c>
    </row>
    <row r="33" spans="1:11" ht="14.1" customHeight="1">
      <c r="A33" s="368">
        <v>2017</v>
      </c>
      <c r="B33" s="369">
        <v>8.8499999999999985E-3</v>
      </c>
      <c r="C33" s="369">
        <v>1.9666666666666669E-3</v>
      </c>
      <c r="D33" s="370"/>
      <c r="E33" s="368">
        <v>2017</v>
      </c>
      <c r="F33" s="369">
        <v>2.7533333333333337E-2</v>
      </c>
      <c r="G33" s="369">
        <v>1.145E-2</v>
      </c>
      <c r="I33" s="368">
        <v>2017</v>
      </c>
      <c r="J33" s="369">
        <v>2.2124999999999995E-2</v>
      </c>
      <c r="K33" s="369">
        <v>2.3233333333333332E-2</v>
      </c>
    </row>
    <row r="34" spans="1:11" ht="14.1" customHeight="1">
      <c r="A34" s="368">
        <v>2018</v>
      </c>
      <c r="B34" s="369">
        <v>8.5833333333333334E-3</v>
      </c>
      <c r="C34" s="369">
        <v>2.4333333333333329E-3</v>
      </c>
      <c r="D34" s="370"/>
      <c r="E34" s="368">
        <v>2018</v>
      </c>
      <c r="F34" s="369">
        <v>2.4708333333333332E-2</v>
      </c>
      <c r="G34" s="369">
        <v>5.8833333333333333E-3</v>
      </c>
      <c r="I34" s="368">
        <v>2018</v>
      </c>
      <c r="J34" s="369">
        <v>2.1616666666666669E-2</v>
      </c>
      <c r="K34" s="369">
        <v>2.8308333333333338E-2</v>
      </c>
    </row>
    <row r="35" spans="1:11" ht="14.1" customHeight="1">
      <c r="A35" s="368">
        <v>2019</v>
      </c>
      <c r="B35" s="369">
        <v>8.533333333333332E-3</v>
      </c>
      <c r="C35" s="369">
        <v>2.0083333333333338E-3</v>
      </c>
      <c r="D35" s="370"/>
      <c r="E35" s="368">
        <v>2019</v>
      </c>
      <c r="F35" s="369">
        <v>2.5316666666666668E-2</v>
      </c>
      <c r="G35" s="369">
        <v>8.4999999999999989E-3</v>
      </c>
      <c r="I35" s="368">
        <v>2019</v>
      </c>
      <c r="J35" s="369">
        <v>2.0635999999999998E-2</v>
      </c>
      <c r="K35" s="369">
        <v>2.3891666666666669E-2</v>
      </c>
    </row>
    <row r="36" spans="1:11" ht="14.1" customHeight="1">
      <c r="A36" s="368">
        <v>2020</v>
      </c>
      <c r="B36" s="369">
        <v>8.5166666666666672E-3</v>
      </c>
      <c r="C36" s="369">
        <v>2.0833333333333333E-3</v>
      </c>
      <c r="D36" s="370"/>
      <c r="E36" s="368">
        <v>2020</v>
      </c>
      <c r="F36" s="369">
        <v>1.9983333333333332E-2</v>
      </c>
      <c r="G36" s="369">
        <v>3.4000000000000007E-3</v>
      </c>
      <c r="I36" s="368">
        <v>2020</v>
      </c>
      <c r="J36" s="369">
        <v>1.9950000000000002E-2</v>
      </c>
      <c r="K36" s="369">
        <v>1.435E-2</v>
      </c>
    </row>
    <row r="37" spans="1:11" ht="14.1" customHeight="1">
      <c r="A37" s="371" t="s">
        <v>617</v>
      </c>
      <c r="B37" s="372">
        <v>1.0090697674418593E-2</v>
      </c>
      <c r="C37" s="372">
        <v>2.8108527131782959E-3</v>
      </c>
      <c r="D37" s="373"/>
      <c r="E37" s="371" t="s">
        <v>617</v>
      </c>
      <c r="F37" s="372">
        <v>3.0338759689922484E-2</v>
      </c>
      <c r="G37" s="372">
        <v>7.0899224806201585E-3</v>
      </c>
      <c r="I37" s="371" t="s">
        <v>617</v>
      </c>
      <c r="J37" s="372">
        <v>2.4461363636363614E-2</v>
      </c>
      <c r="K37" s="372">
        <v>1.6574999999999993E-2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4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31.75" style="143" customWidth="1"/>
    <col min="2" max="5" width="14.875" style="143" customWidth="1"/>
    <col min="6" max="16384" width="11" style="143"/>
  </cols>
  <sheetData>
    <row r="1" spans="1:5" ht="21">
      <c r="A1" s="549" t="s">
        <v>549</v>
      </c>
      <c r="B1" s="144"/>
      <c r="C1" s="144"/>
    </row>
    <row r="3" spans="1:5" ht="12.75" customHeight="1">
      <c r="A3" s="145"/>
      <c r="B3" s="326"/>
      <c r="C3" s="146"/>
      <c r="D3" s="146"/>
    </row>
    <row r="4" spans="1:5" ht="12" customHeight="1">
      <c r="A4" s="327"/>
      <c r="B4" s="785" t="s">
        <v>544</v>
      </c>
      <c r="C4" s="785" t="s">
        <v>545</v>
      </c>
      <c r="D4" s="785" t="s">
        <v>544</v>
      </c>
      <c r="E4" s="785" t="s">
        <v>545</v>
      </c>
    </row>
    <row r="5" spans="1:5" ht="12.75" thickBot="1">
      <c r="A5" s="328" t="s">
        <v>546</v>
      </c>
      <c r="B5" s="328">
        <v>2020</v>
      </c>
      <c r="C5" s="329">
        <v>2020</v>
      </c>
      <c r="D5" s="329" t="s">
        <v>891</v>
      </c>
      <c r="E5" s="329" t="s">
        <v>891</v>
      </c>
    </row>
    <row r="6" spans="1:5" ht="14.1" customHeight="1" thickTop="1">
      <c r="A6" s="330" t="s">
        <v>45</v>
      </c>
      <c r="B6" s="349">
        <v>0</v>
      </c>
      <c r="C6" s="350">
        <v>0</v>
      </c>
      <c r="D6" s="349">
        <v>0</v>
      </c>
      <c r="E6" s="350">
        <v>0</v>
      </c>
    </row>
    <row r="7" spans="1:5" ht="14.1" customHeight="1">
      <c r="A7" s="330" t="s">
        <v>46</v>
      </c>
      <c r="B7" s="374">
        <v>2.0000000000000005E-3</v>
      </c>
      <c r="C7" s="374">
        <v>1.5000000000000004E-4</v>
      </c>
      <c r="D7" s="374">
        <v>2.0395348837209315E-3</v>
      </c>
      <c r="E7" s="374">
        <v>1.5891472868217037E-4</v>
      </c>
    </row>
    <row r="8" spans="1:5" ht="14.1" customHeight="1">
      <c r="A8" s="330" t="s">
        <v>47</v>
      </c>
      <c r="B8" s="374">
        <v>3.5999999999999995E-3</v>
      </c>
      <c r="C8" s="374">
        <v>4.1666666666666669E-4</v>
      </c>
      <c r="D8" s="374">
        <v>3.5999999999999951E-3</v>
      </c>
      <c r="E8" s="374">
        <v>4.1472868217054288E-4</v>
      </c>
    </row>
    <row r="9" spans="1:5" ht="14.1" customHeight="1">
      <c r="A9" s="330" t="s">
        <v>48</v>
      </c>
      <c r="B9" s="374">
        <v>6.1000000000000004E-3</v>
      </c>
      <c r="C9" s="374">
        <v>6.9166666666666671E-4</v>
      </c>
      <c r="D9" s="374">
        <v>6.1255813953488324E-3</v>
      </c>
      <c r="E9" s="374">
        <v>6.0852713178294598E-4</v>
      </c>
    </row>
    <row r="10" spans="1:5" ht="14.1" customHeight="1">
      <c r="A10" s="330" t="s">
        <v>49</v>
      </c>
      <c r="B10" s="374">
        <v>9.4000000000000021E-3</v>
      </c>
      <c r="C10" s="374">
        <v>1.2416666666666667E-3</v>
      </c>
      <c r="D10" s="374">
        <v>9.479069767441858E-3</v>
      </c>
      <c r="E10" s="374">
        <v>1.353488372093023E-3</v>
      </c>
    </row>
    <row r="11" spans="1:5" ht="14.1" customHeight="1">
      <c r="A11" s="330" t="s">
        <v>50</v>
      </c>
      <c r="B11" s="374">
        <v>1.6066666666666667E-2</v>
      </c>
      <c r="C11" s="374">
        <v>4.5583333333333344E-3</v>
      </c>
      <c r="D11" s="374">
        <v>1.6492248062015477E-2</v>
      </c>
      <c r="E11" s="374">
        <v>3.7077519379844974E-3</v>
      </c>
    </row>
    <row r="12" spans="1:5" ht="14.1" customHeight="1">
      <c r="A12" s="330" t="s">
        <v>51</v>
      </c>
      <c r="B12" s="351">
        <v>3.5275000000000008E-2</v>
      </c>
      <c r="C12" s="374">
        <v>2.0375000000000001E-2</v>
      </c>
      <c r="D12" s="374">
        <v>3.4893798449612393E-2</v>
      </c>
      <c r="E12" s="374">
        <v>1.1941860465116276E-2</v>
      </c>
    </row>
    <row r="13" spans="1:5" ht="14.1" customHeight="1">
      <c r="A13" s="330" t="s">
        <v>52</v>
      </c>
      <c r="B13" s="374">
        <v>7.0833333333333331E-2</v>
      </c>
      <c r="C13" s="374">
        <v>3.1650000000000005E-2</v>
      </c>
      <c r="D13" s="374">
        <v>7.0527906976744159E-2</v>
      </c>
      <c r="E13" s="374">
        <v>2.5192248062015508E-2</v>
      </c>
    </row>
    <row r="14" spans="1:5" ht="14.1" customHeight="1">
      <c r="A14" s="330" t="s">
        <v>53</v>
      </c>
      <c r="B14" s="374">
        <v>0.23830833333333334</v>
      </c>
      <c r="C14" s="374">
        <v>0.10635833333333333</v>
      </c>
      <c r="D14" s="374">
        <v>0.22929379844961234</v>
      </c>
      <c r="E14" s="374">
        <v>9.7988372093023204E-2</v>
      </c>
    </row>
    <row r="15" spans="1:5" ht="14.1" customHeight="1">
      <c r="A15" s="550" t="s">
        <v>571</v>
      </c>
      <c r="B15" s="551">
        <v>7.6250000000000007E-3</v>
      </c>
      <c r="C15" s="552">
        <v>2.0750000000000005E-3</v>
      </c>
      <c r="D15" s="553">
        <v>8.744186046511641E-3</v>
      </c>
      <c r="E15" s="553">
        <v>2.2550387596899225E-3</v>
      </c>
    </row>
    <row r="18" spans="1:5">
      <c r="B18" s="785" t="s">
        <v>544</v>
      </c>
      <c r="C18" s="785" t="s">
        <v>545</v>
      </c>
      <c r="D18" s="785" t="s">
        <v>544</v>
      </c>
      <c r="E18" s="785" t="s">
        <v>545</v>
      </c>
    </row>
    <row r="19" spans="1:5" ht="12.75" thickBot="1">
      <c r="A19" s="328" t="s">
        <v>96</v>
      </c>
      <c r="B19" s="328">
        <v>2020</v>
      </c>
      <c r="C19" s="329">
        <v>2020</v>
      </c>
      <c r="D19" s="329" t="s">
        <v>891</v>
      </c>
      <c r="E19" s="329" t="s">
        <v>891</v>
      </c>
    </row>
    <row r="20" spans="1:5" ht="14.1" customHeight="1" thickTop="1">
      <c r="A20" s="330" t="s">
        <v>45</v>
      </c>
      <c r="B20" s="351">
        <v>0</v>
      </c>
      <c r="C20" s="350">
        <v>0</v>
      </c>
      <c r="D20" s="352">
        <v>0</v>
      </c>
      <c r="E20" s="352">
        <v>0</v>
      </c>
    </row>
    <row r="21" spans="1:5" ht="14.1" customHeight="1">
      <c r="A21" s="330" t="s">
        <v>46</v>
      </c>
      <c r="B21" s="351">
        <v>0</v>
      </c>
      <c r="C21" s="350">
        <v>0</v>
      </c>
      <c r="D21" s="374">
        <v>2.5000000000000014E-3</v>
      </c>
      <c r="E21" s="374">
        <v>0</v>
      </c>
    </row>
    <row r="22" spans="1:5" ht="14.1" customHeight="1">
      <c r="A22" s="330" t="s">
        <v>47</v>
      </c>
      <c r="B22" s="374">
        <v>4.000000000000001E-3</v>
      </c>
      <c r="C22" s="374">
        <v>0</v>
      </c>
      <c r="D22" s="374">
        <v>4.1248062015503848E-3</v>
      </c>
      <c r="E22" s="374">
        <v>7.5968992248062024E-5</v>
      </c>
    </row>
    <row r="23" spans="1:5" ht="14.1" customHeight="1">
      <c r="A23" s="330" t="s">
        <v>48</v>
      </c>
      <c r="B23" s="374">
        <v>6.0500000000000007E-3</v>
      </c>
      <c r="C23" s="374">
        <v>0</v>
      </c>
      <c r="D23" s="374">
        <v>6.1186046511627892E-3</v>
      </c>
      <c r="E23" s="374">
        <v>4.968992248062013E-4</v>
      </c>
    </row>
    <row r="24" spans="1:5" ht="14.1" customHeight="1">
      <c r="A24" s="330" t="s">
        <v>49</v>
      </c>
      <c r="B24" s="374">
        <v>9.5083333333333322E-3</v>
      </c>
      <c r="C24" s="374">
        <v>2.1666666666666661E-3</v>
      </c>
      <c r="D24" s="374">
        <v>9.6356589147287112E-3</v>
      </c>
      <c r="E24" s="374">
        <v>1.7891472868217062E-3</v>
      </c>
    </row>
    <row r="25" spans="1:5" ht="14.1" customHeight="1">
      <c r="A25" s="330" t="s">
        <v>50</v>
      </c>
      <c r="B25" s="374">
        <v>1.7408333333333335E-2</v>
      </c>
      <c r="C25" s="374">
        <v>7.0250000000000009E-3</v>
      </c>
      <c r="D25" s="374">
        <v>1.7512403100775214E-2</v>
      </c>
      <c r="E25" s="374">
        <v>7.6542635658914705E-3</v>
      </c>
    </row>
    <row r="26" spans="1:5" ht="14.1" customHeight="1">
      <c r="A26" s="330" t="s">
        <v>51</v>
      </c>
      <c r="B26" s="374">
        <v>3.3883333333333328E-2</v>
      </c>
      <c r="C26" s="374">
        <v>1.6008333333333336E-2</v>
      </c>
      <c r="D26" s="374">
        <v>3.4665891472868214E-2</v>
      </c>
      <c r="E26" s="374">
        <v>1.5892248062015502E-2</v>
      </c>
    </row>
    <row r="27" spans="1:5" ht="14.1" customHeight="1">
      <c r="A27" s="330" t="s">
        <v>52</v>
      </c>
      <c r="B27" s="374">
        <v>7.0683333333333334E-2</v>
      </c>
      <c r="C27" s="374">
        <v>4.4500000000000005E-2</v>
      </c>
      <c r="D27" s="374">
        <v>6.9597674418604608E-2</v>
      </c>
      <c r="E27" s="374">
        <v>3.6586046511627918E-2</v>
      </c>
    </row>
    <row r="28" spans="1:5" ht="14.1" customHeight="1">
      <c r="A28" s="330" t="s">
        <v>53</v>
      </c>
      <c r="B28" s="374">
        <v>0.23904166666666662</v>
      </c>
      <c r="C28" s="374">
        <v>8.4233333333333327E-2</v>
      </c>
      <c r="D28" s="374">
        <v>0.23200852713178297</v>
      </c>
      <c r="E28" s="374">
        <v>0.1186682170542636</v>
      </c>
    </row>
    <row r="29" spans="1:5" ht="14.1" customHeight="1">
      <c r="A29" s="554" t="s">
        <v>121</v>
      </c>
      <c r="B29" s="551">
        <v>1.9366666666666667E-2</v>
      </c>
      <c r="C29" s="552">
        <v>6.3916666666666662E-3</v>
      </c>
      <c r="D29" s="553">
        <v>2.7218604651162808E-2</v>
      </c>
      <c r="E29" s="553">
        <v>1.2100775193798452E-2</v>
      </c>
    </row>
    <row r="33" spans="1:5">
      <c r="B33" s="785" t="s">
        <v>544</v>
      </c>
      <c r="C33" s="785" t="s">
        <v>545</v>
      </c>
      <c r="D33" s="785" t="s">
        <v>544</v>
      </c>
      <c r="E33" s="785" t="s">
        <v>545</v>
      </c>
    </row>
    <row r="34" spans="1:5" ht="12.75" thickBot="1">
      <c r="A34" s="328" t="s">
        <v>17</v>
      </c>
      <c r="B34" s="328">
        <v>2020</v>
      </c>
      <c r="C34" s="329">
        <v>2020</v>
      </c>
      <c r="D34" s="329" t="s">
        <v>891</v>
      </c>
      <c r="E34" s="329" t="s">
        <v>891</v>
      </c>
    </row>
    <row r="35" spans="1:5" ht="14.1" customHeight="1" thickTop="1">
      <c r="A35" s="330" t="s">
        <v>45</v>
      </c>
      <c r="B35" s="374">
        <v>8.0000000000000026E-4</v>
      </c>
      <c r="C35" s="374">
        <v>0</v>
      </c>
      <c r="D35" s="374">
        <v>8.3181818181817966E-4</v>
      </c>
      <c r="E35" s="374">
        <v>0</v>
      </c>
    </row>
    <row r="36" spans="1:5" ht="14.1" customHeight="1">
      <c r="A36" s="330" t="s">
        <v>46</v>
      </c>
      <c r="B36" s="374">
        <v>1.5166666666666664E-3</v>
      </c>
      <c r="C36" s="374">
        <v>0</v>
      </c>
      <c r="D36" s="374">
        <v>1.7068181818181815E-3</v>
      </c>
      <c r="E36" s="374">
        <v>0</v>
      </c>
    </row>
    <row r="37" spans="1:5" ht="14.1" customHeight="1">
      <c r="A37" s="330" t="s">
        <v>47</v>
      </c>
      <c r="B37" s="374">
        <v>3.5000000000000009E-3</v>
      </c>
      <c r="C37" s="374">
        <v>1.2583333333333335E-3</v>
      </c>
      <c r="D37" s="374">
        <v>3.5780303030303008E-3</v>
      </c>
      <c r="E37" s="374">
        <v>1.942424242424242E-3</v>
      </c>
    </row>
    <row r="38" spans="1:5" ht="14.1" customHeight="1">
      <c r="A38" s="330" t="s">
        <v>48</v>
      </c>
      <c r="B38" s="374">
        <v>6.1749999999999991E-3</v>
      </c>
      <c r="C38" s="374">
        <v>2.8833333333333332E-3</v>
      </c>
      <c r="D38" s="374">
        <v>6.1818181818181737E-3</v>
      </c>
      <c r="E38" s="374">
        <v>2.8446969696969701E-3</v>
      </c>
    </row>
    <row r="39" spans="1:5" ht="14.1" customHeight="1">
      <c r="A39" s="330" t="s">
        <v>49</v>
      </c>
      <c r="B39" s="374">
        <v>9.8083333333333338E-3</v>
      </c>
      <c r="C39" s="374">
        <v>3.6833333333333336E-3</v>
      </c>
      <c r="D39" s="374">
        <v>9.8098484848485011E-3</v>
      </c>
      <c r="E39" s="374">
        <v>6.6787878787878804E-3</v>
      </c>
    </row>
    <row r="40" spans="1:5" ht="14.1" customHeight="1">
      <c r="A40" s="330" t="s">
        <v>50</v>
      </c>
      <c r="B40" s="374">
        <v>1.7883333333333331E-2</v>
      </c>
      <c r="C40" s="374">
        <v>7.9500000000000005E-3</v>
      </c>
      <c r="D40" s="374">
        <v>1.7748484848484861E-2</v>
      </c>
      <c r="E40" s="374">
        <v>1.161742424242424E-2</v>
      </c>
    </row>
    <row r="41" spans="1:5" ht="14.1" customHeight="1">
      <c r="A41" s="330" t="s">
        <v>51</v>
      </c>
      <c r="B41" s="374">
        <v>3.5574999999999996E-2</v>
      </c>
      <c r="C41" s="374">
        <v>2.1833333333333333E-2</v>
      </c>
      <c r="D41" s="374">
        <v>3.5516666666666662E-2</v>
      </c>
      <c r="E41" s="374">
        <v>2.1595454545454536E-2</v>
      </c>
    </row>
    <row r="42" spans="1:5" ht="14.1" customHeight="1">
      <c r="A42" s="330" t="s">
        <v>52</v>
      </c>
      <c r="B42" s="374">
        <v>6.9966666666666663E-2</v>
      </c>
      <c r="C42" s="374">
        <v>3.6799999999999999E-2</v>
      </c>
      <c r="D42" s="374">
        <v>7.0328030303030323E-2</v>
      </c>
      <c r="E42" s="374">
        <v>3.6647727272727276E-2</v>
      </c>
    </row>
    <row r="43" spans="1:5" ht="14.1" customHeight="1">
      <c r="A43" s="330" t="s">
        <v>53</v>
      </c>
      <c r="B43" s="374">
        <v>0.15437500000000001</v>
      </c>
      <c r="C43" s="374">
        <v>8.7908333333333324E-2</v>
      </c>
      <c r="D43" s="374">
        <v>0.15959696969696971</v>
      </c>
      <c r="E43" s="374">
        <v>0.10372424242424244</v>
      </c>
    </row>
    <row r="44" spans="1:5" ht="14.1" customHeight="1">
      <c r="A44" s="554" t="s">
        <v>33</v>
      </c>
      <c r="B44" s="551">
        <v>2.8950000000000004E-2</v>
      </c>
      <c r="C44" s="552">
        <v>1.55E-2</v>
      </c>
      <c r="D44" s="553">
        <v>3.2085606060606064E-2</v>
      </c>
      <c r="E44" s="553">
        <v>1.9716666666666653E-2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topLeftCell="A16" zoomScaleNormal="100" workbookViewId="0">
      <selection activeCell="B53" sqref="B53:C55"/>
    </sheetView>
  </sheetViews>
  <sheetFormatPr baseColWidth="10" defaultColWidth="11" defaultRowHeight="12"/>
  <cols>
    <col min="1" max="1" width="29.75" style="17" customWidth="1"/>
    <col min="2" max="4" width="10.625" style="17" customWidth="1"/>
    <col min="5" max="5" width="15.625" style="17" customWidth="1"/>
    <col min="6" max="6" width="10.625" style="17" customWidth="1"/>
    <col min="7" max="7" width="20.125" style="17" customWidth="1"/>
    <col min="8" max="8" width="53.25" style="17" customWidth="1"/>
    <col min="9" max="9" width="33.25" style="17" customWidth="1"/>
    <col min="10" max="16384" width="11" style="17"/>
  </cols>
  <sheetData>
    <row r="1" spans="1:9" ht="21">
      <c r="A1" s="549" t="s">
        <v>132</v>
      </c>
      <c r="E1" s="811" t="s">
        <v>892</v>
      </c>
      <c r="G1" s="672"/>
      <c r="H1" s="672"/>
      <c r="I1" s="672"/>
    </row>
    <row r="2" spans="1:9">
      <c r="A2" s="66" t="s">
        <v>112</v>
      </c>
      <c r="G2" s="672"/>
      <c r="H2" s="672"/>
      <c r="I2" s="672"/>
    </row>
    <row r="3" spans="1:9" s="204" customFormat="1">
      <c r="A3" s="66"/>
      <c r="G3" s="672"/>
      <c r="H3" s="672"/>
      <c r="I3" s="672"/>
    </row>
    <row r="4" spans="1:9" s="243" customFormat="1">
      <c r="A4" s="74" t="s">
        <v>111</v>
      </c>
      <c r="B4" s="244"/>
      <c r="C4" s="244"/>
      <c r="D4" s="244"/>
      <c r="E4" s="244"/>
      <c r="F4" s="244"/>
      <c r="G4" s="672"/>
      <c r="H4" s="672"/>
      <c r="I4" s="672"/>
    </row>
    <row r="5" spans="1:9" s="243" customFormat="1" ht="12.75" thickBot="1">
      <c r="A5" s="734" t="s">
        <v>870</v>
      </c>
      <c r="B5" s="735" t="s">
        <v>0</v>
      </c>
      <c r="C5" s="735" t="s">
        <v>1</v>
      </c>
      <c r="D5" s="735" t="s">
        <v>2</v>
      </c>
      <c r="E5" s="736" t="s">
        <v>108</v>
      </c>
      <c r="F5" s="244"/>
      <c r="G5" s="672"/>
      <c r="H5" s="672"/>
      <c r="I5" s="672"/>
    </row>
    <row r="6" spans="1:9" s="243" customFormat="1">
      <c r="A6" s="729" t="s">
        <v>3</v>
      </c>
      <c r="B6" s="729"/>
      <c r="C6" s="729"/>
      <c r="D6" s="729"/>
      <c r="E6" s="729"/>
      <c r="F6" s="244"/>
      <c r="G6" s="672"/>
      <c r="H6" s="672"/>
      <c r="I6" s="672"/>
    </row>
    <row r="7" spans="1:9" s="243" customFormat="1">
      <c r="A7" s="207" t="s">
        <v>82</v>
      </c>
      <c r="B7" s="221">
        <v>150</v>
      </c>
      <c r="C7" s="221">
        <v>97205</v>
      </c>
      <c r="D7" s="89">
        <v>1</v>
      </c>
      <c r="E7" s="247" t="s">
        <v>4</v>
      </c>
      <c r="F7" s="244"/>
      <c r="G7" s="672"/>
      <c r="H7" s="672"/>
      <c r="I7" s="672"/>
    </row>
    <row r="8" spans="1:9" s="243" customFormat="1">
      <c r="A8" s="86" t="s">
        <v>694</v>
      </c>
      <c r="B8" s="221">
        <f>6700+800</f>
        <v>7500</v>
      </c>
      <c r="C8" s="221">
        <v>353975</v>
      </c>
      <c r="D8" s="89">
        <v>1</v>
      </c>
      <c r="E8" s="247" t="s">
        <v>4</v>
      </c>
      <c r="F8" s="244"/>
      <c r="G8" s="672"/>
      <c r="H8" s="672"/>
      <c r="I8" s="672"/>
    </row>
    <row r="9" spans="1:9" s="243" customFormat="1">
      <c r="A9" s="86" t="s">
        <v>102</v>
      </c>
      <c r="B9" s="221">
        <v>6000</v>
      </c>
      <c r="C9" s="221">
        <v>29018</v>
      </c>
      <c r="D9" s="89">
        <v>1</v>
      </c>
      <c r="E9" s="247" t="s">
        <v>4</v>
      </c>
      <c r="F9" s="244"/>
      <c r="G9" s="672"/>
      <c r="H9" s="672"/>
      <c r="I9" s="672"/>
    </row>
    <row r="10" spans="1:9" s="243" customFormat="1">
      <c r="A10" s="86" t="s">
        <v>838</v>
      </c>
      <c r="B10" s="221">
        <v>33000</v>
      </c>
      <c r="C10" s="221">
        <v>320125</v>
      </c>
      <c r="D10" s="89">
        <v>1</v>
      </c>
      <c r="E10" s="247" t="s">
        <v>4</v>
      </c>
      <c r="F10" s="244"/>
      <c r="G10" s="672"/>
      <c r="H10" s="672"/>
      <c r="I10" s="672"/>
    </row>
    <row r="11" spans="1:9" s="243" customFormat="1">
      <c r="A11" s="86" t="s">
        <v>116</v>
      </c>
      <c r="B11" s="221">
        <v>90000</v>
      </c>
      <c r="C11" s="221">
        <v>117109</v>
      </c>
      <c r="D11" s="89">
        <v>1</v>
      </c>
      <c r="E11" s="247" t="s">
        <v>4</v>
      </c>
      <c r="F11" s="244"/>
      <c r="G11" s="672"/>
      <c r="H11" s="672"/>
      <c r="I11" s="672"/>
    </row>
    <row r="12" spans="1:9" s="244" customFormat="1">
      <c r="A12" s="86" t="s">
        <v>159</v>
      </c>
      <c r="B12" s="221">
        <v>8000</v>
      </c>
      <c r="C12" s="221">
        <v>456416</v>
      </c>
      <c r="D12" s="89">
        <v>1</v>
      </c>
      <c r="E12" s="247" t="s">
        <v>4</v>
      </c>
      <c r="G12" s="672"/>
      <c r="H12" s="672"/>
      <c r="I12" s="672"/>
    </row>
    <row r="13" spans="1:9" s="243" customFormat="1">
      <c r="A13" s="86" t="s">
        <v>555</v>
      </c>
      <c r="B13" s="221">
        <v>6000000</v>
      </c>
      <c r="C13" s="221">
        <v>6000150</v>
      </c>
      <c r="D13" s="89">
        <v>1</v>
      </c>
      <c r="E13" s="247" t="s">
        <v>4</v>
      </c>
      <c r="F13" s="244"/>
      <c r="G13" s="672"/>
      <c r="H13" s="672"/>
      <c r="I13" s="672"/>
    </row>
    <row r="14" spans="1:9" s="244" customFormat="1">
      <c r="A14" s="86" t="s">
        <v>697</v>
      </c>
      <c r="B14" s="221">
        <v>3000000</v>
      </c>
      <c r="C14" s="221">
        <v>9630</v>
      </c>
      <c r="D14" s="89">
        <v>1</v>
      </c>
      <c r="E14" s="247" t="s">
        <v>4</v>
      </c>
    </row>
    <row r="15" spans="1:9" s="244" customFormat="1" ht="12.75">
      <c r="A15" s="86" t="s">
        <v>679</v>
      </c>
      <c r="B15" s="221">
        <v>4505646926</v>
      </c>
      <c r="C15" s="221">
        <v>202069</v>
      </c>
      <c r="D15" s="89">
        <v>1</v>
      </c>
      <c r="E15" s="247" t="s">
        <v>4</v>
      </c>
      <c r="H15" s="851"/>
    </row>
    <row r="16" spans="1:9" s="243" customFormat="1">
      <c r="A16" s="814" t="s">
        <v>5</v>
      </c>
      <c r="B16" s="720"/>
      <c r="C16" s="720">
        <f>SUM(C7:C15)</f>
        <v>7585697</v>
      </c>
      <c r="D16" s="780"/>
      <c r="E16" s="781"/>
      <c r="F16" s="244"/>
    </row>
    <row r="17" spans="1:8" s="243" customFormat="1">
      <c r="A17" s="66"/>
      <c r="B17" s="824"/>
      <c r="C17" s="244"/>
      <c r="D17" s="244"/>
      <c r="E17" s="244"/>
      <c r="F17" s="244"/>
    </row>
    <row r="18" spans="1:8" s="204" customFormat="1">
      <c r="A18" s="74" t="s">
        <v>111</v>
      </c>
      <c r="B18" s="852"/>
      <c r="C18" s="21"/>
      <c r="D18" s="21"/>
      <c r="E18" s="21"/>
      <c r="F18" s="244"/>
    </row>
    <row r="19" spans="1:8" s="204" customFormat="1" ht="12.75" thickBot="1">
      <c r="A19" s="75" t="s">
        <v>839</v>
      </c>
      <c r="B19" s="735" t="s">
        <v>0</v>
      </c>
      <c r="C19" s="76" t="s">
        <v>1</v>
      </c>
      <c r="D19" s="76" t="s">
        <v>2</v>
      </c>
      <c r="E19" s="77" t="s">
        <v>108</v>
      </c>
      <c r="F19" s="244"/>
    </row>
    <row r="20" spans="1:8" s="204" customFormat="1">
      <c r="A20" s="78" t="s">
        <v>3</v>
      </c>
      <c r="B20" s="729"/>
      <c r="C20" s="78"/>
      <c r="D20" s="78"/>
      <c r="E20" s="78"/>
      <c r="F20" s="244"/>
    </row>
    <row r="21" spans="1:8" s="204" customFormat="1" ht="12" customHeight="1">
      <c r="A21" s="66" t="s">
        <v>82</v>
      </c>
      <c r="B21" s="221">
        <v>150</v>
      </c>
      <c r="C21" s="221">
        <v>97205</v>
      </c>
      <c r="D21" s="79">
        <v>1</v>
      </c>
      <c r="E21" s="80" t="s">
        <v>4</v>
      </c>
      <c r="F21" s="244"/>
    </row>
    <row r="22" spans="1:8" s="204" customFormat="1" ht="12" customHeight="1">
      <c r="A22" s="14" t="s">
        <v>694</v>
      </c>
      <c r="B22" s="221">
        <v>7500</v>
      </c>
      <c r="C22" s="221">
        <v>353975</v>
      </c>
      <c r="D22" s="79">
        <v>1</v>
      </c>
      <c r="E22" s="80" t="s">
        <v>4</v>
      </c>
      <c r="F22" s="244"/>
    </row>
    <row r="23" spans="1:8" s="204" customFormat="1">
      <c r="A23" s="14" t="s">
        <v>102</v>
      </c>
      <c r="B23" s="221">
        <v>6000</v>
      </c>
      <c r="C23" s="221">
        <v>29018</v>
      </c>
      <c r="D23" s="79">
        <v>1</v>
      </c>
      <c r="E23" s="80" t="s">
        <v>4</v>
      </c>
      <c r="F23" s="244"/>
    </row>
    <row r="24" spans="1:8" s="204" customFormat="1">
      <c r="A24" s="14" t="s">
        <v>838</v>
      </c>
      <c r="B24" s="221">
        <v>13000</v>
      </c>
      <c r="C24" s="221">
        <v>120125</v>
      </c>
      <c r="D24" s="79">
        <v>1</v>
      </c>
      <c r="E24" s="80" t="s">
        <v>4</v>
      </c>
      <c r="F24" s="244"/>
    </row>
    <row r="25" spans="1:8" s="204" customFormat="1">
      <c r="A25" s="14" t="s">
        <v>116</v>
      </c>
      <c r="B25" s="221">
        <v>90000</v>
      </c>
      <c r="C25" s="221">
        <v>117050</v>
      </c>
      <c r="D25" s="79">
        <v>1</v>
      </c>
      <c r="E25" s="80" t="s">
        <v>4</v>
      </c>
      <c r="F25" s="244"/>
    </row>
    <row r="26" spans="1:8" s="244" customFormat="1">
      <c r="A26" s="14" t="s">
        <v>159</v>
      </c>
      <c r="B26" s="221">
        <v>8000</v>
      </c>
      <c r="C26" s="221">
        <v>456416</v>
      </c>
      <c r="D26" s="79">
        <v>1</v>
      </c>
      <c r="E26" s="80" t="s">
        <v>4</v>
      </c>
    </row>
    <row r="27" spans="1:8" s="244" customFormat="1">
      <c r="A27" s="14" t="s">
        <v>555</v>
      </c>
      <c r="B27" s="221">
        <v>6000000</v>
      </c>
      <c r="C27" s="221">
        <v>6000150</v>
      </c>
      <c r="D27" s="79">
        <v>1</v>
      </c>
      <c r="E27" s="80" t="s">
        <v>4</v>
      </c>
    </row>
    <row r="28" spans="1:8" s="204" customFormat="1">
      <c r="A28" s="14" t="s">
        <v>697</v>
      </c>
      <c r="B28" s="221">
        <v>3000000</v>
      </c>
      <c r="C28" s="221">
        <v>3000</v>
      </c>
      <c r="D28" s="79">
        <v>1</v>
      </c>
      <c r="E28" s="80" t="s">
        <v>4</v>
      </c>
      <c r="F28" s="244"/>
    </row>
    <row r="29" spans="1:8" s="204" customFormat="1">
      <c r="A29" s="86" t="s">
        <v>679</v>
      </c>
      <c r="B29" s="221">
        <v>4505646926</v>
      </c>
      <c r="C29" s="221">
        <v>169320</v>
      </c>
      <c r="D29" s="424">
        <v>1</v>
      </c>
      <c r="E29" s="80" t="s">
        <v>4</v>
      </c>
      <c r="F29" s="244"/>
      <c r="G29" s="69"/>
    </row>
    <row r="30" spans="1:8" s="224" customFormat="1">
      <c r="A30" s="82" t="s">
        <v>5</v>
      </c>
      <c r="B30" s="720"/>
      <c r="C30" s="720">
        <v>7346259</v>
      </c>
      <c r="D30" s="83"/>
      <c r="E30" s="84"/>
      <c r="F30" s="244"/>
    </row>
    <row r="31" spans="1:8" ht="12" hidden="1" customHeight="1">
      <c r="A31" s="14"/>
      <c r="B31" s="70"/>
      <c r="C31" s="70"/>
      <c r="D31" s="79"/>
      <c r="E31" s="14"/>
      <c r="F31" s="14"/>
    </row>
    <row r="32" spans="1:8" ht="12" hidden="1" customHeight="1">
      <c r="A32" s="14"/>
      <c r="B32" s="70"/>
      <c r="C32" s="70"/>
      <c r="D32" s="79"/>
      <c r="E32" s="14"/>
      <c r="F32" s="14"/>
      <c r="H32" s="14"/>
    </row>
    <row r="33" spans="1:6" ht="12" hidden="1" customHeight="1">
      <c r="A33" s="244"/>
      <c r="B33" s="244"/>
      <c r="C33" s="244"/>
      <c r="D33" s="244"/>
      <c r="E33" s="244"/>
      <c r="F33" s="14"/>
    </row>
    <row r="34" spans="1:6">
      <c r="A34" s="244"/>
      <c r="B34" s="244"/>
      <c r="C34" s="244"/>
      <c r="D34" s="244"/>
      <c r="E34" s="244"/>
      <c r="F34" s="14"/>
    </row>
    <row r="35" spans="1:6">
      <c r="A35" s="14" t="s">
        <v>6</v>
      </c>
      <c r="B35" s="70"/>
      <c r="C35" s="70"/>
      <c r="D35" s="79"/>
      <c r="E35" s="14"/>
      <c r="F35" s="14"/>
    </row>
    <row r="36" spans="1:6" s="244" customFormat="1">
      <c r="A36" s="14"/>
      <c r="B36" s="70"/>
      <c r="C36" s="70"/>
      <c r="D36" s="79"/>
      <c r="E36" s="14"/>
      <c r="F36" s="14"/>
    </row>
    <row r="37" spans="1:6" s="244" customFormat="1">
      <c r="A37" s="14"/>
      <c r="B37" s="70"/>
      <c r="C37" s="70"/>
      <c r="D37" s="79"/>
      <c r="E37" s="14"/>
      <c r="F37" s="14"/>
    </row>
    <row r="38" spans="1:6" s="244" customFormat="1">
      <c r="A38" s="14"/>
      <c r="B38" s="70"/>
      <c r="C38" s="70"/>
      <c r="D38" s="79"/>
      <c r="E38" s="14"/>
      <c r="F38" s="14"/>
    </row>
    <row r="39" spans="1:6">
      <c r="A39" s="244"/>
      <c r="B39" s="244"/>
      <c r="C39" s="70"/>
      <c r="D39" s="79"/>
      <c r="E39" s="14"/>
      <c r="F39" s="14"/>
    </row>
    <row r="40" spans="1:6">
      <c r="A40" s="13" t="s">
        <v>103</v>
      </c>
      <c r="B40" s="70"/>
      <c r="C40" s="70"/>
      <c r="D40" s="79"/>
      <c r="E40" s="14"/>
      <c r="F40" s="14"/>
    </row>
    <row r="41" spans="1:6" s="244" customFormat="1">
      <c r="D41" s="79"/>
      <c r="E41" s="14"/>
      <c r="F41" s="14"/>
    </row>
    <row r="42" spans="1:6" s="244" customFormat="1">
      <c r="B42" s="855" t="s">
        <v>197</v>
      </c>
      <c r="C42" s="855"/>
      <c r="D42" s="79"/>
      <c r="E42" s="14"/>
      <c r="F42" s="14"/>
    </row>
    <row r="43" spans="1:6" ht="13.5" customHeight="1" thickBot="1">
      <c r="A43" s="1" t="s">
        <v>97</v>
      </c>
      <c r="B43" s="216">
        <v>44469</v>
      </c>
      <c r="C43" s="16">
        <v>44196</v>
      </c>
      <c r="D43" s="79"/>
      <c r="E43" s="14"/>
      <c r="F43" s="14"/>
    </row>
    <row r="44" spans="1:6">
      <c r="A44" s="244" t="s">
        <v>15</v>
      </c>
      <c r="B44" s="812">
        <v>25</v>
      </c>
      <c r="C44" s="635">
        <v>25</v>
      </c>
      <c r="D44" s="79"/>
      <c r="E44" s="14"/>
      <c r="F44" s="14"/>
    </row>
    <row r="45" spans="1:6">
      <c r="A45" s="14" t="s">
        <v>187</v>
      </c>
      <c r="B45" s="18">
        <v>133</v>
      </c>
      <c r="C45" s="18">
        <v>149</v>
      </c>
      <c r="D45" s="79"/>
      <c r="E45" s="14"/>
      <c r="F45" s="14"/>
    </row>
    <row r="46" spans="1:6">
      <c r="A46" s="251" t="s">
        <v>104</v>
      </c>
      <c r="B46" s="334">
        <v>18.82</v>
      </c>
      <c r="C46" s="334">
        <v>16.899999999999999</v>
      </c>
      <c r="D46" s="244"/>
      <c r="F46" s="244"/>
    </row>
    <row r="47" spans="1:6">
      <c r="A47" s="14"/>
      <c r="B47" s="70"/>
      <c r="C47" s="70"/>
      <c r="D47" s="14"/>
      <c r="E47" s="14"/>
      <c r="F47" s="14"/>
    </row>
    <row r="48" spans="1:6" s="244" customFormat="1">
      <c r="A48" s="14"/>
      <c r="B48" s="70"/>
      <c r="C48" s="70"/>
      <c r="D48" s="79"/>
      <c r="E48" s="14"/>
      <c r="F48" s="14"/>
    </row>
    <row r="49" spans="1:6">
      <c r="A49" s="13" t="s">
        <v>561</v>
      </c>
      <c r="B49" s="70"/>
      <c r="C49" s="70"/>
      <c r="D49" s="79"/>
      <c r="E49" s="14"/>
      <c r="F49" s="14"/>
    </row>
    <row r="50" spans="1:6">
      <c r="A50" s="244"/>
      <c r="D50" s="79"/>
      <c r="E50" s="14"/>
      <c r="F50" s="14"/>
    </row>
    <row r="51" spans="1:6" ht="12.75">
      <c r="A51" s="244"/>
      <c r="B51" s="853" t="s">
        <v>667</v>
      </c>
      <c r="C51" s="854"/>
      <c r="D51" s="244"/>
      <c r="E51" s="244"/>
      <c r="F51" s="244"/>
    </row>
    <row r="52" spans="1:6" ht="12.75" thickBot="1">
      <c r="A52" s="1" t="s">
        <v>97</v>
      </c>
      <c r="B52" s="216">
        <v>44469</v>
      </c>
      <c r="C52" s="3">
        <v>44196</v>
      </c>
      <c r="D52" s="244"/>
      <c r="E52" s="244"/>
      <c r="F52" s="244"/>
    </row>
    <row r="53" spans="1:6">
      <c r="A53" s="244" t="s">
        <v>15</v>
      </c>
      <c r="B53" s="428">
        <v>5898</v>
      </c>
      <c r="C53" s="662">
        <v>5894</v>
      </c>
      <c r="D53" s="244"/>
      <c r="E53" s="244"/>
      <c r="F53" s="244"/>
    </row>
    <row r="54" spans="1:6">
      <c r="A54" s="14" t="s">
        <v>187</v>
      </c>
      <c r="B54" s="428">
        <v>24494</v>
      </c>
      <c r="C54" s="662">
        <v>24688</v>
      </c>
      <c r="D54" s="244"/>
      <c r="E54" s="244"/>
      <c r="F54" s="244"/>
    </row>
    <row r="55" spans="1:6">
      <c r="A55" s="251" t="s">
        <v>104</v>
      </c>
      <c r="B55" s="434">
        <v>24.08</v>
      </c>
      <c r="C55" s="434">
        <v>23.87</v>
      </c>
      <c r="D55" s="244"/>
      <c r="E55" s="244"/>
      <c r="F55" s="244"/>
    </row>
    <row r="56" spans="1:6">
      <c r="A56" s="244"/>
      <c r="B56" s="764"/>
      <c r="C56" s="244"/>
      <c r="D56" s="244"/>
      <c r="E56" s="244"/>
      <c r="F56" s="244"/>
    </row>
    <row r="57" spans="1:6">
      <c r="A57" s="244"/>
      <c r="B57" s="244"/>
      <c r="C57" s="244"/>
      <c r="D57" s="244"/>
      <c r="E57" s="244"/>
      <c r="F57" s="244"/>
    </row>
  </sheetData>
  <mergeCells count="2">
    <mergeCell ref="B51:C51"/>
    <mergeCell ref="B42:C42"/>
  </mergeCells>
  <hyperlinks>
    <hyperlink ref="E1" location="Innholdsfortegnelse!A1" display="Innholdsfortegnelse" xr:uid="{53022E40-EAA0-4D31-82CD-0AEC7F8813A4}"/>
  </hyperlink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5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32.75" style="143" bestFit="1" customWidth="1"/>
    <col min="2" max="2" width="11.875" style="143" bestFit="1" customWidth="1"/>
    <col min="3" max="3" width="11.125" style="143" bestFit="1" customWidth="1"/>
    <col min="4" max="4" width="11.875" style="143" bestFit="1" customWidth="1"/>
    <col min="5" max="5" width="11.125" style="143" bestFit="1" customWidth="1"/>
    <col min="6" max="8" width="11" style="143"/>
    <col min="9" max="9" width="23.125" style="143" customWidth="1"/>
    <col min="10" max="16384" width="11" style="143"/>
  </cols>
  <sheetData>
    <row r="1" spans="1:16" ht="21">
      <c r="A1" s="549" t="s">
        <v>554</v>
      </c>
      <c r="B1" s="144"/>
      <c r="C1" s="144"/>
      <c r="E1" s="244"/>
      <c r="G1" s="244"/>
    </row>
    <row r="2" spans="1:16">
      <c r="E2" s="244"/>
      <c r="G2" s="244"/>
      <c r="I2" s="555"/>
      <c r="J2" s="555"/>
      <c r="K2" s="555"/>
      <c r="L2" s="555"/>
      <c r="M2" s="555"/>
      <c r="N2" s="555"/>
      <c r="O2" s="555"/>
      <c r="P2" s="555"/>
    </row>
    <row r="3" spans="1:16" ht="12.75" customHeight="1">
      <c r="A3" s="145"/>
      <c r="B3" s="148"/>
      <c r="C3" s="146"/>
      <c r="D3" s="146"/>
      <c r="I3" s="555"/>
      <c r="J3" s="555"/>
      <c r="K3" s="555"/>
      <c r="L3" s="555"/>
      <c r="M3" s="555"/>
      <c r="N3" s="555"/>
      <c r="O3" s="555"/>
      <c r="P3" s="555"/>
    </row>
    <row r="4" spans="1:16" ht="12" customHeight="1">
      <c r="B4" s="782" t="s">
        <v>547</v>
      </c>
      <c r="C4" s="782" t="s">
        <v>548</v>
      </c>
      <c r="D4" s="782" t="s">
        <v>547</v>
      </c>
      <c r="E4" s="782" t="s">
        <v>548</v>
      </c>
      <c r="I4" s="555"/>
      <c r="J4" s="555"/>
      <c r="K4" s="555"/>
      <c r="L4" s="555"/>
      <c r="M4" s="555"/>
      <c r="N4" s="555"/>
      <c r="O4" s="555"/>
      <c r="P4" s="555"/>
    </row>
    <row r="5" spans="1:16" ht="12" customHeight="1" thickBot="1">
      <c r="A5" s="321" t="s">
        <v>543</v>
      </c>
      <c r="B5" s="321">
        <v>2018</v>
      </c>
      <c r="C5" s="320">
        <v>2018</v>
      </c>
      <c r="D5" s="320" t="s">
        <v>775</v>
      </c>
      <c r="E5" s="320" t="s">
        <v>775</v>
      </c>
      <c r="I5" s="555"/>
      <c r="J5" s="555"/>
      <c r="K5" s="555"/>
      <c r="L5" s="555"/>
      <c r="M5" s="555"/>
      <c r="N5" s="555"/>
      <c r="O5" s="555"/>
      <c r="P5" s="555"/>
    </row>
    <row r="6" spans="1:16" ht="12.95" customHeight="1" thickTop="1">
      <c r="A6" s="323" t="s">
        <v>546</v>
      </c>
      <c r="B6" s="324">
        <v>0.26200000000000001</v>
      </c>
      <c r="C6" s="322">
        <v>4.0000000000000001E-3</v>
      </c>
      <c r="D6" s="324">
        <v>0.3</v>
      </c>
      <c r="E6" s="322">
        <v>0.06</v>
      </c>
      <c r="I6" s="555"/>
      <c r="J6" s="555"/>
      <c r="K6" s="555"/>
      <c r="L6" s="555"/>
      <c r="M6" s="555"/>
      <c r="N6" s="555"/>
      <c r="O6" s="555"/>
      <c r="P6" s="555"/>
    </row>
    <row r="7" spans="1:16" ht="12.95" customHeight="1">
      <c r="A7" s="323" t="s">
        <v>96</v>
      </c>
      <c r="B7" s="324">
        <v>0.48899999999999999</v>
      </c>
      <c r="C7" s="322">
        <v>0.27900000000000003</v>
      </c>
      <c r="D7" s="325">
        <v>0.54900000000000004</v>
      </c>
      <c r="E7" s="325">
        <v>0.32100000000000001</v>
      </c>
      <c r="I7" s="555"/>
      <c r="J7" s="555"/>
      <c r="K7" s="555"/>
      <c r="L7" s="555"/>
      <c r="M7" s="555"/>
      <c r="N7" s="555"/>
      <c r="O7" s="555"/>
      <c r="P7" s="555"/>
    </row>
    <row r="8" spans="1:16" ht="12.95" customHeight="1">
      <c r="A8" s="323" t="s">
        <v>17</v>
      </c>
      <c r="B8" s="324">
        <v>0.51600000000000001</v>
      </c>
      <c r="C8" s="322">
        <v>0.33100000000000002</v>
      </c>
      <c r="D8" s="325">
        <v>0.52</v>
      </c>
      <c r="E8" s="325">
        <v>0.29799999999999999</v>
      </c>
      <c r="I8" s="555"/>
      <c r="J8" s="555"/>
      <c r="K8" s="555"/>
      <c r="L8" s="555"/>
      <c r="M8" s="555"/>
      <c r="N8" s="555"/>
      <c r="O8" s="555"/>
      <c r="P8" s="555"/>
    </row>
    <row r="10" spans="1:16">
      <c r="A10" s="143" t="s">
        <v>888</v>
      </c>
    </row>
    <row r="13" spans="1:16" ht="21">
      <c r="A13" s="549" t="s">
        <v>620</v>
      </c>
      <c r="E13" s="244"/>
    </row>
    <row r="14" spans="1:16">
      <c r="E14" s="244"/>
    </row>
    <row r="15" spans="1:16">
      <c r="A15" s="783"/>
      <c r="B15" s="148"/>
      <c r="C15" s="784"/>
      <c r="D15" s="784"/>
    </row>
    <row r="16" spans="1:16">
      <c r="B16" s="782" t="s">
        <v>547</v>
      </c>
      <c r="C16" s="782" t="s">
        <v>548</v>
      </c>
      <c r="D16" s="782" t="s">
        <v>547</v>
      </c>
      <c r="E16" s="782" t="s">
        <v>548</v>
      </c>
    </row>
    <row r="17" spans="1:5" ht="12.75" thickBot="1">
      <c r="A17" s="321" t="s">
        <v>543</v>
      </c>
      <c r="B17" s="321">
        <v>2018</v>
      </c>
      <c r="C17" s="320">
        <v>2018</v>
      </c>
      <c r="D17" s="320" t="s">
        <v>775</v>
      </c>
      <c r="E17" s="320" t="s">
        <v>775</v>
      </c>
    </row>
    <row r="18" spans="1:5" ht="12.95" customHeight="1" thickTop="1">
      <c r="A18" s="323" t="s">
        <v>546</v>
      </c>
      <c r="B18" s="324">
        <v>0.26700000000000002</v>
      </c>
      <c r="C18" s="322">
        <v>5.0000000000000001E-3</v>
      </c>
      <c r="D18" s="324">
        <v>0.312</v>
      </c>
      <c r="E18" s="322">
        <v>4.8000000000000001E-2</v>
      </c>
    </row>
    <row r="19" spans="1:5" ht="12.95" customHeight="1">
      <c r="A19" s="323" t="s">
        <v>96</v>
      </c>
      <c r="B19" s="324">
        <v>0.52400000000000002</v>
      </c>
      <c r="C19" s="322">
        <v>0.248</v>
      </c>
      <c r="D19" s="325">
        <v>0.53300000000000003</v>
      </c>
      <c r="E19" s="325">
        <v>0.26500000000000001</v>
      </c>
    </row>
    <row r="20" spans="1:5" ht="12.95" customHeight="1">
      <c r="A20" s="323" t="s">
        <v>17</v>
      </c>
      <c r="B20" s="324">
        <v>0.35799999999999998</v>
      </c>
      <c r="C20" s="322">
        <v>0.17100000000000001</v>
      </c>
      <c r="D20" s="325">
        <v>0.42</v>
      </c>
      <c r="E20" s="325">
        <v>0.218</v>
      </c>
    </row>
    <row r="22" spans="1:5">
      <c r="A22" s="143" t="s">
        <v>889</v>
      </c>
    </row>
    <row r="24" spans="1:5">
      <c r="A24" s="143" t="s">
        <v>890</v>
      </c>
    </row>
    <row r="25" spans="1:5">
      <c r="A25" s="143" t="s">
        <v>776</v>
      </c>
    </row>
  </sheetData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"/>
  <sheetViews>
    <sheetView showGridLines="0" workbookViewId="0">
      <selection activeCell="H19" sqref="H19"/>
    </sheetView>
  </sheetViews>
  <sheetFormatPr baseColWidth="10" defaultColWidth="11" defaultRowHeight="12"/>
  <cols>
    <col min="1" max="3" width="11" style="25"/>
    <col min="4" max="4" width="5.125" style="25" customWidth="1"/>
    <col min="5" max="16384" width="11" style="25"/>
  </cols>
  <sheetData>
    <row r="1" spans="1:7" ht="21">
      <c r="A1" s="549" t="s">
        <v>625</v>
      </c>
      <c r="B1" s="143"/>
      <c r="C1" s="144"/>
      <c r="D1" s="143"/>
      <c r="E1" s="143"/>
    </row>
    <row r="2" spans="1:7">
      <c r="A2" s="143"/>
      <c r="B2" s="143"/>
      <c r="C2" s="143"/>
      <c r="D2" s="143"/>
      <c r="E2" s="143"/>
    </row>
    <row r="3" spans="1:7">
      <c r="A3" s="378" t="s">
        <v>622</v>
      </c>
      <c r="E3" s="378" t="s">
        <v>17</v>
      </c>
    </row>
    <row r="5" spans="1:7" ht="12.75" thickBot="1">
      <c r="A5" s="379" t="s">
        <v>616</v>
      </c>
      <c r="B5" s="381" t="s">
        <v>623</v>
      </c>
      <c r="C5" s="381" t="s">
        <v>624</v>
      </c>
      <c r="E5" s="379" t="s">
        <v>616</v>
      </c>
      <c r="F5" s="381" t="s">
        <v>623</v>
      </c>
      <c r="G5" s="381" t="s">
        <v>624</v>
      </c>
    </row>
    <row r="6" spans="1:7" ht="13.5" customHeight="1" thickTop="1">
      <c r="A6" s="368">
        <v>2018</v>
      </c>
      <c r="B6" s="380">
        <v>2.9115202344628661E-3</v>
      </c>
      <c r="C6" s="380">
        <v>1.3470011389609529E-4</v>
      </c>
      <c r="E6" s="368">
        <v>2018</v>
      </c>
      <c r="F6" s="380">
        <v>1.586020933411059E-2</v>
      </c>
      <c r="G6" s="380">
        <v>4.5037239781314979E-3</v>
      </c>
    </row>
    <row r="7" spans="1:7" ht="13.5" customHeight="1">
      <c r="A7" s="368">
        <v>2019</v>
      </c>
      <c r="B7" s="380">
        <v>3.0702894524748175E-3</v>
      </c>
      <c r="C7" s="380">
        <v>2.0973683679089092E-4</v>
      </c>
      <c r="E7" s="368">
        <v>2019</v>
      </c>
      <c r="F7" s="380">
        <v>1.3702602890955432E-2</v>
      </c>
      <c r="G7" s="380">
        <v>2.764390727811184E-3</v>
      </c>
    </row>
    <row r="8" spans="1:7" ht="13.5" customHeight="1">
      <c r="A8" s="368">
        <v>2020</v>
      </c>
      <c r="B8" s="380">
        <v>2.7731668479728374E-3</v>
      </c>
      <c r="C8" s="380">
        <v>2.1725451900502061E-4</v>
      </c>
      <c r="E8" s="368">
        <v>2020</v>
      </c>
      <c r="F8" s="380">
        <v>1.5630319615796275E-2</v>
      </c>
      <c r="G8" s="380">
        <v>2.202038164591064E-2</v>
      </c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pageSetUpPr fitToPage="1"/>
  </sheetPr>
  <dimension ref="A1:P30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21.25" style="17" customWidth="1"/>
    <col min="2" max="2" width="9.875" style="17" customWidth="1"/>
    <col min="3" max="3" width="14.125" style="17" customWidth="1"/>
    <col min="4" max="4" width="11.125" style="17" customWidth="1"/>
    <col min="5" max="5" width="2.125" style="17" customWidth="1"/>
    <col min="6" max="6" width="15.125" style="17" customWidth="1"/>
    <col min="7" max="7" width="11.125" style="17" customWidth="1"/>
    <col min="8" max="8" width="2.125" style="17" customWidth="1"/>
    <col min="9" max="9" width="15.625" style="17" customWidth="1"/>
    <col min="10" max="11" width="16.125" style="17" customWidth="1"/>
    <col min="12" max="12" width="11" style="17" customWidth="1"/>
    <col min="13" max="16384" width="11" style="17"/>
  </cols>
  <sheetData>
    <row r="1" spans="1:16" ht="21">
      <c r="A1" s="549" t="s">
        <v>569</v>
      </c>
      <c r="F1" s="14"/>
      <c r="G1" s="14"/>
      <c r="H1" s="14"/>
      <c r="I1" s="14"/>
    </row>
    <row r="3" spans="1:16">
      <c r="A3" s="149"/>
    </row>
    <row r="4" spans="1:16" ht="12.75">
      <c r="A4" s="150"/>
      <c r="C4" s="871">
        <v>2020</v>
      </c>
      <c r="D4" s="872"/>
      <c r="E4" s="151"/>
      <c r="F4" s="873">
        <v>2019</v>
      </c>
      <c r="G4" s="872"/>
      <c r="K4" s="874"/>
      <c r="L4" s="875"/>
      <c r="M4" s="693"/>
      <c r="N4" s="876"/>
      <c r="O4" s="875"/>
      <c r="P4" s="86"/>
    </row>
    <row r="5" spans="1:16" ht="39" thickBot="1">
      <c r="A5" s="870" t="s">
        <v>114</v>
      </c>
      <c r="B5" s="870"/>
      <c r="C5" s="77" t="s">
        <v>113</v>
      </c>
      <c r="D5" s="137" t="s">
        <v>143</v>
      </c>
      <c r="E5" s="137"/>
      <c r="F5" s="152" t="s">
        <v>113</v>
      </c>
      <c r="G5" s="153" t="s">
        <v>144</v>
      </c>
      <c r="H5" s="1"/>
      <c r="K5" s="694"/>
      <c r="L5" s="695"/>
      <c r="M5" s="695"/>
      <c r="N5" s="696"/>
      <c r="O5" s="697"/>
      <c r="P5" s="86"/>
    </row>
    <row r="6" spans="1:16" s="244" customFormat="1">
      <c r="A6" s="353" t="s">
        <v>572</v>
      </c>
      <c r="B6" s="353"/>
      <c r="C6" s="60"/>
      <c r="D6" s="354"/>
      <c r="E6" s="354"/>
      <c r="F6" s="344"/>
      <c r="G6" s="345"/>
      <c r="H6" s="14"/>
      <c r="K6" s="694"/>
      <c r="L6" s="695"/>
      <c r="M6" s="695"/>
      <c r="N6" s="696"/>
      <c r="O6" s="697"/>
      <c r="P6" s="86"/>
    </row>
    <row r="7" spans="1:16" s="244" customFormat="1">
      <c r="A7" s="56" t="s">
        <v>80</v>
      </c>
      <c r="B7" s="56"/>
      <c r="C7" s="689">
        <v>46129.144</v>
      </c>
      <c r="D7" s="691">
        <f>26769.997/C7</f>
        <v>0.58032720052208209</v>
      </c>
      <c r="E7" s="345"/>
      <c r="F7" s="138">
        <v>47563.557000000001</v>
      </c>
      <c r="G7" s="154">
        <f>26947.955/F7</f>
        <v>0.56656727754822878</v>
      </c>
      <c r="H7" s="14"/>
      <c r="K7" s="257"/>
      <c r="L7" s="691"/>
      <c r="M7" s="697"/>
      <c r="N7" s="257"/>
      <c r="O7" s="691"/>
      <c r="P7" s="86"/>
    </row>
    <row r="8" spans="1:16" s="244" customFormat="1">
      <c r="A8" s="56" t="s">
        <v>214</v>
      </c>
      <c r="B8" s="56"/>
      <c r="C8" s="689">
        <f>31089.293+1.169</f>
        <v>31090.462000000003</v>
      </c>
      <c r="D8" s="691">
        <f>6578.2/C8</f>
        <v>0.21158257474591402</v>
      </c>
      <c r="E8" s="345"/>
      <c r="F8" s="138">
        <f>33509.81+1.961</f>
        <v>33511.771000000001</v>
      </c>
      <c r="G8" s="154">
        <f>5567.404/F8</f>
        <v>0.16613278958011501</v>
      </c>
      <c r="H8" s="14"/>
      <c r="K8" s="257"/>
      <c r="L8" s="691"/>
      <c r="M8" s="697"/>
      <c r="N8" s="257"/>
      <c r="O8" s="691"/>
      <c r="P8" s="86"/>
    </row>
    <row r="9" spans="1:16" s="244" customFormat="1">
      <c r="A9" s="346" t="s">
        <v>79</v>
      </c>
      <c r="B9" s="346"/>
      <c r="C9" s="437">
        <v>11492.876</v>
      </c>
      <c r="D9" s="692">
        <f>944.889/C9</f>
        <v>8.2215191393346626E-2</v>
      </c>
      <c r="E9" s="348"/>
      <c r="F9" s="348">
        <v>8385.6740000000009</v>
      </c>
      <c r="G9" s="347">
        <f>694.666/F9</f>
        <v>8.2839614323189759E-2</v>
      </c>
      <c r="H9" s="20"/>
      <c r="K9" s="257"/>
      <c r="L9" s="698"/>
      <c r="M9" s="257"/>
      <c r="N9" s="257"/>
      <c r="O9" s="698"/>
      <c r="P9" s="86"/>
    </row>
    <row r="10" spans="1:16">
      <c r="A10" s="95" t="s">
        <v>18</v>
      </c>
      <c r="B10" s="58"/>
      <c r="C10" s="58"/>
      <c r="D10" s="58"/>
      <c r="E10" s="58"/>
      <c r="F10" s="58"/>
      <c r="G10" s="58"/>
      <c r="K10" s="86"/>
      <c r="L10" s="86"/>
      <c r="M10" s="86"/>
      <c r="N10" s="86"/>
      <c r="O10" s="86"/>
      <c r="P10" s="86"/>
    </row>
    <row r="11" spans="1:16">
      <c r="A11" s="63" t="s">
        <v>70</v>
      </c>
      <c r="B11" s="63"/>
      <c r="C11" s="689">
        <v>152786.777</v>
      </c>
      <c r="D11" s="691">
        <f>133004.81/C11</f>
        <v>0.87052566073829807</v>
      </c>
      <c r="E11" s="154"/>
      <c r="F11" s="138">
        <v>144185.87599999999</v>
      </c>
      <c r="G11" s="154">
        <f>126542.419/F11</f>
        <v>0.87763394384065752</v>
      </c>
      <c r="K11" s="257"/>
      <c r="L11" s="691"/>
      <c r="M11" s="691"/>
      <c r="N11" s="257"/>
      <c r="O11" s="691"/>
      <c r="P11" s="86"/>
    </row>
    <row r="12" spans="1:16">
      <c r="A12" s="63" t="s">
        <v>41</v>
      </c>
      <c r="B12" s="58"/>
      <c r="C12" s="689">
        <v>6387.2420000000002</v>
      </c>
      <c r="D12" s="691">
        <f>5458.504/C12</f>
        <v>0.85459483138418735</v>
      </c>
      <c r="E12" s="154"/>
      <c r="F12" s="138">
        <v>5995.1049999999996</v>
      </c>
      <c r="G12" s="154">
        <f>5111.716/F12</f>
        <v>0.8526482855596359</v>
      </c>
      <c r="K12" s="257"/>
      <c r="L12" s="691"/>
      <c r="M12" s="691"/>
      <c r="N12" s="257"/>
      <c r="O12" s="691"/>
      <c r="P12" s="86"/>
    </row>
    <row r="13" spans="1:16" ht="12" customHeight="1">
      <c r="A13" s="63" t="s">
        <v>71</v>
      </c>
      <c r="B13" s="58"/>
      <c r="C13" s="437">
        <f>438.792+6633.067</f>
        <v>7071.8590000000004</v>
      </c>
      <c r="D13" s="691">
        <f>(16.076+285.082)/C13</f>
        <v>4.2585407882142448E-2</v>
      </c>
      <c r="E13" s="147" t="s">
        <v>73</v>
      </c>
      <c r="F13" s="138">
        <f>374.729+5426.351</f>
        <v>5801.08</v>
      </c>
      <c r="G13" s="154">
        <f>(14.716+268.793)/F13</f>
        <v>4.8871761809869886E-2</v>
      </c>
      <c r="H13" s="147" t="s">
        <v>73</v>
      </c>
      <c r="K13" s="257"/>
      <c r="L13" s="691"/>
      <c r="M13" s="699"/>
      <c r="N13" s="257"/>
      <c r="O13" s="691"/>
      <c r="P13" s="699"/>
    </row>
    <row r="14" spans="1:16">
      <c r="A14" s="96" t="s">
        <v>69</v>
      </c>
      <c r="B14" s="155"/>
      <c r="C14" s="690">
        <f>SUM(C7:C13)</f>
        <v>254958.36000000002</v>
      </c>
      <c r="D14" s="156"/>
      <c r="E14" s="156"/>
      <c r="F14" s="156">
        <f>SUM(F7:F13)</f>
        <v>245443.06299999999</v>
      </c>
      <c r="G14" s="156"/>
      <c r="H14" s="157"/>
      <c r="K14" s="256"/>
      <c r="L14" s="257"/>
      <c r="M14" s="257"/>
      <c r="N14" s="257"/>
      <c r="O14" s="257"/>
      <c r="P14" s="86"/>
    </row>
    <row r="15" spans="1:16" ht="13.5" customHeight="1">
      <c r="A15" s="158"/>
      <c r="B15" s="158"/>
      <c r="C15" s="159"/>
      <c r="D15" s="160"/>
      <c r="E15" s="160"/>
      <c r="F15" s="160"/>
      <c r="G15" s="160"/>
      <c r="H15" s="160"/>
      <c r="I15" s="160"/>
      <c r="J15" s="160"/>
      <c r="K15" s="160"/>
    </row>
    <row r="17" spans="1:9" ht="14.25">
      <c r="A17" s="244" t="s">
        <v>751</v>
      </c>
      <c r="B17" s="244"/>
      <c r="C17" s="244"/>
      <c r="D17" s="244"/>
      <c r="E17" s="244"/>
      <c r="F17" s="244"/>
      <c r="G17" s="244"/>
      <c r="H17" s="244"/>
      <c r="I17" s="244"/>
    </row>
    <row r="18" spans="1:9" ht="14.25">
      <c r="A18" s="244" t="s">
        <v>752</v>
      </c>
      <c r="B18" s="244"/>
      <c r="C18" s="244"/>
      <c r="D18" s="244"/>
      <c r="E18" s="244"/>
      <c r="F18" s="244"/>
      <c r="G18" s="244"/>
      <c r="H18" s="244"/>
      <c r="I18" s="244"/>
    </row>
    <row r="19" spans="1:9">
      <c r="A19" s="244" t="s">
        <v>72</v>
      </c>
      <c r="B19" s="244"/>
      <c r="C19" s="244"/>
      <c r="D19" s="244"/>
      <c r="E19" s="244"/>
      <c r="F19" s="244"/>
      <c r="G19" s="244"/>
      <c r="H19" s="244"/>
      <c r="I19" s="244"/>
    </row>
    <row r="20" spans="1:9">
      <c r="A20" s="244"/>
      <c r="B20" s="244"/>
      <c r="C20" s="244"/>
      <c r="D20" s="244"/>
      <c r="E20" s="244"/>
      <c r="F20" s="244"/>
      <c r="G20" s="244"/>
      <c r="H20" s="244"/>
      <c r="I20" s="244"/>
    </row>
    <row r="21" spans="1:9">
      <c r="A21" s="244" t="s">
        <v>566</v>
      </c>
      <c r="B21" s="244"/>
      <c r="C21" s="244"/>
      <c r="D21" s="244"/>
      <c r="E21" s="244"/>
      <c r="F21" s="244"/>
      <c r="G21" s="244"/>
      <c r="H21" s="244"/>
      <c r="I21" s="244"/>
    </row>
    <row r="30" spans="1:9">
      <c r="F30" s="244"/>
    </row>
  </sheetData>
  <mergeCells count="5">
    <mergeCell ref="A5:B5"/>
    <mergeCell ref="C4:D4"/>
    <mergeCell ref="F4:G4"/>
    <mergeCell ref="K4:L4"/>
    <mergeCell ref="N4:O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47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pageSetUpPr fitToPage="1"/>
  </sheetPr>
  <dimension ref="A1:K29"/>
  <sheetViews>
    <sheetView zoomScaleNormal="100" workbookViewId="0">
      <selection activeCell="H19" sqref="H19"/>
    </sheetView>
  </sheetViews>
  <sheetFormatPr baseColWidth="10" defaultColWidth="11" defaultRowHeight="12"/>
  <cols>
    <col min="1" max="1" width="20" style="17" customWidth="1"/>
    <col min="2" max="2" width="14.75" style="17" customWidth="1"/>
    <col min="3" max="3" width="10.25" style="17" customWidth="1"/>
    <col min="4" max="4" width="11.875" style="17" customWidth="1"/>
    <col min="5" max="5" width="10.375" style="17" customWidth="1"/>
    <col min="6" max="6" width="11.875" style="17" customWidth="1"/>
    <col min="7" max="7" width="9.875" style="17" bestFit="1" customWidth="1"/>
    <col min="8" max="8" width="11.375" style="17" customWidth="1"/>
    <col min="9" max="9" width="9.375" style="17" customWidth="1"/>
    <col min="10" max="16384" width="11" style="17"/>
  </cols>
  <sheetData>
    <row r="1" spans="1:11" ht="21">
      <c r="A1" s="549" t="s">
        <v>139</v>
      </c>
      <c r="B1" s="140"/>
      <c r="C1" s="140"/>
      <c r="D1" s="140"/>
      <c r="E1" s="140"/>
      <c r="F1" s="140"/>
      <c r="G1" s="140"/>
      <c r="H1" s="140"/>
      <c r="I1" s="140"/>
    </row>
    <row r="2" spans="1:11">
      <c r="B2" s="14"/>
      <c r="C2" s="14"/>
      <c r="D2" s="14"/>
      <c r="E2" s="14"/>
      <c r="F2" s="14"/>
      <c r="G2" s="14"/>
      <c r="H2" s="14"/>
      <c r="I2" s="14"/>
    </row>
    <row r="3" spans="1:11" ht="24.75" thickBot="1">
      <c r="A3" s="881" t="s">
        <v>97</v>
      </c>
      <c r="B3" s="881"/>
      <c r="C3" s="161" t="s">
        <v>853</v>
      </c>
      <c r="D3" s="127" t="s">
        <v>852</v>
      </c>
      <c r="E3" s="161" t="s">
        <v>802</v>
      </c>
      <c r="F3" s="127" t="s">
        <v>803</v>
      </c>
      <c r="G3" s="468" t="s">
        <v>696</v>
      </c>
      <c r="H3" s="469" t="s">
        <v>695</v>
      </c>
      <c r="I3" s="468" t="s">
        <v>677</v>
      </c>
      <c r="J3" s="244"/>
      <c r="K3" s="244"/>
    </row>
    <row r="4" spans="1:11" ht="12" customHeight="1">
      <c r="A4" s="882" t="s">
        <v>56</v>
      </c>
      <c r="B4" s="882"/>
      <c r="C4" s="702">
        <f>SUM(C5:C7)</f>
        <v>166245.878</v>
      </c>
      <c r="D4" s="703">
        <f t="shared" ref="D4:D11" si="0">(C4-E4)/E4</f>
        <v>6.58012654416716E-2</v>
      </c>
      <c r="E4" s="126">
        <f>SUM(E5:E7)</f>
        <v>155982.06099999999</v>
      </c>
      <c r="F4" s="448">
        <f>(E4-G4)/G4</f>
        <v>6.5833130756194944E-2</v>
      </c>
      <c r="G4" s="128">
        <v>146347.54399999999</v>
      </c>
      <c r="H4" s="229">
        <f>(G4-I4)/I4</f>
        <v>2.9913069163106189E-2</v>
      </c>
      <c r="I4" s="128">
        <v>142096.98699999999</v>
      </c>
      <c r="J4" s="244"/>
      <c r="K4" s="244"/>
    </row>
    <row r="5" spans="1:11" ht="12" customHeight="1">
      <c r="A5" s="883" t="s">
        <v>57</v>
      </c>
      <c r="B5" s="884"/>
      <c r="C5" s="700">
        <v>6387.2420000000002</v>
      </c>
      <c r="D5" s="703">
        <f t="shared" si="0"/>
        <v>6.5409529941510725E-2</v>
      </c>
      <c r="E5" s="160">
        <v>5995.1049999999996</v>
      </c>
      <c r="F5" s="448">
        <f t="shared" ref="F5:H8" si="1">(E5-G5)/G5</f>
        <v>7.6196222711128539E-3</v>
      </c>
      <c r="G5" s="135">
        <v>5949.77</v>
      </c>
      <c r="H5" s="229">
        <f t="shared" si="1"/>
        <v>4.2758486121384567E-3</v>
      </c>
      <c r="I5" s="135">
        <v>5924.4380000000001</v>
      </c>
      <c r="J5" s="244"/>
      <c r="K5" s="244"/>
    </row>
    <row r="6" spans="1:11" ht="12" customHeight="1">
      <c r="A6" s="883" t="s">
        <v>117</v>
      </c>
      <c r="B6" s="884"/>
      <c r="C6" s="700">
        <v>152786.777</v>
      </c>
      <c r="D6" s="703">
        <f t="shared" si="0"/>
        <v>5.9651480703976953E-2</v>
      </c>
      <c r="E6" s="160">
        <v>144185.87599999999</v>
      </c>
      <c r="F6" s="448">
        <f>(E6-G6)/G6</f>
        <v>6.6230562763032838E-2</v>
      </c>
      <c r="G6" s="135">
        <v>135229.54699999999</v>
      </c>
      <c r="H6" s="229">
        <f>(G6-I6)/I6</f>
        <v>2.7816932779392067E-2</v>
      </c>
      <c r="I6" s="135">
        <v>131569.682</v>
      </c>
      <c r="J6" s="244"/>
      <c r="K6" s="244"/>
    </row>
    <row r="7" spans="1:11" ht="12" customHeight="1">
      <c r="A7" s="883" t="s">
        <v>118</v>
      </c>
      <c r="B7" s="884"/>
      <c r="C7" s="700">
        <v>7071.8590000000004</v>
      </c>
      <c r="D7" s="703">
        <f t="shared" si="0"/>
        <v>0.21905903728271295</v>
      </c>
      <c r="E7" s="160">
        <v>5801.08</v>
      </c>
      <c r="F7" s="448">
        <f t="shared" si="1"/>
        <v>0.12245069730876741</v>
      </c>
      <c r="G7" s="135">
        <v>5168.2270000000008</v>
      </c>
      <c r="H7" s="229">
        <f t="shared" si="1"/>
        <v>0.12282779406834926</v>
      </c>
      <c r="I7" s="135">
        <v>4602.8670000000002</v>
      </c>
      <c r="J7" s="244"/>
      <c r="K7" s="244"/>
    </row>
    <row r="8" spans="1:11" ht="12" customHeight="1">
      <c r="A8" s="885" t="s">
        <v>80</v>
      </c>
      <c r="B8" s="885"/>
      <c r="C8" s="700">
        <v>46129.144</v>
      </c>
      <c r="D8" s="703">
        <f t="shared" si="0"/>
        <v>-3.0157815993450625E-2</v>
      </c>
      <c r="E8" s="160">
        <v>47563.557000000001</v>
      </c>
      <c r="F8" s="448">
        <f t="shared" si="1"/>
        <v>0.11393345031101859</v>
      </c>
      <c r="G8" s="135">
        <v>42698.741999999998</v>
      </c>
      <c r="H8" s="229">
        <f t="shared" si="1"/>
        <v>0.1623915983453372</v>
      </c>
      <c r="I8" s="135">
        <v>36733.525999999998</v>
      </c>
      <c r="J8" s="244"/>
      <c r="K8" s="244"/>
    </row>
    <row r="9" spans="1:11" s="244" customFormat="1" ht="12" customHeight="1">
      <c r="A9" s="261" t="s">
        <v>678</v>
      </c>
      <c r="B9" s="261"/>
      <c r="C9" s="700">
        <v>31090.462000000003</v>
      </c>
      <c r="D9" s="703">
        <f t="shared" si="0"/>
        <v>-7.2252493012082156E-2</v>
      </c>
      <c r="E9" s="160">
        <v>33511.771000000001</v>
      </c>
      <c r="F9" s="448">
        <f>(E9-G9)/G9</f>
        <v>0.10815588730355917</v>
      </c>
      <c r="G9" s="135">
        <v>30241.025999999998</v>
      </c>
      <c r="H9" s="229">
        <f>(G9-I9)/I9</f>
        <v>0.12402362123889514</v>
      </c>
      <c r="I9" s="135">
        <v>26904.261999999999</v>
      </c>
    </row>
    <row r="10" spans="1:11">
      <c r="A10" s="882" t="s">
        <v>119</v>
      </c>
      <c r="B10" s="882"/>
      <c r="C10" s="701">
        <v>11492.876</v>
      </c>
      <c r="D10" s="703">
        <f t="shared" si="0"/>
        <v>0.37053694193215703</v>
      </c>
      <c r="E10" s="162">
        <v>8385.6740000000009</v>
      </c>
      <c r="F10" s="448">
        <f>(E10-G10)/G10</f>
        <v>-0.20796789207845473</v>
      </c>
      <c r="G10" s="230">
        <v>10587.543</v>
      </c>
      <c r="H10" s="229">
        <f>(G10-I10)/I10</f>
        <v>7.0856910632587339E-2</v>
      </c>
      <c r="I10" s="230">
        <v>9886.982</v>
      </c>
      <c r="J10" s="244"/>
      <c r="K10" s="244"/>
    </row>
    <row r="11" spans="1:11">
      <c r="A11" s="82" t="s">
        <v>5</v>
      </c>
      <c r="B11" s="157"/>
      <c r="C11" s="449">
        <f>C4+C8+C9+C10</f>
        <v>254958.36</v>
      </c>
      <c r="D11" s="704">
        <f t="shared" si="0"/>
        <v>3.876783838865306E-2</v>
      </c>
      <c r="E11" s="141">
        <f>E4+E8+E9+E10</f>
        <v>245443.06299999999</v>
      </c>
      <c r="F11" s="163">
        <f>(E11-G11)/G11</f>
        <v>6.7724710473444402E-2</v>
      </c>
      <c r="G11" s="470">
        <f>G4+G8+G9+G10</f>
        <v>229874.85499999998</v>
      </c>
      <c r="H11" s="471">
        <f>(G11-I11)/I11</f>
        <v>6.6102318236837432E-2</v>
      </c>
      <c r="I11" s="470">
        <f>I4+I8+I9+I10</f>
        <v>215621.75699999995</v>
      </c>
      <c r="J11" s="244"/>
      <c r="K11" s="244"/>
    </row>
    <row r="12" spans="1:11">
      <c r="A12" s="55"/>
      <c r="B12" s="55"/>
      <c r="C12" s="55"/>
      <c r="D12" s="55"/>
      <c r="E12" s="159"/>
      <c r="F12" s="55"/>
      <c r="G12" s="164"/>
      <c r="H12" s="165"/>
      <c r="I12" s="164"/>
      <c r="J12" s="244"/>
      <c r="K12" s="244"/>
    </row>
    <row r="13" spans="1:11">
      <c r="A13" s="879"/>
      <c r="B13" s="880"/>
      <c r="C13" s="880"/>
      <c r="D13" s="880"/>
      <c r="E13" s="880"/>
      <c r="F13" s="880"/>
      <c r="G13" s="880"/>
      <c r="H13" s="880"/>
      <c r="I13" s="880"/>
    </row>
    <row r="14" spans="1:11">
      <c r="A14" s="263"/>
      <c r="B14" s="263"/>
      <c r="C14" s="263"/>
      <c r="D14" s="263"/>
      <c r="E14" s="263"/>
      <c r="F14" s="263"/>
      <c r="G14" s="263"/>
      <c r="H14" s="263"/>
      <c r="I14" s="263"/>
    </row>
    <row r="16" spans="1:11">
      <c r="A16" s="877"/>
      <c r="B16" s="878"/>
      <c r="C16" s="878"/>
      <c r="D16" s="878"/>
      <c r="E16" s="878"/>
      <c r="F16" s="878"/>
      <c r="G16" s="878"/>
      <c r="H16" s="878"/>
      <c r="I16" s="878"/>
    </row>
    <row r="17" spans="3:9">
      <c r="C17" s="180"/>
      <c r="D17" s="123"/>
      <c r="E17" s="180"/>
      <c r="F17" s="123"/>
      <c r="G17" s="180"/>
      <c r="H17" s="123"/>
      <c r="I17" s="180"/>
    </row>
    <row r="18" spans="3:9">
      <c r="C18" s="180"/>
      <c r="D18" s="123"/>
      <c r="E18" s="180"/>
      <c r="F18" s="123"/>
      <c r="G18" s="180"/>
      <c r="H18" s="123"/>
      <c r="I18" s="180"/>
    </row>
    <row r="19" spans="3:9">
      <c r="C19" s="180"/>
      <c r="D19" s="123"/>
      <c r="E19" s="180"/>
      <c r="F19" s="123"/>
      <c r="G19" s="180"/>
      <c r="H19" s="123"/>
      <c r="I19" s="180"/>
    </row>
    <row r="20" spans="3:9">
      <c r="C20" s="180"/>
      <c r="D20" s="123"/>
      <c r="E20" s="180"/>
      <c r="F20" s="123"/>
      <c r="G20" s="180"/>
      <c r="H20" s="123"/>
      <c r="I20" s="180"/>
    </row>
    <row r="26" spans="3:9">
      <c r="G26" s="244"/>
    </row>
    <row r="27" spans="3:9">
      <c r="G27" s="244"/>
    </row>
    <row r="28" spans="3:9">
      <c r="G28" s="244"/>
    </row>
    <row r="29" spans="3:9">
      <c r="G29" s="244"/>
    </row>
  </sheetData>
  <mergeCells count="9">
    <mergeCell ref="A16:I16"/>
    <mergeCell ref="A13:I13"/>
    <mergeCell ref="A3:B3"/>
    <mergeCell ref="A4:B4"/>
    <mergeCell ref="A5:B5"/>
    <mergeCell ref="A6:B6"/>
    <mergeCell ref="A7:B7"/>
    <mergeCell ref="A8:B8"/>
    <mergeCell ref="A10:B1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D12:I12" formula="1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0">
    <pageSetUpPr fitToPage="1"/>
  </sheetPr>
  <dimension ref="A1:I28"/>
  <sheetViews>
    <sheetView zoomScaleNormal="100" workbookViewId="0">
      <selection activeCell="H19" sqref="H19"/>
    </sheetView>
  </sheetViews>
  <sheetFormatPr baseColWidth="10" defaultColWidth="11" defaultRowHeight="12"/>
  <cols>
    <col min="1" max="1" width="39.75" style="17" customWidth="1"/>
    <col min="2" max="2" width="33.875" style="17" bestFit="1" customWidth="1"/>
    <col min="3" max="4" width="10" style="17" customWidth="1"/>
    <col min="5" max="5" width="11" style="17" customWidth="1"/>
    <col min="6" max="16384" width="11" style="17"/>
  </cols>
  <sheetData>
    <row r="1" spans="1:9" ht="21">
      <c r="A1" s="549" t="s">
        <v>777</v>
      </c>
      <c r="B1" s="166"/>
      <c r="C1" s="140"/>
      <c r="D1" s="14"/>
    </row>
    <row r="2" spans="1:9">
      <c r="A2" s="14"/>
      <c r="B2" s="14"/>
      <c r="C2" s="14"/>
      <c r="D2" s="14"/>
    </row>
    <row r="3" spans="1:9">
      <c r="A3" s="14"/>
      <c r="B3" s="14"/>
    </row>
    <row r="4" spans="1:9" ht="12.75" thickBot="1">
      <c r="A4" s="1"/>
      <c r="B4" s="75" t="s">
        <v>62</v>
      </c>
      <c r="C4" s="2">
        <v>44196</v>
      </c>
      <c r="D4" s="2">
        <v>43830</v>
      </c>
      <c r="E4" s="244"/>
    </row>
    <row r="5" spans="1:9" s="244" customFormat="1">
      <c r="A5" s="167" t="s">
        <v>573</v>
      </c>
      <c r="B5" s="168" t="s">
        <v>614</v>
      </c>
      <c r="C5" s="428">
        <v>26</v>
      </c>
      <c r="D5" s="428">
        <v>44</v>
      </c>
      <c r="G5" s="168"/>
      <c r="H5" s="18"/>
      <c r="I5" s="18"/>
    </row>
    <row r="6" spans="1:9" s="244" customFormat="1">
      <c r="A6" s="167"/>
      <c r="B6" s="168" t="s">
        <v>711</v>
      </c>
      <c r="C6" s="428">
        <v>15</v>
      </c>
      <c r="D6" s="428">
        <v>24</v>
      </c>
      <c r="G6" s="168"/>
      <c r="H6" s="18"/>
      <c r="I6" s="18"/>
    </row>
    <row r="7" spans="1:9" s="244" customFormat="1">
      <c r="A7" s="167"/>
      <c r="B7" s="244" t="s">
        <v>196</v>
      </c>
      <c r="C7" s="429">
        <v>30</v>
      </c>
      <c r="D7" s="429">
        <v>44</v>
      </c>
      <c r="G7" s="168"/>
      <c r="H7" s="18"/>
      <c r="I7" s="18"/>
    </row>
    <row r="8" spans="1:9" s="244" customFormat="1">
      <c r="B8" s="168" t="s">
        <v>680</v>
      </c>
      <c r="C8" s="428">
        <v>18</v>
      </c>
      <c r="D8" s="428">
        <v>19</v>
      </c>
      <c r="G8" s="168"/>
      <c r="H8" s="18"/>
      <c r="I8" s="18"/>
    </row>
    <row r="9" spans="1:9" s="244" customFormat="1">
      <c r="A9" s="14"/>
      <c r="B9" s="14" t="s">
        <v>681</v>
      </c>
      <c r="C9" s="428">
        <v>29</v>
      </c>
      <c r="D9" s="428">
        <v>24</v>
      </c>
      <c r="G9" s="14"/>
      <c r="H9" s="18"/>
      <c r="I9" s="18"/>
    </row>
    <row r="10" spans="1:9" s="244" customFormat="1">
      <c r="A10" s="14"/>
      <c r="B10" s="168" t="s">
        <v>679</v>
      </c>
      <c r="C10" s="428">
        <v>0</v>
      </c>
      <c r="D10" s="428">
        <v>0</v>
      </c>
      <c r="H10" s="252"/>
      <c r="I10" s="252"/>
    </row>
    <row r="11" spans="1:9" s="244" customFormat="1">
      <c r="B11" s="168" t="s">
        <v>682</v>
      </c>
      <c r="C11" s="428">
        <v>44</v>
      </c>
      <c r="D11" s="428">
        <v>45</v>
      </c>
      <c r="G11" s="168"/>
      <c r="H11" s="18"/>
      <c r="I11" s="18"/>
    </row>
    <row r="12" spans="1:9" s="244" customFormat="1">
      <c r="B12" s="244" t="s">
        <v>712</v>
      </c>
      <c r="C12" s="429">
        <v>70</v>
      </c>
      <c r="D12" s="429">
        <v>47</v>
      </c>
      <c r="G12" s="168"/>
      <c r="H12" s="18"/>
      <c r="I12" s="18"/>
    </row>
    <row r="13" spans="1:9">
      <c r="A13" s="167"/>
      <c r="B13" s="169" t="s">
        <v>64</v>
      </c>
      <c r="C13" s="430">
        <v>80</v>
      </c>
      <c r="D13" s="430">
        <v>109</v>
      </c>
      <c r="E13" s="244"/>
      <c r="G13" s="169"/>
      <c r="H13" s="253"/>
      <c r="I13" s="253"/>
    </row>
    <row r="14" spans="1:9">
      <c r="A14" s="170" t="s">
        <v>77</v>
      </c>
      <c r="B14" s="171"/>
      <c r="C14" s="711">
        <f>SUM(C5:C13)</f>
        <v>312</v>
      </c>
      <c r="D14" s="431">
        <f>SUM(D5:D13)</f>
        <v>356</v>
      </c>
      <c r="E14" s="244"/>
      <c r="F14" s="428"/>
      <c r="G14" s="168"/>
      <c r="H14" s="18"/>
      <c r="I14" s="18"/>
    </row>
    <row r="15" spans="1:9">
      <c r="A15" s="167" t="s">
        <v>65</v>
      </c>
      <c r="B15" s="86" t="s">
        <v>683</v>
      </c>
      <c r="C15" s="429">
        <v>20</v>
      </c>
      <c r="D15" s="429">
        <v>20</v>
      </c>
      <c r="E15" s="244"/>
    </row>
    <row r="16" spans="1:9" s="244" customFormat="1">
      <c r="A16" s="167"/>
      <c r="B16" s="14" t="s">
        <v>564</v>
      </c>
      <c r="C16" s="429">
        <v>60</v>
      </c>
      <c r="D16" s="429">
        <v>95</v>
      </c>
    </row>
    <row r="17" spans="1:6" s="244" customFormat="1">
      <c r="A17" s="167"/>
      <c r="B17" s="14" t="s">
        <v>66</v>
      </c>
      <c r="C17" s="429">
        <v>10</v>
      </c>
      <c r="D17" s="705">
        <v>11</v>
      </c>
    </row>
    <row r="18" spans="1:6">
      <c r="A18" s="170" t="s">
        <v>95</v>
      </c>
      <c r="B18" s="157"/>
      <c r="C18" s="712">
        <f>SUM(C15:C17)</f>
        <v>90</v>
      </c>
      <c r="D18" s="432">
        <f>SUM(D15:D17)</f>
        <v>126</v>
      </c>
      <c r="E18" s="244"/>
    </row>
    <row r="19" spans="1:6" s="244" customFormat="1">
      <c r="A19" s="340" t="s">
        <v>69</v>
      </c>
      <c r="B19" s="341"/>
      <c r="C19" s="713">
        <f>C14+C18</f>
        <v>402</v>
      </c>
      <c r="D19" s="433">
        <f>D14+D18</f>
        <v>482</v>
      </c>
    </row>
    <row r="20" spans="1:6" s="244" customFormat="1" ht="11.25" customHeight="1">
      <c r="A20" s="339"/>
      <c r="B20" s="14"/>
      <c r="C20" s="136"/>
      <c r="D20" s="136"/>
    </row>
    <row r="21" spans="1:6">
      <c r="A21" s="172"/>
      <c r="C21" s="69"/>
      <c r="D21" s="69"/>
      <c r="F21" s="21"/>
    </row>
    <row r="22" spans="1:6">
      <c r="A22" s="451"/>
      <c r="B22" s="450"/>
      <c r="C22" s="55"/>
      <c r="D22" s="55"/>
    </row>
    <row r="28" spans="1:6">
      <c r="A28" s="1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alignWithMargins="0">
    <oddHeader>&amp;R&amp;"Calibri"&amp;12&amp;KFF9100F O R T R O L I G&amp;1#</oddHeader>
    <oddFooter>&amp;R&amp;A</oddFooter>
  </headerFooter>
  <ignoredErrors>
    <ignoredError sqref="C14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1">
    <pageSetUpPr fitToPage="1"/>
  </sheetPr>
  <dimension ref="A1:G15"/>
  <sheetViews>
    <sheetView zoomScaleNormal="100" workbookViewId="0">
      <selection activeCell="H19" sqref="H19"/>
    </sheetView>
  </sheetViews>
  <sheetFormatPr baseColWidth="10" defaultColWidth="11" defaultRowHeight="12"/>
  <cols>
    <col min="1" max="1" width="38.75" style="17" bestFit="1" customWidth="1"/>
    <col min="2" max="2" width="6.75" style="17" customWidth="1"/>
    <col min="3" max="3" width="6.625" style="17" customWidth="1"/>
    <col min="4" max="4" width="10.25" style="17" customWidth="1"/>
    <col min="5" max="5" width="8.5" style="17" customWidth="1"/>
    <col min="6" max="6" width="11.5" style="17" customWidth="1"/>
    <col min="7" max="16384" width="11" style="17"/>
  </cols>
  <sheetData>
    <row r="1" spans="1:7" ht="21">
      <c r="A1" s="549" t="s">
        <v>524</v>
      </c>
      <c r="B1" s="166"/>
      <c r="C1" s="140"/>
    </row>
    <row r="2" spans="1:7">
      <c r="A2" s="14" t="s">
        <v>110</v>
      </c>
      <c r="B2" s="139"/>
      <c r="C2" s="14"/>
    </row>
    <row r="3" spans="1:7">
      <c r="A3" s="173"/>
      <c r="B3" s="139"/>
      <c r="C3" s="14"/>
    </row>
    <row r="4" spans="1:7" ht="60.75" customHeight="1" thickBot="1">
      <c r="A4" s="61">
        <v>2020</v>
      </c>
      <c r="B4" s="98" t="s">
        <v>100</v>
      </c>
      <c r="C4" s="98" t="s">
        <v>101</v>
      </c>
      <c r="D4" s="98" t="s">
        <v>199</v>
      </c>
      <c r="E4" s="98" t="s">
        <v>200</v>
      </c>
      <c r="F4" s="98" t="s">
        <v>67</v>
      </c>
    </row>
    <row r="5" spans="1:7">
      <c r="A5" s="87" t="s">
        <v>63</v>
      </c>
      <c r="B5" s="133">
        <v>312</v>
      </c>
      <c r="C5" s="133">
        <v>312</v>
      </c>
      <c r="D5" s="133">
        <v>0</v>
      </c>
      <c r="E5" s="133">
        <f>312-319</f>
        <v>-7</v>
      </c>
      <c r="F5" s="174">
        <v>0</v>
      </c>
      <c r="G5" s="244"/>
    </row>
    <row r="6" spans="1:7">
      <c r="A6" s="87" t="s">
        <v>615</v>
      </c>
      <c r="B6" s="133">
        <v>90</v>
      </c>
      <c r="C6" s="133">
        <v>90</v>
      </c>
      <c r="D6" s="175">
        <v>21</v>
      </c>
      <c r="E6" s="175">
        <f>90-53</f>
        <v>37</v>
      </c>
      <c r="F6" s="175">
        <v>0</v>
      </c>
    </row>
    <row r="7" spans="1:7">
      <c r="A7" s="71" t="s">
        <v>5</v>
      </c>
      <c r="B7" s="242">
        <f>SUM(B5:B6)</f>
        <v>402</v>
      </c>
      <c r="C7" s="242">
        <f>SUM(C5:C6)</f>
        <v>402</v>
      </c>
      <c r="D7" s="242">
        <f>SUM(D5:D6)</f>
        <v>21</v>
      </c>
      <c r="E7" s="242">
        <f>SUM(E5:E6)</f>
        <v>30</v>
      </c>
      <c r="F7" s="242">
        <f>SUM(F5:F6)</f>
        <v>0</v>
      </c>
    </row>
    <row r="8" spans="1:7" s="244" customFormat="1">
      <c r="A8" s="78"/>
      <c r="B8" s="121"/>
      <c r="C8" s="121"/>
      <c r="D8" s="134"/>
      <c r="E8" s="134"/>
      <c r="F8" s="134"/>
    </row>
    <row r="9" spans="1:7" s="244" customFormat="1">
      <c r="A9" s="78"/>
      <c r="B9" s="121"/>
      <c r="C9" s="121"/>
      <c r="D9" s="134"/>
      <c r="E9" s="134"/>
      <c r="F9" s="134"/>
    </row>
    <row r="10" spans="1:7" ht="60.75" thickBot="1">
      <c r="A10" s="677">
        <v>2019</v>
      </c>
      <c r="B10" s="241" t="s">
        <v>100</v>
      </c>
      <c r="C10" s="241" t="s">
        <v>101</v>
      </c>
      <c r="D10" s="241" t="s">
        <v>199</v>
      </c>
      <c r="E10" s="241" t="s">
        <v>200</v>
      </c>
      <c r="F10" s="241" t="s">
        <v>67</v>
      </c>
    </row>
    <row r="11" spans="1:7">
      <c r="A11" s="87" t="s">
        <v>63</v>
      </c>
      <c r="B11" s="133">
        <v>356</v>
      </c>
      <c r="C11" s="133">
        <v>356</v>
      </c>
      <c r="D11" s="133">
        <v>-3</v>
      </c>
      <c r="E11" s="421">
        <v>85</v>
      </c>
      <c r="F11" s="174">
        <v>0</v>
      </c>
    </row>
    <row r="12" spans="1:7">
      <c r="A12" s="87" t="s">
        <v>615</v>
      </c>
      <c r="B12" s="133">
        <v>126</v>
      </c>
      <c r="C12" s="133">
        <v>126</v>
      </c>
      <c r="D12" s="175">
        <v>2</v>
      </c>
      <c r="E12" s="175">
        <v>77</v>
      </c>
      <c r="F12" s="175">
        <v>0</v>
      </c>
    </row>
    <row r="13" spans="1:7">
      <c r="A13" s="472" t="s">
        <v>5</v>
      </c>
      <c r="B13" s="122">
        <f>SUM(B11:B12)</f>
        <v>482</v>
      </c>
      <c r="C13" s="122">
        <f>SUM(C11:C12)</f>
        <v>482</v>
      </c>
      <c r="D13" s="242">
        <f>SUM(D11:D12)</f>
        <v>-1</v>
      </c>
      <c r="E13" s="242">
        <f>SUM(E11:E12)</f>
        <v>162</v>
      </c>
      <c r="F13" s="242">
        <f>SUM(F11:F12)</f>
        <v>0</v>
      </c>
    </row>
    <row r="14" spans="1:7">
      <c r="A14" s="78"/>
      <c r="B14" s="121"/>
      <c r="C14" s="121"/>
      <c r="D14" s="134"/>
      <c r="E14" s="134"/>
      <c r="F14" s="134"/>
    </row>
    <row r="15" spans="1:7">
      <c r="A15" s="172"/>
      <c r="B15" s="121"/>
      <c r="C15" s="121"/>
      <c r="D15" s="134"/>
      <c r="E15" s="134"/>
      <c r="F15" s="13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2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2">
    <pageSetUpPr fitToPage="1"/>
  </sheetPr>
  <dimension ref="A1:D8"/>
  <sheetViews>
    <sheetView zoomScaleNormal="100" workbookViewId="0">
      <selection activeCell="H19" sqref="H19"/>
    </sheetView>
  </sheetViews>
  <sheetFormatPr baseColWidth="10" defaultColWidth="11" defaultRowHeight="12"/>
  <cols>
    <col min="1" max="1" width="36" style="17" customWidth="1"/>
    <col min="2" max="2" width="12.625" style="17" customWidth="1"/>
    <col min="3" max="16384" width="11" style="17"/>
  </cols>
  <sheetData>
    <row r="1" spans="1:4" ht="21">
      <c r="A1" s="549" t="s">
        <v>141</v>
      </c>
      <c r="B1" s="139"/>
      <c r="C1" s="14"/>
      <c r="D1" s="14"/>
    </row>
    <row r="2" spans="1:4">
      <c r="A2" s="139"/>
      <c r="B2" s="139"/>
      <c r="C2" s="14"/>
      <c r="D2" s="14"/>
    </row>
    <row r="3" spans="1:4" ht="24.75" thickBot="1">
      <c r="A3" s="193" t="s">
        <v>97</v>
      </c>
      <c r="B3" s="176" t="s">
        <v>855</v>
      </c>
      <c r="C3" s="342" t="s">
        <v>854</v>
      </c>
      <c r="D3" s="14"/>
    </row>
    <row r="4" spans="1:4">
      <c r="A4" s="14" t="s">
        <v>42</v>
      </c>
      <c r="B4" s="134">
        <v>402</v>
      </c>
      <c r="C4" s="133">
        <v>482</v>
      </c>
      <c r="D4" s="86"/>
    </row>
    <row r="5" spans="1:4">
      <c r="A5" s="14" t="s">
        <v>43</v>
      </c>
      <c r="B5" s="134">
        <v>0</v>
      </c>
      <c r="C5" s="133">
        <v>0</v>
      </c>
      <c r="D5" s="86"/>
    </row>
    <row r="6" spans="1:4">
      <c r="A6" s="14" t="s">
        <v>25</v>
      </c>
      <c r="B6" s="134">
        <v>0</v>
      </c>
      <c r="C6" s="133">
        <v>0</v>
      </c>
      <c r="D6" s="86"/>
    </row>
    <row r="7" spans="1:4">
      <c r="A7" s="82" t="s">
        <v>5</v>
      </c>
      <c r="B7" s="449">
        <f>SUM(B4:B6)</f>
        <v>402</v>
      </c>
      <c r="C7" s="177">
        <f>SUM(C4:C6)</f>
        <v>482</v>
      </c>
      <c r="D7" s="86"/>
    </row>
    <row r="8" spans="1:4">
      <c r="D8" s="86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93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pageSetUpPr fitToPage="1"/>
  </sheetPr>
  <dimension ref="A1:E10"/>
  <sheetViews>
    <sheetView zoomScaleNormal="100" workbookViewId="0">
      <selection activeCell="H19" sqref="H19"/>
    </sheetView>
  </sheetViews>
  <sheetFormatPr baseColWidth="10" defaultColWidth="11" defaultRowHeight="12"/>
  <cols>
    <col min="1" max="1" width="4.625" style="17" customWidth="1"/>
    <col min="2" max="2" width="29.125" style="17" customWidth="1"/>
    <col min="3" max="5" width="11.625" style="17" customWidth="1"/>
    <col min="6" max="16384" width="11" style="17"/>
  </cols>
  <sheetData>
    <row r="1" spans="1:5" ht="21">
      <c r="A1" s="549" t="s">
        <v>201</v>
      </c>
    </row>
    <row r="3" spans="1:5" ht="26.25">
      <c r="A3" s="887" t="s">
        <v>97</v>
      </c>
      <c r="B3" s="887"/>
      <c r="C3" s="889" t="s">
        <v>68</v>
      </c>
      <c r="D3" s="256" t="s">
        <v>857</v>
      </c>
      <c r="E3" s="257" t="s">
        <v>856</v>
      </c>
    </row>
    <row r="4" spans="1:5" ht="12.75" thickBot="1">
      <c r="A4" s="888"/>
      <c r="B4" s="888"/>
      <c r="C4" s="890"/>
      <c r="D4" s="178"/>
      <c r="E4" s="179"/>
    </row>
    <row r="5" spans="1:5" ht="14.25">
      <c r="A5" s="886" t="s">
        <v>202</v>
      </c>
      <c r="B5" s="886"/>
      <c r="C5" s="18">
        <v>263847</v>
      </c>
      <c r="D5" s="18">
        <v>1451</v>
      </c>
      <c r="E5" s="18">
        <v>1297</v>
      </c>
    </row>
    <row r="6" spans="1:5" s="244" customFormat="1">
      <c r="A6" s="254" t="s">
        <v>198</v>
      </c>
      <c r="B6" s="254"/>
      <c r="C6" s="603"/>
      <c r="D6" s="604">
        <v>334</v>
      </c>
      <c r="E6" s="706">
        <v>487</v>
      </c>
    </row>
    <row r="7" spans="1:5" ht="12.75" customHeight="1">
      <c r="A7" s="170" t="s">
        <v>107</v>
      </c>
      <c r="B7" s="96"/>
      <c r="C7" s="710">
        <f>SUM(C5:C6)</f>
        <v>263847</v>
      </c>
      <c r="D7" s="710">
        <f>SUM(D5:D6)</f>
        <v>1785</v>
      </c>
      <c r="E7" s="181">
        <f>SUM(E5:E6)</f>
        <v>1784</v>
      </c>
    </row>
    <row r="10" spans="1:5" ht="14.25">
      <c r="A10" s="255" t="s">
        <v>213</v>
      </c>
      <c r="B10" s="255"/>
      <c r="C10" s="255"/>
      <c r="D10" s="255"/>
    </row>
  </sheetData>
  <mergeCells count="3">
    <mergeCell ref="A5:B5"/>
    <mergeCell ref="A3:B4"/>
    <mergeCell ref="C3:C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pageSetUpPr fitToPage="1"/>
  </sheetPr>
  <dimension ref="A1:L43"/>
  <sheetViews>
    <sheetView showGridLines="0" zoomScaleNormal="100" workbookViewId="0">
      <selection activeCell="H19" sqref="H19"/>
    </sheetView>
  </sheetViews>
  <sheetFormatPr baseColWidth="10" defaultColWidth="11" defaultRowHeight="12"/>
  <cols>
    <col min="1" max="1" width="42.5" style="17" customWidth="1"/>
    <col min="2" max="2" width="26.5" style="17" customWidth="1"/>
    <col min="3" max="4" width="10" style="17" customWidth="1"/>
    <col min="5" max="5" width="21" style="17" customWidth="1"/>
    <col min="6" max="16384" width="11" style="17"/>
  </cols>
  <sheetData>
    <row r="1" spans="1:12" ht="21">
      <c r="A1" s="549" t="s">
        <v>778</v>
      </c>
      <c r="B1" s="236"/>
      <c r="C1" s="236"/>
      <c r="D1" s="237"/>
      <c r="E1" s="237"/>
      <c r="F1" s="238"/>
      <c r="G1" s="239"/>
      <c r="H1" s="239"/>
    </row>
    <row r="2" spans="1:12" ht="21">
      <c r="A2" s="549" t="s">
        <v>779</v>
      </c>
      <c r="B2" s="236"/>
      <c r="C2" s="236"/>
      <c r="D2" s="237"/>
      <c r="E2" s="237"/>
      <c r="F2" s="238"/>
      <c r="G2" s="239"/>
      <c r="H2" s="239"/>
    </row>
    <row r="3" spans="1:12" ht="12.75">
      <c r="A3" s="237"/>
      <c r="B3" s="891"/>
      <c r="C3" s="891"/>
      <c r="D3" s="239"/>
      <c r="E3" s="232"/>
      <c r="F3" s="231"/>
      <c r="G3" s="231"/>
      <c r="H3" s="231"/>
      <c r="I3" s="231"/>
      <c r="J3" s="116"/>
      <c r="K3" s="116"/>
      <c r="L3" s="116"/>
    </row>
    <row r="4" spans="1:12" ht="13.5" thickBot="1">
      <c r="A4" s="268"/>
      <c r="B4" s="182">
        <v>44196</v>
      </c>
      <c r="C4" s="183">
        <v>43830</v>
      </c>
      <c r="D4" s="239"/>
    </row>
    <row r="5" spans="1:12" ht="12.75">
      <c r="A5" s="184" t="s">
        <v>160</v>
      </c>
      <c r="B5" s="707">
        <v>-56</v>
      </c>
      <c r="C5" s="605">
        <v>-41</v>
      </c>
      <c r="D5" s="239"/>
    </row>
    <row r="6" spans="1:12" ht="12.75">
      <c r="A6" s="184" t="s">
        <v>161</v>
      </c>
      <c r="B6" s="707">
        <v>-24</v>
      </c>
      <c r="C6" s="605">
        <v>-36</v>
      </c>
      <c r="D6" s="239"/>
    </row>
    <row r="7" spans="1:12" ht="12.75">
      <c r="A7" s="184" t="s">
        <v>162</v>
      </c>
      <c r="B7" s="707">
        <v>-115</v>
      </c>
      <c r="C7" s="605">
        <v>-116</v>
      </c>
      <c r="D7" s="239"/>
    </row>
    <row r="8" spans="1:12" ht="12.75">
      <c r="A8" s="184" t="s">
        <v>163</v>
      </c>
      <c r="B8" s="707">
        <v>153</v>
      </c>
      <c r="C8" s="605">
        <v>140</v>
      </c>
      <c r="D8" s="239"/>
    </row>
    <row r="9" spans="1:12" ht="12.75">
      <c r="A9" s="184" t="s">
        <v>164</v>
      </c>
      <c r="B9" s="707">
        <v>-8</v>
      </c>
      <c r="C9" s="605">
        <v>1</v>
      </c>
      <c r="D9" s="239"/>
    </row>
    <row r="10" spans="1:12" ht="12.75">
      <c r="A10" s="240" t="s">
        <v>165</v>
      </c>
      <c r="B10" s="708">
        <f>SUM(B5:B9)</f>
        <v>-50</v>
      </c>
      <c r="C10" s="606">
        <f>SUM(C5:C9)</f>
        <v>-52</v>
      </c>
      <c r="D10" s="239"/>
    </row>
    <row r="11" spans="1:12" ht="12.75">
      <c r="A11" s="184"/>
      <c r="B11" s="427"/>
      <c r="C11" s="605"/>
      <c r="D11" s="239"/>
    </row>
    <row r="12" spans="1:12" ht="12.75">
      <c r="A12" s="184"/>
      <c r="B12" s="427"/>
      <c r="C12" s="605"/>
      <c r="D12" s="239"/>
    </row>
    <row r="13" spans="1:12" ht="12.75">
      <c r="A13" s="184"/>
      <c r="B13" s="427"/>
      <c r="C13" s="605"/>
      <c r="D13" s="239"/>
    </row>
    <row r="14" spans="1:12" ht="12.75">
      <c r="A14" s="184" t="s">
        <v>166</v>
      </c>
      <c r="B14" s="427"/>
      <c r="C14" s="605"/>
      <c r="D14" s="239"/>
    </row>
    <row r="15" spans="1:12" ht="12.75">
      <c r="A15" s="184" t="s">
        <v>167</v>
      </c>
      <c r="B15" s="707">
        <v>-32</v>
      </c>
      <c r="C15" s="605">
        <v>-33</v>
      </c>
      <c r="D15" s="239"/>
    </row>
    <row r="16" spans="1:12" ht="12.75">
      <c r="A16" s="184" t="s">
        <v>168</v>
      </c>
      <c r="B16" s="707">
        <v>-4</v>
      </c>
      <c r="C16" s="605">
        <v>5</v>
      </c>
      <c r="D16" s="239"/>
    </row>
    <row r="17" spans="1:4" ht="12.75">
      <c r="A17" s="184" t="s">
        <v>169</v>
      </c>
      <c r="B17" s="707">
        <v>2</v>
      </c>
      <c r="C17" s="605">
        <v>2</v>
      </c>
      <c r="D17" s="239"/>
    </row>
    <row r="18" spans="1:4" ht="12.75">
      <c r="A18" s="184" t="s">
        <v>170</v>
      </c>
      <c r="B18" s="707">
        <v>1</v>
      </c>
      <c r="C18" s="605">
        <v>2</v>
      </c>
      <c r="D18" s="239"/>
    </row>
    <row r="19" spans="1:4" ht="12.75">
      <c r="A19" s="184" t="s">
        <v>171</v>
      </c>
      <c r="B19" s="707">
        <v>2</v>
      </c>
      <c r="C19" s="605">
        <v>-3</v>
      </c>
      <c r="D19" s="239"/>
    </row>
    <row r="20" spans="1:4" ht="12.75">
      <c r="A20" s="184" t="s">
        <v>172</v>
      </c>
      <c r="B20" s="707">
        <v>-1</v>
      </c>
      <c r="C20" s="605">
        <v>2</v>
      </c>
      <c r="D20" s="239"/>
    </row>
    <row r="21" spans="1:4" ht="12.75">
      <c r="A21" s="184" t="s">
        <v>173</v>
      </c>
      <c r="B21" s="707">
        <v>-14</v>
      </c>
      <c r="C21" s="605">
        <v>-26</v>
      </c>
      <c r="D21" s="239"/>
    </row>
    <row r="22" spans="1:4" ht="12.75">
      <c r="A22" s="185" t="s">
        <v>174</v>
      </c>
      <c r="B22" s="709">
        <v>-4</v>
      </c>
      <c r="C22" s="607">
        <v>-1</v>
      </c>
      <c r="D22" s="239"/>
    </row>
    <row r="23" spans="1:4" ht="12.75">
      <c r="A23" s="240" t="s">
        <v>165</v>
      </c>
      <c r="B23" s="708">
        <f t="shared" ref="B23" si="0">SUM(B15:B22)</f>
        <v>-50</v>
      </c>
      <c r="C23" s="606">
        <f t="shared" ref="C23" si="1">SUM(C15:C22)</f>
        <v>-52</v>
      </c>
      <c r="D23" s="239"/>
    </row>
    <row r="24" spans="1:4" ht="12.75">
      <c r="A24" s="184"/>
      <c r="B24" s="427"/>
      <c r="C24" s="605"/>
      <c r="D24" s="239"/>
    </row>
    <row r="25" spans="1:4" ht="12.75">
      <c r="A25" s="184"/>
      <c r="B25" s="427"/>
      <c r="C25" s="605"/>
      <c r="D25" s="239"/>
    </row>
    <row r="26" spans="1:4" ht="12.75">
      <c r="A26" s="184"/>
      <c r="B26" s="427"/>
      <c r="C26" s="605"/>
      <c r="D26" s="239"/>
    </row>
    <row r="27" spans="1:4" ht="12.75">
      <c r="A27" s="184" t="s">
        <v>166</v>
      </c>
      <c r="B27" s="427"/>
      <c r="C27" s="605"/>
      <c r="D27" s="239"/>
    </row>
    <row r="28" spans="1:4" ht="12.75">
      <c r="A28" s="184" t="s">
        <v>83</v>
      </c>
      <c r="B28" s="707">
        <v>-27</v>
      </c>
      <c r="C28" s="605">
        <v>-44</v>
      </c>
      <c r="D28" s="239"/>
    </row>
    <row r="29" spans="1:4" ht="12.75">
      <c r="A29" s="184" t="s">
        <v>84</v>
      </c>
      <c r="B29" s="707">
        <v>-13</v>
      </c>
      <c r="C29" s="605">
        <v>3</v>
      </c>
      <c r="D29" s="239"/>
    </row>
    <row r="30" spans="1:4" ht="12.75">
      <c r="A30" s="184" t="s">
        <v>85</v>
      </c>
      <c r="B30" s="707">
        <v>-6</v>
      </c>
      <c r="C30" s="605">
        <v>-7</v>
      </c>
      <c r="D30" s="239"/>
    </row>
    <row r="31" spans="1:4" ht="12.75">
      <c r="A31" s="184" t="s">
        <v>175</v>
      </c>
      <c r="B31" s="707">
        <v>-1</v>
      </c>
      <c r="C31" s="605">
        <v>-1</v>
      </c>
      <c r="D31" s="239"/>
    </row>
    <row r="32" spans="1:4" ht="12.75">
      <c r="A32" s="184" t="s">
        <v>25</v>
      </c>
      <c r="B32" s="707">
        <v>-3</v>
      </c>
      <c r="C32" s="605">
        <v>-3</v>
      </c>
      <c r="D32" s="239"/>
    </row>
    <row r="33" spans="1:9" ht="12.75">
      <c r="A33" s="240" t="s">
        <v>165</v>
      </c>
      <c r="B33" s="708">
        <f t="shared" ref="B33" si="2">SUM(B28:B32)</f>
        <v>-50</v>
      </c>
      <c r="C33" s="606">
        <f t="shared" ref="C33" si="3">SUM(C28:C32)</f>
        <v>-52</v>
      </c>
      <c r="D33" s="239"/>
    </row>
    <row r="35" spans="1:9">
      <c r="A35" s="184"/>
      <c r="I35" s="244"/>
    </row>
    <row r="36" spans="1:9" ht="12.75">
      <c r="A36" s="184" t="s">
        <v>176</v>
      </c>
      <c r="B36" s="184"/>
      <c r="C36" s="184"/>
      <c r="D36" s="184"/>
      <c r="E36" s="184"/>
      <c r="F36" s="235"/>
      <c r="G36" s="235"/>
      <c r="H36" s="235"/>
      <c r="I36" s="244"/>
    </row>
    <row r="37" spans="1:9" ht="12.75">
      <c r="A37" s="184" t="s">
        <v>177</v>
      </c>
      <c r="B37" s="184"/>
      <c r="C37" s="184"/>
      <c r="D37" s="184"/>
      <c r="E37" s="184"/>
      <c r="F37" s="235"/>
      <c r="G37" s="235"/>
      <c r="H37" s="235"/>
      <c r="I37" s="244"/>
    </row>
    <row r="38" spans="1:9" ht="12.75">
      <c r="A38" s="184" t="s">
        <v>684</v>
      </c>
      <c r="B38" s="184"/>
      <c r="C38" s="184"/>
      <c r="D38" s="184"/>
      <c r="E38" s="184"/>
      <c r="F38" s="235"/>
      <c r="G38" s="235"/>
      <c r="H38" s="235"/>
      <c r="I38" s="244"/>
    </row>
    <row r="39" spans="1:9" ht="12.75">
      <c r="A39" s="184"/>
      <c r="B39" s="184"/>
      <c r="C39" s="184"/>
      <c r="D39" s="184"/>
      <c r="E39" s="184"/>
      <c r="F39" s="235"/>
      <c r="G39" s="235"/>
      <c r="H39" s="235"/>
      <c r="I39" s="244"/>
    </row>
    <row r="40" spans="1:9" ht="12.75">
      <c r="A40" s="86" t="s">
        <v>685</v>
      </c>
      <c r="B40" s="86"/>
      <c r="C40" s="86"/>
      <c r="D40" s="86"/>
      <c r="E40" s="86"/>
      <c r="F40" s="235"/>
      <c r="G40" s="235"/>
      <c r="H40" s="235"/>
      <c r="I40" s="244"/>
    </row>
    <row r="41" spans="1:9" ht="12.75">
      <c r="A41" s="184" t="s">
        <v>686</v>
      </c>
      <c r="B41" s="184"/>
      <c r="C41" s="184"/>
      <c r="D41" s="184"/>
      <c r="E41" s="184"/>
      <c r="F41" s="235"/>
      <c r="G41" s="235"/>
      <c r="H41" s="235"/>
      <c r="I41" s="244"/>
    </row>
    <row r="42" spans="1:9" ht="12.75">
      <c r="A42" s="184"/>
      <c r="B42" s="184"/>
      <c r="C42" s="184"/>
      <c r="D42" s="184"/>
      <c r="E42" s="184"/>
      <c r="F42" s="235"/>
      <c r="G42" s="235"/>
      <c r="H42" s="235"/>
      <c r="I42" s="244"/>
    </row>
    <row r="43" spans="1:9">
      <c r="A43" s="184"/>
      <c r="B43" s="184"/>
      <c r="C43" s="184"/>
      <c r="D43" s="184"/>
      <c r="E43" s="184"/>
      <c r="I43" s="244"/>
    </row>
  </sheetData>
  <mergeCells count="1">
    <mergeCell ref="B3:C3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0" max="16383" man="1"/>
  </rowBreaks>
  <colBreaks count="1" manualBreakCount="1">
    <brk id="1" max="1048575" man="1"/>
  </colBreaks>
  <ignoredErrors>
    <ignoredError sqref="B10:C1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83"/>
  <sheetViews>
    <sheetView topLeftCell="G1" zoomScale="80" zoomScaleNormal="80" workbookViewId="0">
      <selection activeCell="N5" sqref="N5"/>
    </sheetView>
  </sheetViews>
  <sheetFormatPr baseColWidth="10" defaultColWidth="11" defaultRowHeight="12.75"/>
  <cols>
    <col min="1" max="1" width="4.375" style="264" customWidth="1"/>
    <col min="2" max="2" width="75.25" style="264" bestFit="1" customWidth="1"/>
    <col min="3" max="3" width="34.875" style="264" bestFit="1" customWidth="1"/>
    <col min="4" max="11" width="35.625" style="264" customWidth="1"/>
    <col min="12" max="12" width="3.75" style="264" customWidth="1"/>
    <col min="13" max="14" width="42.125" style="264" customWidth="1"/>
    <col min="15" max="15" width="3.75" style="264" customWidth="1"/>
    <col min="16" max="16384" width="11" style="264"/>
  </cols>
  <sheetData>
    <row r="1" spans="1:15" ht="21">
      <c r="A1" s="549" t="s">
        <v>529</v>
      </c>
      <c r="C1" s="265"/>
      <c r="D1" s="265"/>
      <c r="E1" s="265"/>
      <c r="F1" s="265"/>
      <c r="G1" s="265"/>
      <c r="H1" s="265"/>
      <c r="I1" s="265"/>
      <c r="J1" s="265"/>
      <c r="K1" s="265"/>
    </row>
    <row r="2" spans="1:15"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5">
      <c r="B3" s="267"/>
      <c r="C3" s="267"/>
      <c r="D3" s="267"/>
      <c r="E3" s="267"/>
      <c r="F3" s="267"/>
      <c r="G3" s="267"/>
      <c r="H3" s="267"/>
      <c r="I3" s="267"/>
      <c r="J3" s="267"/>
      <c r="K3" s="267"/>
      <c r="M3" s="666" t="s">
        <v>833</v>
      </c>
      <c r="N3" s="452"/>
    </row>
    <row r="4" spans="1:15" ht="13.5" thickBot="1">
      <c r="A4" s="306">
        <v>1</v>
      </c>
      <c r="B4" s="272" t="s">
        <v>215</v>
      </c>
      <c r="C4" s="273" t="s">
        <v>530</v>
      </c>
      <c r="D4" s="273" t="s">
        <v>530</v>
      </c>
      <c r="E4" s="273" t="s">
        <v>530</v>
      </c>
      <c r="F4" s="273" t="s">
        <v>530</v>
      </c>
      <c r="G4" s="273" t="s">
        <v>530</v>
      </c>
      <c r="H4" s="273" t="s">
        <v>530</v>
      </c>
      <c r="I4" s="273" t="s">
        <v>530</v>
      </c>
      <c r="J4" s="273" t="s">
        <v>530</v>
      </c>
      <c r="K4" s="273" t="s">
        <v>530</v>
      </c>
      <c r="M4" s="273" t="s">
        <v>531</v>
      </c>
      <c r="N4" s="273" t="s">
        <v>531</v>
      </c>
    </row>
    <row r="5" spans="1:15">
      <c r="A5" s="305">
        <v>2</v>
      </c>
      <c r="B5" s="269" t="s">
        <v>216</v>
      </c>
      <c r="C5" s="247" t="s">
        <v>578</v>
      </c>
      <c r="D5" s="247" t="s">
        <v>657</v>
      </c>
      <c r="E5" s="247" t="s">
        <v>669</v>
      </c>
      <c r="F5" s="247" t="s">
        <v>788</v>
      </c>
      <c r="G5" s="247" t="s">
        <v>658</v>
      </c>
      <c r="H5" s="247" t="s">
        <v>740</v>
      </c>
      <c r="I5" s="247" t="s">
        <v>757</v>
      </c>
      <c r="J5" s="304" t="s">
        <v>798</v>
      </c>
      <c r="K5" s="304" t="s">
        <v>808</v>
      </c>
      <c r="M5" s="304" t="s">
        <v>748</v>
      </c>
      <c r="N5" s="304" t="s">
        <v>807</v>
      </c>
      <c r="O5" s="566"/>
    </row>
    <row r="6" spans="1:15">
      <c r="A6" s="305">
        <v>3</v>
      </c>
      <c r="B6" s="269" t="s">
        <v>217</v>
      </c>
      <c r="C6" s="247" t="s">
        <v>218</v>
      </c>
      <c r="D6" s="247" t="s">
        <v>218</v>
      </c>
      <c r="E6" s="247" t="s">
        <v>218</v>
      </c>
      <c r="F6" s="247" t="s">
        <v>218</v>
      </c>
      <c r="G6" s="247" t="s">
        <v>218</v>
      </c>
      <c r="H6" s="247" t="s">
        <v>218</v>
      </c>
      <c r="I6" s="247" t="s">
        <v>218</v>
      </c>
      <c r="J6" s="304" t="s">
        <v>218</v>
      </c>
      <c r="K6" s="304" t="s">
        <v>218</v>
      </c>
      <c r="M6" s="566"/>
      <c r="N6" s="602"/>
      <c r="O6" s="566"/>
    </row>
    <row r="7" spans="1:15" ht="13.5" customHeight="1" thickBot="1">
      <c r="A7" s="306"/>
      <c r="B7" s="316" t="s">
        <v>219</v>
      </c>
      <c r="C7" s="271"/>
      <c r="D7" s="271"/>
      <c r="E7" s="271"/>
      <c r="F7" s="271"/>
      <c r="G7" s="271"/>
      <c r="H7" s="271"/>
      <c r="I7" s="271"/>
      <c r="J7" s="271"/>
      <c r="K7" s="271"/>
      <c r="M7" s="271"/>
      <c r="N7" s="271"/>
      <c r="O7" s="566"/>
    </row>
    <row r="8" spans="1:15">
      <c r="A8" s="305">
        <v>4</v>
      </c>
      <c r="B8" s="269" t="s">
        <v>220</v>
      </c>
      <c r="C8" s="247" t="s">
        <v>579</v>
      </c>
      <c r="D8" s="247" t="s">
        <v>579</v>
      </c>
      <c r="E8" s="247" t="s">
        <v>579</v>
      </c>
      <c r="F8" s="247" t="s">
        <v>579</v>
      </c>
      <c r="G8" s="247" t="s">
        <v>221</v>
      </c>
      <c r="H8" s="247" t="s">
        <v>221</v>
      </c>
      <c r="I8" s="247" t="s">
        <v>221</v>
      </c>
      <c r="J8" s="304" t="s">
        <v>221</v>
      </c>
      <c r="K8" s="304" t="s">
        <v>221</v>
      </c>
      <c r="M8" s="247" t="s">
        <v>221</v>
      </c>
      <c r="N8" s="247" t="s">
        <v>222</v>
      </c>
      <c r="O8" s="566"/>
    </row>
    <row r="9" spans="1:15">
      <c r="A9" s="305">
        <v>5</v>
      </c>
      <c r="B9" s="269" t="s">
        <v>223</v>
      </c>
      <c r="C9" s="247" t="s">
        <v>579</v>
      </c>
      <c r="D9" s="247" t="s">
        <v>579</v>
      </c>
      <c r="E9" s="247" t="s">
        <v>579</v>
      </c>
      <c r="F9" s="247" t="s">
        <v>579</v>
      </c>
      <c r="G9" s="247" t="s">
        <v>221</v>
      </c>
      <c r="H9" s="247" t="s">
        <v>221</v>
      </c>
      <c r="I9" s="247" t="s">
        <v>221</v>
      </c>
      <c r="J9" s="304" t="s">
        <v>221</v>
      </c>
      <c r="K9" s="304" t="s">
        <v>221</v>
      </c>
      <c r="M9" s="304" t="s">
        <v>542</v>
      </c>
      <c r="N9" s="247" t="s">
        <v>222</v>
      </c>
      <c r="O9" s="566"/>
    </row>
    <row r="10" spans="1:15">
      <c r="A10" s="305">
        <v>6</v>
      </c>
      <c r="B10" s="269" t="s">
        <v>224</v>
      </c>
      <c r="C10" s="247" t="s">
        <v>225</v>
      </c>
      <c r="D10" s="247" t="s">
        <v>225</v>
      </c>
      <c r="E10" s="247" t="s">
        <v>225</v>
      </c>
      <c r="F10" s="247" t="s">
        <v>225</v>
      </c>
      <c r="G10" s="247" t="s">
        <v>225</v>
      </c>
      <c r="H10" s="247" t="s">
        <v>225</v>
      </c>
      <c r="I10" s="247" t="s">
        <v>225</v>
      </c>
      <c r="J10" s="304" t="s">
        <v>225</v>
      </c>
      <c r="K10" s="304" t="s">
        <v>225</v>
      </c>
      <c r="M10" s="304" t="s">
        <v>541</v>
      </c>
      <c r="N10" s="304" t="s">
        <v>541</v>
      </c>
    </row>
    <row r="11" spans="1:15">
      <c r="A11" s="305">
        <v>7</v>
      </c>
      <c r="B11" s="86" t="s">
        <v>226</v>
      </c>
      <c r="C11" s="213"/>
      <c r="D11" s="213"/>
      <c r="E11" s="213"/>
      <c r="F11" s="213"/>
      <c r="G11" s="213"/>
      <c r="H11" s="213"/>
      <c r="I11" s="213"/>
      <c r="J11" s="318"/>
      <c r="K11" s="318"/>
      <c r="M11" s="304" t="s">
        <v>90</v>
      </c>
      <c r="N11" s="304" t="s">
        <v>507</v>
      </c>
    </row>
    <row r="12" spans="1:15">
      <c r="A12" s="305">
        <v>8</v>
      </c>
      <c r="B12" s="86" t="s">
        <v>227</v>
      </c>
      <c r="C12" s="247" t="s">
        <v>692</v>
      </c>
      <c r="D12" s="247" t="s">
        <v>656</v>
      </c>
      <c r="E12" s="247" t="s">
        <v>741</v>
      </c>
      <c r="F12" s="247" t="s">
        <v>670</v>
      </c>
      <c r="G12" s="247" t="s">
        <v>659</v>
      </c>
      <c r="H12" s="247" t="s">
        <v>742</v>
      </c>
      <c r="I12" s="247" t="s">
        <v>758</v>
      </c>
      <c r="J12" s="304" t="s">
        <v>799</v>
      </c>
      <c r="K12" s="304" t="s">
        <v>809</v>
      </c>
      <c r="M12" s="304">
        <v>225000000</v>
      </c>
      <c r="N12" s="304">
        <v>300000000</v>
      </c>
    </row>
    <row r="13" spans="1:15">
      <c r="A13" s="305">
        <v>9</v>
      </c>
      <c r="B13" s="86" t="s">
        <v>228</v>
      </c>
      <c r="C13" s="133" t="s">
        <v>580</v>
      </c>
      <c r="D13" s="247" t="s">
        <v>656</v>
      </c>
      <c r="E13" s="247" t="s">
        <v>741</v>
      </c>
      <c r="F13" s="247" t="s">
        <v>670</v>
      </c>
      <c r="G13" s="247" t="s">
        <v>659</v>
      </c>
      <c r="H13" s="247" t="s">
        <v>742</v>
      </c>
      <c r="I13" s="247" t="s">
        <v>758</v>
      </c>
      <c r="J13" s="304" t="s">
        <v>799</v>
      </c>
      <c r="K13" s="304" t="s">
        <v>809</v>
      </c>
      <c r="M13" s="304">
        <v>225000000</v>
      </c>
      <c r="N13" s="304">
        <v>300000000</v>
      </c>
    </row>
    <row r="14" spans="1:15">
      <c r="A14" s="305" t="s">
        <v>527</v>
      </c>
      <c r="B14" s="86" t="s">
        <v>229</v>
      </c>
      <c r="C14" s="247" t="s">
        <v>230</v>
      </c>
      <c r="D14" s="247" t="s">
        <v>230</v>
      </c>
      <c r="E14" s="247" t="s">
        <v>230</v>
      </c>
      <c r="F14" s="247" t="s">
        <v>230</v>
      </c>
      <c r="G14" s="247" t="s">
        <v>230</v>
      </c>
      <c r="H14" s="247" t="s">
        <v>230</v>
      </c>
      <c r="I14" s="247" t="s">
        <v>230</v>
      </c>
      <c r="J14" s="304" t="s">
        <v>230</v>
      </c>
      <c r="K14" s="304" t="s">
        <v>230</v>
      </c>
      <c r="M14" s="304">
        <v>100</v>
      </c>
      <c r="N14" s="304">
        <v>100</v>
      </c>
    </row>
    <row r="15" spans="1:15">
      <c r="A15" s="305" t="s">
        <v>528</v>
      </c>
      <c r="B15" s="86" t="s">
        <v>231</v>
      </c>
      <c r="C15" s="247" t="s">
        <v>232</v>
      </c>
      <c r="D15" s="247" t="s">
        <v>232</v>
      </c>
      <c r="E15" s="247" t="s">
        <v>232</v>
      </c>
      <c r="F15" s="247" t="s">
        <v>232</v>
      </c>
      <c r="G15" s="247" t="s">
        <v>232</v>
      </c>
      <c r="H15" s="247" t="s">
        <v>232</v>
      </c>
      <c r="I15" s="247" t="s">
        <v>232</v>
      </c>
      <c r="J15" s="304" t="s">
        <v>232</v>
      </c>
      <c r="K15" s="304" t="s">
        <v>232</v>
      </c>
      <c r="M15" s="304">
        <v>100</v>
      </c>
      <c r="N15" s="304">
        <v>100</v>
      </c>
    </row>
    <row r="16" spans="1:15">
      <c r="A16" s="305">
        <v>10</v>
      </c>
      <c r="B16" s="86" t="s">
        <v>233</v>
      </c>
      <c r="C16" s="247" t="s">
        <v>234</v>
      </c>
      <c r="D16" s="247" t="s">
        <v>234</v>
      </c>
      <c r="E16" s="247" t="s">
        <v>234</v>
      </c>
      <c r="F16" s="247" t="s">
        <v>234</v>
      </c>
      <c r="G16" s="304" t="s">
        <v>693</v>
      </c>
      <c r="H16" s="304" t="s">
        <v>693</v>
      </c>
      <c r="I16" s="304" t="s">
        <v>693</v>
      </c>
      <c r="J16" s="304" t="s">
        <v>693</v>
      </c>
      <c r="K16" s="304" t="s">
        <v>693</v>
      </c>
      <c r="M16" s="304" t="s">
        <v>537</v>
      </c>
      <c r="N16" s="304" t="s">
        <v>537</v>
      </c>
    </row>
    <row r="17" spans="1:14">
      <c r="A17" s="305">
        <v>11</v>
      </c>
      <c r="B17" s="86" t="s">
        <v>235</v>
      </c>
      <c r="C17" s="317">
        <v>42359</v>
      </c>
      <c r="D17" s="317">
        <v>42864</v>
      </c>
      <c r="E17" s="317">
        <v>42970</v>
      </c>
      <c r="F17" s="317">
        <v>43364</v>
      </c>
      <c r="G17" s="317">
        <v>42915</v>
      </c>
      <c r="H17" s="317">
        <v>43377</v>
      </c>
      <c r="I17" s="317">
        <v>43536</v>
      </c>
      <c r="J17" s="310">
        <v>43621</v>
      </c>
      <c r="K17" s="310">
        <v>43761</v>
      </c>
      <c r="M17" s="310">
        <v>43398</v>
      </c>
      <c r="N17" s="310">
        <v>43817</v>
      </c>
    </row>
    <row r="18" spans="1:14">
      <c r="A18" s="305">
        <v>12</v>
      </c>
      <c r="B18" s="86" t="s">
        <v>236</v>
      </c>
      <c r="C18" s="247" t="s">
        <v>94</v>
      </c>
      <c r="D18" s="247" t="s">
        <v>94</v>
      </c>
      <c r="E18" s="247" t="s">
        <v>94</v>
      </c>
      <c r="F18" s="247" t="s">
        <v>94</v>
      </c>
      <c r="G18" s="247" t="s">
        <v>237</v>
      </c>
      <c r="H18" s="247" t="s">
        <v>237</v>
      </c>
      <c r="I18" s="247" t="s">
        <v>237</v>
      </c>
      <c r="J18" s="304" t="s">
        <v>237</v>
      </c>
      <c r="K18" s="304" t="s">
        <v>237</v>
      </c>
      <c r="M18" s="304" t="s">
        <v>237</v>
      </c>
      <c r="N18" s="304" t="s">
        <v>94</v>
      </c>
    </row>
    <row r="19" spans="1:14">
      <c r="A19" s="305">
        <v>13</v>
      </c>
      <c r="B19" s="86" t="s">
        <v>238</v>
      </c>
      <c r="C19" s="317">
        <v>47838</v>
      </c>
      <c r="D19" s="317">
        <v>46882</v>
      </c>
      <c r="E19" s="317">
        <v>47353</v>
      </c>
      <c r="F19" s="317">
        <v>47017</v>
      </c>
      <c r="G19" s="317" t="s">
        <v>239</v>
      </c>
      <c r="H19" s="317" t="s">
        <v>239</v>
      </c>
      <c r="I19" s="317" t="s">
        <v>239</v>
      </c>
      <c r="J19" s="310" t="s">
        <v>239</v>
      </c>
      <c r="K19" s="310" t="s">
        <v>239</v>
      </c>
      <c r="M19" s="304" t="s">
        <v>239</v>
      </c>
      <c r="N19" s="310">
        <v>47470</v>
      </c>
    </row>
    <row r="20" spans="1:14">
      <c r="A20" s="305">
        <v>14</v>
      </c>
      <c r="B20" s="86" t="s">
        <v>240</v>
      </c>
      <c r="C20" s="247" t="s">
        <v>581</v>
      </c>
      <c r="D20" s="247" t="s">
        <v>241</v>
      </c>
      <c r="E20" s="247" t="s">
        <v>241</v>
      </c>
      <c r="F20" s="247" t="s">
        <v>241</v>
      </c>
      <c r="G20" s="247" t="s">
        <v>241</v>
      </c>
      <c r="H20" s="247" t="s">
        <v>241</v>
      </c>
      <c r="I20" s="247" t="s">
        <v>241</v>
      </c>
      <c r="J20" s="304" t="s">
        <v>241</v>
      </c>
      <c r="K20" s="304" t="s">
        <v>241</v>
      </c>
      <c r="M20" s="304" t="s">
        <v>241</v>
      </c>
      <c r="N20" s="304" t="s">
        <v>241</v>
      </c>
    </row>
    <row r="21" spans="1:14" ht="36">
      <c r="A21" s="305">
        <v>15</v>
      </c>
      <c r="B21" s="86" t="s">
        <v>242</v>
      </c>
      <c r="C21" s="247" t="s">
        <v>265</v>
      </c>
      <c r="D21" s="813">
        <v>45055</v>
      </c>
      <c r="E21" s="317">
        <v>45527</v>
      </c>
      <c r="F21" s="317">
        <v>45190</v>
      </c>
      <c r="G21" s="317">
        <v>44741</v>
      </c>
      <c r="H21" s="317">
        <v>45203</v>
      </c>
      <c r="I21" s="317">
        <v>45363</v>
      </c>
      <c r="J21" s="310">
        <v>45631</v>
      </c>
      <c r="K21" s="310">
        <v>45770</v>
      </c>
      <c r="M21" s="318" t="s">
        <v>806</v>
      </c>
      <c r="N21" s="318" t="s">
        <v>805</v>
      </c>
    </row>
    <row r="22" spans="1:14">
      <c r="A22" s="305">
        <v>16</v>
      </c>
      <c r="B22" s="86" t="s">
        <v>243</v>
      </c>
      <c r="C22" s="247" t="s">
        <v>265</v>
      </c>
      <c r="D22" s="247" t="s">
        <v>244</v>
      </c>
      <c r="E22" s="247" t="s">
        <v>244</v>
      </c>
      <c r="F22" s="247" t="s">
        <v>244</v>
      </c>
      <c r="G22" s="247" t="s">
        <v>265</v>
      </c>
      <c r="H22" s="247" t="s">
        <v>265</v>
      </c>
      <c r="I22" s="247" t="s">
        <v>265</v>
      </c>
      <c r="J22" s="304" t="s">
        <v>265</v>
      </c>
      <c r="K22" s="304" t="s">
        <v>265</v>
      </c>
      <c r="M22" s="304" t="s">
        <v>538</v>
      </c>
      <c r="N22" s="304" t="s">
        <v>538</v>
      </c>
    </row>
    <row r="23" spans="1:14" ht="13.5" thickBot="1">
      <c r="A23" s="306"/>
      <c r="B23" s="272" t="s">
        <v>245</v>
      </c>
      <c r="C23" s="271"/>
      <c r="D23" s="271"/>
      <c r="E23" s="271"/>
      <c r="F23" s="271"/>
      <c r="G23" s="271"/>
      <c r="H23" s="271"/>
      <c r="I23" s="271"/>
      <c r="J23" s="271"/>
      <c r="K23" s="271"/>
      <c r="M23" s="271"/>
      <c r="N23" s="271"/>
    </row>
    <row r="24" spans="1:14">
      <c r="A24" s="305">
        <v>17</v>
      </c>
      <c r="B24" s="86" t="s">
        <v>246</v>
      </c>
      <c r="C24" s="247" t="s">
        <v>247</v>
      </c>
      <c r="D24" s="247" t="s">
        <v>248</v>
      </c>
      <c r="E24" s="247" t="s">
        <v>248</v>
      </c>
      <c r="F24" s="247" t="s">
        <v>248</v>
      </c>
      <c r="G24" s="247" t="s">
        <v>248</v>
      </c>
      <c r="H24" s="247" t="s">
        <v>248</v>
      </c>
      <c r="I24" s="247" t="s">
        <v>248</v>
      </c>
      <c r="J24" s="304" t="s">
        <v>248</v>
      </c>
      <c r="K24" s="304" t="s">
        <v>248</v>
      </c>
      <c r="M24" s="247" t="s">
        <v>248</v>
      </c>
      <c r="N24" s="247" t="s">
        <v>248</v>
      </c>
    </row>
    <row r="25" spans="1:14" ht="25.5" customHeight="1">
      <c r="A25" s="309">
        <v>18</v>
      </c>
      <c r="B25" s="86" t="s">
        <v>249</v>
      </c>
      <c r="C25" s="270" t="s">
        <v>582</v>
      </c>
      <c r="D25" s="270" t="s">
        <v>660</v>
      </c>
      <c r="E25" s="270" t="s">
        <v>671</v>
      </c>
      <c r="F25" s="270" t="s">
        <v>671</v>
      </c>
      <c r="G25" s="270" t="s">
        <v>661</v>
      </c>
      <c r="H25" s="270" t="s">
        <v>743</v>
      </c>
      <c r="I25" s="270" t="s">
        <v>743</v>
      </c>
      <c r="J25" s="610" t="s">
        <v>800</v>
      </c>
      <c r="K25" s="610" t="s">
        <v>810</v>
      </c>
      <c r="M25" s="314" t="s">
        <v>744</v>
      </c>
      <c r="N25" s="314" t="s">
        <v>804</v>
      </c>
    </row>
    <row r="26" spans="1:14">
      <c r="A26" s="305">
        <v>19</v>
      </c>
      <c r="B26" s="86" t="s">
        <v>250</v>
      </c>
      <c r="C26" s="247" t="s">
        <v>251</v>
      </c>
      <c r="D26" s="247" t="s">
        <v>251</v>
      </c>
      <c r="E26" s="247" t="s">
        <v>251</v>
      </c>
      <c r="F26" s="247" t="s">
        <v>251</v>
      </c>
      <c r="G26" s="247" t="s">
        <v>251</v>
      </c>
      <c r="H26" s="247" t="s">
        <v>251</v>
      </c>
      <c r="I26" s="247" t="s">
        <v>251</v>
      </c>
      <c r="J26" s="304" t="s">
        <v>251</v>
      </c>
      <c r="K26" s="304" t="s">
        <v>251</v>
      </c>
      <c r="M26" s="304" t="s">
        <v>251</v>
      </c>
      <c r="N26" s="304" t="s">
        <v>251</v>
      </c>
    </row>
    <row r="27" spans="1:14">
      <c r="A27" s="305" t="s">
        <v>252</v>
      </c>
      <c r="B27" s="86" t="s">
        <v>253</v>
      </c>
      <c r="C27" s="247" t="s">
        <v>254</v>
      </c>
      <c r="D27" s="247" t="s">
        <v>254</v>
      </c>
      <c r="E27" s="247" t="s">
        <v>254</v>
      </c>
      <c r="F27" s="247" t="s">
        <v>254</v>
      </c>
      <c r="G27" s="247" t="s">
        <v>745</v>
      </c>
      <c r="H27" s="247" t="s">
        <v>745</v>
      </c>
      <c r="I27" s="247" t="s">
        <v>745</v>
      </c>
      <c r="J27" s="304" t="s">
        <v>745</v>
      </c>
      <c r="K27" s="304" t="s">
        <v>745</v>
      </c>
      <c r="M27" s="304" t="s">
        <v>539</v>
      </c>
      <c r="N27" s="304" t="s">
        <v>254</v>
      </c>
    </row>
    <row r="28" spans="1:14">
      <c r="A28" s="305" t="s">
        <v>255</v>
      </c>
      <c r="B28" s="86" t="s">
        <v>256</v>
      </c>
      <c r="C28" s="247" t="s">
        <v>254</v>
      </c>
      <c r="D28" s="247" t="s">
        <v>254</v>
      </c>
      <c r="E28" s="247" t="s">
        <v>254</v>
      </c>
      <c r="F28" s="247" t="s">
        <v>254</v>
      </c>
      <c r="G28" s="247" t="s">
        <v>254</v>
      </c>
      <c r="H28" s="247" t="s">
        <v>254</v>
      </c>
      <c r="I28" s="247" t="s">
        <v>254</v>
      </c>
      <c r="J28" s="304" t="s">
        <v>254</v>
      </c>
      <c r="K28" s="304" t="s">
        <v>254</v>
      </c>
      <c r="M28" s="304" t="s">
        <v>539</v>
      </c>
      <c r="N28" s="304" t="s">
        <v>254</v>
      </c>
    </row>
    <row r="29" spans="1:14">
      <c r="A29" s="309">
        <v>21</v>
      </c>
      <c r="B29" s="86" t="s">
        <v>257</v>
      </c>
      <c r="C29" s="247" t="s">
        <v>251</v>
      </c>
      <c r="D29" s="247" t="s">
        <v>251</v>
      </c>
      <c r="E29" s="247" t="s">
        <v>251</v>
      </c>
      <c r="F29" s="247" t="s">
        <v>251</v>
      </c>
      <c r="G29" s="247" t="s">
        <v>251</v>
      </c>
      <c r="H29" s="247" t="s">
        <v>251</v>
      </c>
      <c r="I29" s="247" t="s">
        <v>251</v>
      </c>
      <c r="J29" s="304" t="s">
        <v>251</v>
      </c>
      <c r="K29" s="304" t="s">
        <v>251</v>
      </c>
      <c r="M29" s="304" t="s">
        <v>251</v>
      </c>
      <c r="N29" s="304" t="s">
        <v>251</v>
      </c>
    </row>
    <row r="30" spans="1:14">
      <c r="A30" s="305">
        <v>22</v>
      </c>
      <c r="B30" s="86" t="s">
        <v>258</v>
      </c>
      <c r="C30" s="247" t="s">
        <v>260</v>
      </c>
      <c r="D30" s="247" t="s">
        <v>260</v>
      </c>
      <c r="E30" s="247" t="s">
        <v>260</v>
      </c>
      <c r="F30" s="247" t="s">
        <v>260</v>
      </c>
      <c r="G30" s="247" t="s">
        <v>259</v>
      </c>
      <c r="H30" s="247" t="s">
        <v>259</v>
      </c>
      <c r="I30" s="247" t="s">
        <v>259</v>
      </c>
      <c r="J30" s="304" t="s">
        <v>259</v>
      </c>
      <c r="K30" s="304" t="s">
        <v>259</v>
      </c>
      <c r="M30" s="304" t="s">
        <v>251</v>
      </c>
      <c r="N30" s="304" t="s">
        <v>251</v>
      </c>
    </row>
    <row r="31" spans="1:14" ht="13.5" thickBot="1">
      <c r="A31" s="306"/>
      <c r="B31" s="272" t="s">
        <v>261</v>
      </c>
      <c r="C31" s="271"/>
      <c r="D31" s="271"/>
      <c r="E31" s="271"/>
      <c r="F31" s="271"/>
      <c r="G31" s="271"/>
      <c r="H31" s="271"/>
      <c r="I31" s="271"/>
      <c r="J31" s="271"/>
      <c r="K31" s="271"/>
      <c r="M31" s="271"/>
      <c r="N31" s="271"/>
    </row>
    <row r="32" spans="1:14" ht="13.5" customHeight="1">
      <c r="A32" s="309">
        <v>23</v>
      </c>
      <c r="B32" s="86" t="s">
        <v>262</v>
      </c>
      <c r="C32" s="247" t="s">
        <v>263</v>
      </c>
      <c r="D32" s="247" t="s">
        <v>263</v>
      </c>
      <c r="E32" s="247" t="s">
        <v>263</v>
      </c>
      <c r="F32" s="247" t="s">
        <v>263</v>
      </c>
      <c r="G32" s="247" t="s">
        <v>263</v>
      </c>
      <c r="H32" s="247" t="s">
        <v>263</v>
      </c>
      <c r="I32" s="247" t="s">
        <v>263</v>
      </c>
      <c r="J32" s="304" t="s">
        <v>263</v>
      </c>
      <c r="K32" s="304" t="s">
        <v>263</v>
      </c>
      <c r="M32" s="247" t="s">
        <v>263</v>
      </c>
      <c r="N32" s="247" t="s">
        <v>263</v>
      </c>
    </row>
    <row r="33" spans="1:15">
      <c r="A33" s="305">
        <v>24</v>
      </c>
      <c r="B33" s="86" t="s">
        <v>264</v>
      </c>
      <c r="C33" s="247" t="s">
        <v>265</v>
      </c>
      <c r="D33" s="247" t="s">
        <v>265</v>
      </c>
      <c r="E33" s="247" t="s">
        <v>265</v>
      </c>
      <c r="F33" s="247" t="s">
        <v>265</v>
      </c>
      <c r="G33" s="247" t="s">
        <v>265</v>
      </c>
      <c r="H33" s="247" t="s">
        <v>265</v>
      </c>
      <c r="I33" s="247" t="s">
        <v>265</v>
      </c>
      <c r="J33" s="304" t="s">
        <v>265</v>
      </c>
      <c r="K33" s="304" t="s">
        <v>265</v>
      </c>
      <c r="M33" s="304" t="s">
        <v>265</v>
      </c>
      <c r="N33" s="304" t="s">
        <v>265</v>
      </c>
    </row>
    <row r="34" spans="1:15" ht="12.75" customHeight="1">
      <c r="A34" s="305">
        <v>25</v>
      </c>
      <c r="B34" s="86" t="s">
        <v>266</v>
      </c>
      <c r="C34" s="247" t="s">
        <v>265</v>
      </c>
      <c r="D34" s="247" t="s">
        <v>265</v>
      </c>
      <c r="E34" s="247" t="s">
        <v>265</v>
      </c>
      <c r="F34" s="247" t="s">
        <v>265</v>
      </c>
      <c r="G34" s="247" t="s">
        <v>265</v>
      </c>
      <c r="H34" s="247" t="s">
        <v>265</v>
      </c>
      <c r="I34" s="247" t="s">
        <v>265</v>
      </c>
      <c r="J34" s="304" t="s">
        <v>265</v>
      </c>
      <c r="K34" s="304" t="s">
        <v>265</v>
      </c>
      <c r="M34" s="304" t="s">
        <v>265</v>
      </c>
      <c r="N34" s="304" t="s">
        <v>265</v>
      </c>
    </row>
    <row r="35" spans="1:15">
      <c r="A35" s="305">
        <v>26</v>
      </c>
      <c r="B35" s="86" t="s">
        <v>267</v>
      </c>
      <c r="C35" s="247" t="s">
        <v>265</v>
      </c>
      <c r="D35" s="247" t="s">
        <v>265</v>
      </c>
      <c r="E35" s="247" t="s">
        <v>265</v>
      </c>
      <c r="F35" s="247" t="s">
        <v>265</v>
      </c>
      <c r="G35" s="247" t="s">
        <v>265</v>
      </c>
      <c r="H35" s="247" t="s">
        <v>265</v>
      </c>
      <c r="I35" s="247" t="s">
        <v>265</v>
      </c>
      <c r="J35" s="304" t="s">
        <v>265</v>
      </c>
      <c r="K35" s="304" t="s">
        <v>265</v>
      </c>
      <c r="M35" s="304" t="s">
        <v>265</v>
      </c>
      <c r="N35" s="304" t="s">
        <v>265</v>
      </c>
    </row>
    <row r="36" spans="1:15">
      <c r="A36" s="305">
        <v>27</v>
      </c>
      <c r="B36" s="86" t="s">
        <v>268</v>
      </c>
      <c r="C36" s="247" t="s">
        <v>265</v>
      </c>
      <c r="D36" s="247" t="s">
        <v>265</v>
      </c>
      <c r="E36" s="247" t="s">
        <v>265</v>
      </c>
      <c r="F36" s="247" t="s">
        <v>265</v>
      </c>
      <c r="G36" s="247" t="s">
        <v>265</v>
      </c>
      <c r="H36" s="247" t="s">
        <v>265</v>
      </c>
      <c r="I36" s="247" t="s">
        <v>265</v>
      </c>
      <c r="J36" s="304" t="s">
        <v>265</v>
      </c>
      <c r="K36" s="304" t="s">
        <v>265</v>
      </c>
      <c r="M36" s="304" t="s">
        <v>265</v>
      </c>
      <c r="N36" s="304" t="s">
        <v>265</v>
      </c>
    </row>
    <row r="37" spans="1:15">
      <c r="A37" s="305">
        <v>28</v>
      </c>
      <c r="B37" s="86" t="s">
        <v>269</v>
      </c>
      <c r="C37" s="247" t="s">
        <v>265</v>
      </c>
      <c r="D37" s="247" t="s">
        <v>265</v>
      </c>
      <c r="E37" s="247" t="s">
        <v>265</v>
      </c>
      <c r="F37" s="247" t="s">
        <v>265</v>
      </c>
      <c r="G37" s="247" t="s">
        <v>265</v>
      </c>
      <c r="H37" s="247" t="s">
        <v>265</v>
      </c>
      <c r="I37" s="247" t="s">
        <v>265</v>
      </c>
      <c r="J37" s="304" t="s">
        <v>265</v>
      </c>
      <c r="K37" s="304" t="s">
        <v>265</v>
      </c>
      <c r="M37" s="304" t="s">
        <v>265</v>
      </c>
      <c r="N37" s="304" t="s">
        <v>265</v>
      </c>
    </row>
    <row r="38" spans="1:15">
      <c r="A38" s="305">
        <v>29</v>
      </c>
      <c r="B38" s="86" t="s">
        <v>270</v>
      </c>
      <c r="C38" s="247" t="s">
        <v>265</v>
      </c>
      <c r="D38" s="247" t="s">
        <v>265</v>
      </c>
      <c r="E38" s="247" t="s">
        <v>265</v>
      </c>
      <c r="F38" s="247" t="s">
        <v>265</v>
      </c>
      <c r="G38" s="247" t="s">
        <v>265</v>
      </c>
      <c r="H38" s="247" t="s">
        <v>265</v>
      </c>
      <c r="I38" s="247" t="s">
        <v>265</v>
      </c>
      <c r="J38" s="304" t="s">
        <v>265</v>
      </c>
      <c r="K38" s="304" t="s">
        <v>265</v>
      </c>
      <c r="M38" s="304" t="s">
        <v>265</v>
      </c>
      <c r="N38" s="304" t="s">
        <v>265</v>
      </c>
    </row>
    <row r="39" spans="1:15">
      <c r="A39" s="309">
        <v>30</v>
      </c>
      <c r="B39" s="86" t="s">
        <v>271</v>
      </c>
      <c r="C39" s="247" t="s">
        <v>265</v>
      </c>
      <c r="D39" s="247" t="s">
        <v>265</v>
      </c>
      <c r="E39" s="247" t="s">
        <v>265</v>
      </c>
      <c r="F39" s="247" t="s">
        <v>265</v>
      </c>
      <c r="G39" s="247" t="s">
        <v>241</v>
      </c>
      <c r="H39" s="247" t="s">
        <v>241</v>
      </c>
      <c r="I39" s="247" t="s">
        <v>241</v>
      </c>
      <c r="J39" s="304" t="s">
        <v>241</v>
      </c>
      <c r="K39" s="304" t="s">
        <v>241</v>
      </c>
      <c r="M39" s="304" t="s">
        <v>241</v>
      </c>
      <c r="N39" s="304" t="s">
        <v>251</v>
      </c>
    </row>
    <row r="40" spans="1:15" ht="72">
      <c r="A40" s="309">
        <v>31</v>
      </c>
      <c r="B40" s="86" t="s">
        <v>272</v>
      </c>
      <c r="C40" s="247" t="s">
        <v>265</v>
      </c>
      <c r="D40" s="247" t="s">
        <v>265</v>
      </c>
      <c r="E40" s="247" t="s">
        <v>265</v>
      </c>
      <c r="F40" s="247" t="s">
        <v>265</v>
      </c>
      <c r="G40" s="213" t="s">
        <v>746</v>
      </c>
      <c r="H40" s="213" t="s">
        <v>746</v>
      </c>
      <c r="I40" s="213" t="s">
        <v>746</v>
      </c>
      <c r="J40" s="318" t="s">
        <v>746</v>
      </c>
      <c r="K40" s="318" t="s">
        <v>746</v>
      </c>
      <c r="M40" s="312" t="s">
        <v>749</v>
      </c>
      <c r="N40" s="304" t="s">
        <v>265</v>
      </c>
    </row>
    <row r="41" spans="1:15">
      <c r="A41" s="309">
        <v>32</v>
      </c>
      <c r="B41" s="86" t="s">
        <v>273</v>
      </c>
      <c r="C41" s="247" t="s">
        <v>265</v>
      </c>
      <c r="D41" s="247" t="s">
        <v>265</v>
      </c>
      <c r="E41" s="247" t="s">
        <v>265</v>
      </c>
      <c r="F41" s="247" t="s">
        <v>265</v>
      </c>
      <c r="G41" s="247" t="s">
        <v>274</v>
      </c>
      <c r="H41" s="247" t="s">
        <v>274</v>
      </c>
      <c r="I41" s="247" t="s">
        <v>274</v>
      </c>
      <c r="J41" s="304" t="s">
        <v>274</v>
      </c>
      <c r="K41" s="304" t="s">
        <v>274</v>
      </c>
      <c r="M41" s="304" t="s">
        <v>274</v>
      </c>
      <c r="N41" s="304" t="s">
        <v>265</v>
      </c>
    </row>
    <row r="42" spans="1:15">
      <c r="A42" s="305">
        <v>33</v>
      </c>
      <c r="B42" s="86" t="s">
        <v>275</v>
      </c>
      <c r="C42" s="247" t="s">
        <v>265</v>
      </c>
      <c r="D42" s="247" t="s">
        <v>265</v>
      </c>
      <c r="E42" s="247" t="s">
        <v>265</v>
      </c>
      <c r="F42" s="247" t="s">
        <v>265</v>
      </c>
      <c r="G42" s="247" t="s">
        <v>276</v>
      </c>
      <c r="H42" s="247" t="s">
        <v>276</v>
      </c>
      <c r="I42" s="247" t="s">
        <v>276</v>
      </c>
      <c r="J42" s="304" t="s">
        <v>276</v>
      </c>
      <c r="K42" s="304" t="s">
        <v>276</v>
      </c>
      <c r="M42" s="304" t="s">
        <v>276</v>
      </c>
      <c r="N42" s="304" t="s">
        <v>265</v>
      </c>
    </row>
    <row r="43" spans="1:15" ht="24">
      <c r="A43" s="309">
        <v>34</v>
      </c>
      <c r="B43" s="86" t="s">
        <v>277</v>
      </c>
      <c r="C43" s="247" t="s">
        <v>265</v>
      </c>
      <c r="D43" s="247" t="s">
        <v>265</v>
      </c>
      <c r="E43" s="247" t="s">
        <v>265</v>
      </c>
      <c r="F43" s="247" t="s">
        <v>265</v>
      </c>
      <c r="G43" s="213" t="s">
        <v>662</v>
      </c>
      <c r="H43" s="213" t="s">
        <v>662</v>
      </c>
      <c r="I43" s="213" t="s">
        <v>662</v>
      </c>
      <c r="J43" s="304" t="s">
        <v>662</v>
      </c>
      <c r="K43" s="304" t="s">
        <v>662</v>
      </c>
      <c r="M43" s="315" t="s">
        <v>662</v>
      </c>
      <c r="N43" s="304" t="s">
        <v>265</v>
      </c>
    </row>
    <row r="44" spans="1:15" ht="48">
      <c r="A44" s="309">
        <v>35</v>
      </c>
      <c r="B44" s="86" t="s">
        <v>278</v>
      </c>
      <c r="C44" s="247" t="s">
        <v>279</v>
      </c>
      <c r="D44" s="247" t="s">
        <v>279</v>
      </c>
      <c r="E44" s="247" t="s">
        <v>279</v>
      </c>
      <c r="F44" s="247" t="s">
        <v>279</v>
      </c>
      <c r="G44" s="247" t="s">
        <v>222</v>
      </c>
      <c r="H44" s="247" t="s">
        <v>222</v>
      </c>
      <c r="I44" s="247" t="s">
        <v>222</v>
      </c>
      <c r="J44" s="304" t="s">
        <v>222</v>
      </c>
      <c r="K44" s="304" t="s">
        <v>222</v>
      </c>
      <c r="M44" s="313" t="s">
        <v>747</v>
      </c>
      <c r="N44" s="311" t="s">
        <v>557</v>
      </c>
    </row>
    <row r="45" spans="1:15">
      <c r="A45" s="305">
        <v>36</v>
      </c>
      <c r="B45" s="86" t="s">
        <v>280</v>
      </c>
      <c r="C45" s="247" t="s">
        <v>265</v>
      </c>
      <c r="D45" s="247" t="s">
        <v>265</v>
      </c>
      <c r="E45" s="247" t="s">
        <v>265</v>
      </c>
      <c r="F45" s="247" t="s">
        <v>265</v>
      </c>
      <c r="G45" s="247" t="s">
        <v>265</v>
      </c>
      <c r="H45" s="247" t="s">
        <v>265</v>
      </c>
      <c r="I45" s="213" t="s">
        <v>265</v>
      </c>
      <c r="J45" s="318" t="s">
        <v>265</v>
      </c>
      <c r="K45" s="318" t="s">
        <v>265</v>
      </c>
      <c r="M45" s="304" t="s">
        <v>251</v>
      </c>
      <c r="N45" s="304" t="s">
        <v>251</v>
      </c>
    </row>
    <row r="46" spans="1:15">
      <c r="A46" s="305">
        <v>37</v>
      </c>
      <c r="B46" s="86" t="s">
        <v>281</v>
      </c>
      <c r="C46" s="247" t="s">
        <v>265</v>
      </c>
      <c r="D46" s="247" t="s">
        <v>265</v>
      </c>
      <c r="E46" s="247" t="s">
        <v>265</v>
      </c>
      <c r="F46" s="247" t="s">
        <v>265</v>
      </c>
      <c r="G46" s="247" t="s">
        <v>265</v>
      </c>
      <c r="H46" s="247" t="s">
        <v>265</v>
      </c>
      <c r="I46" s="247" t="s">
        <v>265</v>
      </c>
      <c r="J46" s="304" t="s">
        <v>265</v>
      </c>
      <c r="K46" s="304" t="s">
        <v>265</v>
      </c>
      <c r="M46" s="304" t="s">
        <v>265</v>
      </c>
      <c r="N46" s="304" t="s">
        <v>265</v>
      </c>
    </row>
    <row r="47" spans="1:15">
      <c r="B47" s="266"/>
      <c r="C47" s="266"/>
      <c r="D47" s="266"/>
      <c r="E47" s="266"/>
      <c r="F47" s="266"/>
      <c r="I47" s="247"/>
      <c r="M47" s="566"/>
      <c r="N47" s="602"/>
      <c r="O47" s="566"/>
    </row>
    <row r="48" spans="1:15">
      <c r="I48" s="247"/>
    </row>
    <row r="49" spans="1:14">
      <c r="A49" s="86"/>
      <c r="B49" s="86"/>
      <c r="C49" s="361"/>
      <c r="D49" s="361"/>
      <c r="E49" s="361"/>
      <c r="F49" s="361"/>
      <c r="I49" s="247"/>
      <c r="M49" s="566"/>
      <c r="N49" s="602"/>
    </row>
    <row r="50" spans="1:14">
      <c r="A50" s="86"/>
      <c r="B50" s="86"/>
      <c r="C50" s="360"/>
      <c r="D50" s="360"/>
      <c r="E50" s="360"/>
      <c r="F50" s="360"/>
      <c r="I50" s="304"/>
      <c r="J50" s="304"/>
      <c r="K50" s="304"/>
    </row>
    <row r="51" spans="1:14">
      <c r="A51" s="86"/>
      <c r="B51" s="86"/>
      <c r="I51" s="317"/>
      <c r="J51" s="317"/>
      <c r="K51" s="317"/>
    </row>
    <row r="52" spans="1:14">
      <c r="I52" s="247"/>
      <c r="J52" s="247"/>
      <c r="K52" s="247"/>
    </row>
    <row r="53" spans="1:14">
      <c r="I53" s="317"/>
      <c r="J53" s="317"/>
      <c r="K53" s="317"/>
    </row>
    <row r="54" spans="1:14">
      <c r="I54" s="247"/>
      <c r="J54" s="247"/>
      <c r="K54" s="247"/>
    </row>
    <row r="55" spans="1:14">
      <c r="I55" s="317"/>
      <c r="J55" s="317"/>
      <c r="K55" s="317"/>
    </row>
    <row r="68" spans="9:11">
      <c r="I68" s="247"/>
      <c r="J68" s="247"/>
      <c r="K68" s="247"/>
    </row>
    <row r="69" spans="9:11">
      <c r="I69" s="247"/>
      <c r="J69" s="247"/>
      <c r="K69" s="247"/>
    </row>
    <row r="70" spans="9:11">
      <c r="I70" s="247"/>
      <c r="J70" s="247"/>
      <c r="K70" s="247"/>
    </row>
    <row r="71" spans="9:11">
      <c r="I71" s="247"/>
      <c r="J71" s="247"/>
      <c r="K71" s="247"/>
    </row>
    <row r="72" spans="9:11">
      <c r="I72" s="247"/>
      <c r="J72" s="247"/>
      <c r="K72" s="247"/>
    </row>
    <row r="73" spans="9:11">
      <c r="I73" s="247"/>
      <c r="J73" s="247"/>
      <c r="K73" s="247"/>
    </row>
    <row r="74" spans="9:11">
      <c r="I74" s="247"/>
      <c r="J74" s="247"/>
      <c r="K74" s="247"/>
    </row>
    <row r="75" spans="9:11">
      <c r="I75" s="247"/>
      <c r="J75" s="247"/>
      <c r="K75" s="247"/>
    </row>
    <row r="76" spans="9:11">
      <c r="I76" s="213"/>
      <c r="J76" s="213"/>
      <c r="K76" s="213"/>
    </row>
    <row r="77" spans="9:11">
      <c r="I77" s="247"/>
      <c r="J77" s="247"/>
      <c r="K77" s="247"/>
    </row>
    <row r="78" spans="9:11">
      <c r="I78" s="247"/>
      <c r="J78" s="247"/>
      <c r="K78" s="247"/>
    </row>
    <row r="79" spans="9:11">
      <c r="I79" s="247"/>
      <c r="J79" s="247"/>
      <c r="K79" s="247"/>
    </row>
    <row r="80" spans="9:11">
      <c r="I80" s="247"/>
      <c r="J80" s="247"/>
      <c r="K80" s="247"/>
    </row>
    <row r="81" spans="9:11">
      <c r="I81" s="247"/>
      <c r="J81" s="247"/>
      <c r="K81" s="247"/>
    </row>
    <row r="82" spans="9:11">
      <c r="I82" s="247"/>
      <c r="J82" s="247"/>
      <c r="K82" s="247"/>
    </row>
    <row r="83" spans="9:11">
      <c r="I83" s="247"/>
      <c r="J83" s="247"/>
      <c r="K83" s="247"/>
    </row>
  </sheetData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9"/>
  <sheetViews>
    <sheetView zoomScaleNormal="100" workbookViewId="0">
      <selection activeCell="A24" sqref="A24"/>
    </sheetView>
  </sheetViews>
  <sheetFormatPr baseColWidth="10" defaultColWidth="11" defaultRowHeight="12"/>
  <cols>
    <col min="1" max="1" width="23.125" style="244" customWidth="1"/>
    <col min="2" max="2" width="9.5" style="244" customWidth="1"/>
    <col min="3" max="3" width="10.25" style="244" customWidth="1"/>
    <col min="4" max="4" width="11.25" style="244" customWidth="1"/>
    <col min="5" max="5" width="17.5" style="244" customWidth="1"/>
    <col min="6" max="6" width="10.625" style="244" customWidth="1"/>
    <col min="7" max="7" width="11.625" style="244" customWidth="1"/>
    <col min="8" max="16384" width="11" style="186"/>
  </cols>
  <sheetData>
    <row r="1" spans="1:7" ht="21">
      <c r="A1" s="549" t="s">
        <v>105</v>
      </c>
      <c r="B1" s="85"/>
      <c r="C1" s="85"/>
      <c r="D1" s="85"/>
      <c r="E1" s="811" t="s">
        <v>892</v>
      </c>
      <c r="F1" s="86"/>
    </row>
    <row r="2" spans="1:7" ht="14.25">
      <c r="A2" s="87" t="s">
        <v>894</v>
      </c>
      <c r="B2" s="87"/>
      <c r="C2" s="87"/>
      <c r="D2" s="249"/>
      <c r="E2" s="87"/>
      <c r="F2" s="86"/>
    </row>
    <row r="3" spans="1:7">
      <c r="A3" s="87" t="s">
        <v>895</v>
      </c>
      <c r="B3" s="87"/>
      <c r="C3" s="87"/>
      <c r="D3" s="87"/>
      <c r="E3" s="87"/>
      <c r="F3" s="86"/>
    </row>
    <row r="4" spans="1:7" ht="12" customHeight="1">
      <c r="A4" s="87"/>
      <c r="B4" s="87"/>
      <c r="C4" s="87"/>
      <c r="D4" s="87"/>
      <c r="E4" s="87"/>
      <c r="F4" s="86"/>
    </row>
    <row r="5" spans="1:7">
      <c r="A5" s="86"/>
      <c r="B5" s="88"/>
      <c r="C5" s="88"/>
      <c r="D5" s="89"/>
      <c r="E5" s="86"/>
      <c r="F5" s="86"/>
    </row>
    <row r="6" spans="1:7">
      <c r="A6" s="86"/>
      <c r="B6" s="88"/>
      <c r="C6" s="88"/>
      <c r="D6" s="89"/>
      <c r="E6" s="86"/>
      <c r="F6" s="86"/>
    </row>
    <row r="7" spans="1:7">
      <c r="A7" s="86"/>
      <c r="B7" s="88"/>
      <c r="C7" s="88"/>
      <c r="D7" s="89"/>
      <c r="E7" s="86"/>
      <c r="F7" s="86"/>
    </row>
    <row r="8" spans="1:7" ht="21">
      <c r="A8" s="751" t="s">
        <v>106</v>
      </c>
      <c r="B8" s="88"/>
      <c r="C8" s="88"/>
      <c r="D8" s="89"/>
      <c r="E8" s="86"/>
      <c r="F8" s="86"/>
      <c r="G8" s="355"/>
    </row>
    <row r="9" spans="1:7">
      <c r="A9" s="87" t="s">
        <v>668</v>
      </c>
      <c r="B9" s="87"/>
      <c r="C9" s="87"/>
      <c r="D9" s="87"/>
      <c r="E9" s="87"/>
      <c r="F9" s="86"/>
      <c r="G9" s="355"/>
    </row>
    <row r="10" spans="1:7" s="244" customFormat="1">
      <c r="A10" s="87" t="s">
        <v>188</v>
      </c>
      <c r="B10" s="87"/>
      <c r="C10" s="87"/>
      <c r="D10" s="87"/>
      <c r="E10" s="87"/>
      <c r="F10" s="86"/>
      <c r="G10" s="355"/>
    </row>
    <row r="11" spans="1:7" s="244" customFormat="1">
      <c r="A11" s="86"/>
      <c r="B11" s="88"/>
      <c r="C11" s="88"/>
      <c r="D11" s="89"/>
      <c r="E11" s="86"/>
      <c r="F11" s="86"/>
      <c r="G11" s="355"/>
    </row>
    <row r="12" spans="1:7">
      <c r="A12" s="749"/>
      <c r="B12" s="749"/>
      <c r="C12" s="749"/>
      <c r="D12" s="749"/>
      <c r="E12" s="749"/>
      <c r="F12" s="749"/>
    </row>
    <row r="13" spans="1:7" ht="21">
      <c r="A13" s="751" t="s">
        <v>105</v>
      </c>
      <c r="B13" s="749"/>
      <c r="C13" s="749"/>
      <c r="D13" s="749"/>
      <c r="E13" s="749"/>
      <c r="F13" s="749"/>
    </row>
    <row r="14" spans="1:7">
      <c r="A14" s="749"/>
      <c r="B14" s="749"/>
      <c r="C14" s="749"/>
      <c r="D14" s="749"/>
      <c r="E14" s="749"/>
      <c r="F14" s="749"/>
    </row>
    <row r="15" spans="1:7" ht="39" thickBot="1">
      <c r="A15" s="734" t="s">
        <v>98</v>
      </c>
      <c r="B15" s="678" t="s">
        <v>871</v>
      </c>
      <c r="C15" s="678" t="s">
        <v>872</v>
      </c>
      <c r="D15" s="678" t="s">
        <v>873</v>
      </c>
      <c r="E15" s="752" t="s">
        <v>859</v>
      </c>
      <c r="F15" s="752" t="s">
        <v>860</v>
      </c>
      <c r="G15" s="91" t="s">
        <v>840</v>
      </c>
    </row>
    <row r="16" spans="1:7" ht="14.25" customHeight="1">
      <c r="A16" s="749" t="s">
        <v>87</v>
      </c>
      <c r="B16" s="250">
        <v>0</v>
      </c>
      <c r="C16" s="18">
        <v>0</v>
      </c>
      <c r="D16" s="435">
        <v>0</v>
      </c>
      <c r="E16" s="250">
        <v>15.63</v>
      </c>
      <c r="F16" s="18">
        <v>1564</v>
      </c>
      <c r="G16" s="435">
        <v>20.260000000000002</v>
      </c>
    </row>
    <row r="17" spans="1:7" s="244" customFormat="1" ht="14.25">
      <c r="A17" s="749" t="s">
        <v>654</v>
      </c>
      <c r="B17" s="250">
        <v>35.020000000000003</v>
      </c>
      <c r="C17" s="18">
        <v>7949</v>
      </c>
      <c r="D17" s="435">
        <v>18.95</v>
      </c>
      <c r="E17" s="250">
        <v>35.020000000000003</v>
      </c>
      <c r="F17" s="18">
        <v>6482</v>
      </c>
      <c r="G17" s="435">
        <v>22.53</v>
      </c>
    </row>
    <row r="18" spans="1:7" ht="14.25" customHeight="1">
      <c r="A18" s="86" t="s">
        <v>837</v>
      </c>
      <c r="B18" s="778">
        <v>17.059999999999999</v>
      </c>
      <c r="C18" s="252">
        <v>899</v>
      </c>
      <c r="D18" s="779">
        <v>18.079999999999998</v>
      </c>
      <c r="E18" s="778">
        <v>17.670000000000002</v>
      </c>
      <c r="F18" s="252">
        <v>883</v>
      </c>
      <c r="G18" s="779">
        <v>19.23</v>
      </c>
    </row>
    <row r="19" spans="1:7" s="244" customFormat="1">
      <c r="A19" s="86" t="s">
        <v>893</v>
      </c>
      <c r="B19" s="778">
        <v>24.89</v>
      </c>
      <c r="C19" s="252">
        <v>264</v>
      </c>
      <c r="D19" s="779">
        <v>24.56</v>
      </c>
      <c r="E19" s="247" t="s">
        <v>265</v>
      </c>
      <c r="F19" s="247" t="s">
        <v>265</v>
      </c>
      <c r="G19" s="247" t="s">
        <v>265</v>
      </c>
    </row>
    <row r="20" spans="1:7">
      <c r="A20" s="749"/>
      <c r="B20" s="18"/>
      <c r="C20" s="18"/>
      <c r="D20" s="749"/>
      <c r="E20" s="749"/>
      <c r="F20" s="749"/>
    </row>
    <row r="21" spans="1:7" ht="14.25">
      <c r="A21" s="249" t="s">
        <v>830</v>
      </c>
      <c r="B21" s="18"/>
      <c r="C21" s="18"/>
      <c r="D21" s="749"/>
      <c r="E21" s="749"/>
      <c r="F21" s="749"/>
    </row>
    <row r="22" spans="1:7">
      <c r="A22" s="749"/>
      <c r="B22" s="749"/>
      <c r="C22" s="749"/>
      <c r="D22" s="749"/>
      <c r="E22" s="749"/>
      <c r="F22" s="749"/>
    </row>
    <row r="23" spans="1:7">
      <c r="A23" s="749" t="s">
        <v>862</v>
      </c>
      <c r="B23" s="749"/>
      <c r="C23" s="749"/>
      <c r="D23" s="749"/>
      <c r="E23" s="749"/>
      <c r="F23" s="749"/>
    </row>
    <row r="24" spans="1:7">
      <c r="A24" s="749" t="s">
        <v>884</v>
      </c>
      <c r="B24" s="749"/>
      <c r="C24" s="749"/>
      <c r="D24" s="749"/>
      <c r="E24" s="749"/>
      <c r="F24" s="749"/>
    </row>
    <row r="25" spans="1:7">
      <c r="A25" s="749"/>
      <c r="B25" s="749"/>
      <c r="C25" s="749"/>
      <c r="D25" s="749"/>
      <c r="E25" s="749"/>
      <c r="F25" s="749"/>
    </row>
    <row r="36" spans="6:13" ht="14.25">
      <c r="F36" s="92"/>
      <c r="M36" s="69"/>
    </row>
    <row r="37" spans="6:13">
      <c r="M37" s="69"/>
    </row>
    <row r="38" spans="6:13">
      <c r="M38" s="69"/>
    </row>
    <row r="49" spans="2:2">
      <c r="B49" s="573"/>
    </row>
  </sheetData>
  <hyperlinks>
    <hyperlink ref="E1" location="Innholdsfortegnelse!A1" display="Innholdsfortegnelse" xr:uid="{3DB7DE11-F615-4837-B370-99453A67DD2C}"/>
  </hyperlinks>
  <pageMargins left="0.74803149606299213" right="0.74803149606299213" top="0.98425196850393704" bottom="0.98425196850393704" header="0.51181102362204722" footer="0.51181102362204722"/>
  <pageSetup paperSize="9" scale="81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F151"/>
  <sheetViews>
    <sheetView zoomScale="80" zoomScaleNormal="80" workbookViewId="0">
      <selection activeCell="B5" sqref="B5"/>
    </sheetView>
  </sheetViews>
  <sheetFormatPr baseColWidth="10" defaultColWidth="11" defaultRowHeight="12.75"/>
  <cols>
    <col min="1" max="1" width="4.5" style="355" customWidth="1"/>
    <col min="2" max="2" width="103" style="355" customWidth="1"/>
    <col min="3" max="3" width="32.5" style="355" customWidth="1"/>
    <col min="4" max="4" width="45.25" style="355" customWidth="1"/>
    <col min="5" max="5" width="32.5" style="355" customWidth="1"/>
    <col min="6" max="6" width="11" style="355"/>
    <col min="7" max="16384" width="11" style="196"/>
  </cols>
  <sheetData>
    <row r="1" spans="1:6" ht="21">
      <c r="A1" s="549" t="s">
        <v>574</v>
      </c>
      <c r="B1" s="566"/>
      <c r="C1" s="566"/>
      <c r="D1" s="566"/>
      <c r="E1" s="566"/>
      <c r="F1" s="566"/>
    </row>
    <row r="2" spans="1:6" ht="15">
      <c r="A2" s="337"/>
      <c r="B2" s="566"/>
      <c r="C2" s="566"/>
      <c r="D2" s="566"/>
      <c r="E2" s="566"/>
      <c r="F2" s="566"/>
    </row>
    <row r="3" spans="1:6" ht="15">
      <c r="A3" s="338"/>
      <c r="B3" s="566"/>
      <c r="C3" s="566"/>
      <c r="D3" s="566"/>
      <c r="E3" s="566"/>
      <c r="F3" s="566"/>
    </row>
    <row r="4" spans="1:6" ht="15.75" thickBot="1">
      <c r="A4" s="338" t="s">
        <v>558</v>
      </c>
      <c r="B4" s="285" t="s">
        <v>282</v>
      </c>
      <c r="C4" s="280" t="s">
        <v>518</v>
      </c>
      <c r="D4" s="273" t="s">
        <v>516</v>
      </c>
      <c r="E4" s="280" t="s">
        <v>517</v>
      </c>
      <c r="F4" s="566"/>
    </row>
    <row r="5" spans="1:6" ht="15">
      <c r="A5" s="338" t="s">
        <v>559</v>
      </c>
      <c r="B5" s="88" t="s">
        <v>283</v>
      </c>
      <c r="C5" s="252">
        <v>7980607.6880000001</v>
      </c>
      <c r="D5" s="213" t="s">
        <v>284</v>
      </c>
      <c r="E5" s="247" t="s">
        <v>265</v>
      </c>
      <c r="F5" s="566"/>
    </row>
    <row r="6" spans="1:6" ht="15">
      <c r="A6" s="338" t="s">
        <v>560</v>
      </c>
      <c r="B6" s="86" t="s">
        <v>285</v>
      </c>
      <c r="C6" s="252">
        <v>7980607.6880000001</v>
      </c>
      <c r="D6" s="283"/>
      <c r="E6" s="247" t="s">
        <v>265</v>
      </c>
      <c r="F6" s="566"/>
    </row>
    <row r="7" spans="1:6">
      <c r="A7" s="274"/>
      <c r="B7" s="86" t="s">
        <v>286</v>
      </c>
      <c r="C7" s="252"/>
      <c r="D7" s="283"/>
      <c r="E7" s="247" t="s">
        <v>265</v>
      </c>
      <c r="F7" s="566"/>
    </row>
    <row r="8" spans="1:6">
      <c r="A8" s="274"/>
      <c r="B8" s="86" t="s">
        <v>287</v>
      </c>
      <c r="C8" s="252"/>
      <c r="D8" s="283"/>
      <c r="E8" s="247" t="s">
        <v>265</v>
      </c>
      <c r="F8" s="566"/>
    </row>
    <row r="9" spans="1:6">
      <c r="A9" s="274">
        <v>2</v>
      </c>
      <c r="B9" s="207" t="s">
        <v>288</v>
      </c>
      <c r="C9" s="252">
        <v>14781399.363</v>
      </c>
      <c r="D9" s="247" t="s">
        <v>289</v>
      </c>
      <c r="E9" s="247" t="s">
        <v>265</v>
      </c>
      <c r="F9" s="566"/>
    </row>
    <row r="10" spans="1:6">
      <c r="A10" s="274">
        <v>3</v>
      </c>
      <c r="B10" s="207" t="s">
        <v>290</v>
      </c>
      <c r="C10" s="252">
        <v>-528015.86699999997</v>
      </c>
      <c r="D10" s="282" t="s">
        <v>291</v>
      </c>
      <c r="E10" s="247" t="s">
        <v>265</v>
      </c>
      <c r="F10" s="566"/>
    </row>
    <row r="11" spans="1:6">
      <c r="A11" s="274" t="s">
        <v>292</v>
      </c>
      <c r="B11" s="86" t="s">
        <v>293</v>
      </c>
      <c r="C11" s="252"/>
      <c r="D11" s="283" t="s">
        <v>294</v>
      </c>
      <c r="E11" s="247" t="s">
        <v>265</v>
      </c>
      <c r="F11" s="566"/>
    </row>
    <row r="12" spans="1:6" ht="12.75" customHeight="1">
      <c r="A12" s="274">
        <v>4</v>
      </c>
      <c r="B12" s="207" t="s">
        <v>295</v>
      </c>
      <c r="C12" s="252"/>
      <c r="D12" s="283"/>
      <c r="E12" s="247" t="s">
        <v>265</v>
      </c>
      <c r="F12" s="566"/>
    </row>
    <row r="13" spans="1:6" ht="12.75" customHeight="1">
      <c r="A13" s="274"/>
      <c r="B13" s="207" t="s">
        <v>296</v>
      </c>
      <c r="C13" s="252"/>
      <c r="D13" s="283"/>
      <c r="E13" s="247" t="s">
        <v>265</v>
      </c>
      <c r="F13" s="566"/>
    </row>
    <row r="14" spans="1:6">
      <c r="A14" s="274">
        <v>5</v>
      </c>
      <c r="B14" s="86" t="s">
        <v>297</v>
      </c>
      <c r="C14" s="252">
        <v>0</v>
      </c>
      <c r="D14" s="283">
        <v>84</v>
      </c>
      <c r="E14" s="247" t="s">
        <v>265</v>
      </c>
      <c r="F14" s="566"/>
    </row>
    <row r="15" spans="1:6" ht="12.75" customHeight="1">
      <c r="A15" s="274" t="s">
        <v>298</v>
      </c>
      <c r="B15" s="207" t="s">
        <v>299</v>
      </c>
      <c r="C15" s="252">
        <v>1132369.3470000001</v>
      </c>
      <c r="D15" s="283" t="s">
        <v>300</v>
      </c>
      <c r="E15" s="247" t="s">
        <v>265</v>
      </c>
      <c r="F15" s="566"/>
    </row>
    <row r="16" spans="1:6">
      <c r="A16" s="274">
        <v>6</v>
      </c>
      <c r="B16" s="277" t="s">
        <v>301</v>
      </c>
      <c r="C16" s="252">
        <f>SUM(C6:C15)</f>
        <v>23366360.530999999</v>
      </c>
      <c r="D16" s="288" t="s">
        <v>302</v>
      </c>
      <c r="E16" s="247" t="s">
        <v>265</v>
      </c>
      <c r="F16" s="566"/>
    </row>
    <row r="17" spans="1:6">
      <c r="A17" s="892"/>
      <c r="B17" s="892"/>
      <c r="C17" s="892"/>
      <c r="D17" s="892"/>
      <c r="E17" s="892"/>
      <c r="F17" s="566"/>
    </row>
    <row r="18" spans="1:6" ht="13.5" thickBot="1">
      <c r="A18" s="306"/>
      <c r="B18" s="281" t="s">
        <v>303</v>
      </c>
      <c r="C18" s="281"/>
      <c r="D18" s="281"/>
      <c r="E18" s="281"/>
      <c r="F18" s="566"/>
    </row>
    <row r="19" spans="1:6" ht="12.75" customHeight="1">
      <c r="A19" s="274">
        <v>7</v>
      </c>
      <c r="B19" s="207" t="s">
        <v>304</v>
      </c>
      <c r="C19" s="252">
        <v>-65451.616999999998</v>
      </c>
      <c r="D19" s="283" t="s">
        <v>305</v>
      </c>
      <c r="E19" s="247" t="s">
        <v>265</v>
      </c>
      <c r="F19" s="566"/>
    </row>
    <row r="20" spans="1:6" ht="12.75" customHeight="1">
      <c r="A20" s="274">
        <v>8</v>
      </c>
      <c r="B20" s="207" t="s">
        <v>306</v>
      </c>
      <c r="C20" s="252">
        <f>-531789.339-33108.551</f>
        <v>-564897.89</v>
      </c>
      <c r="D20" s="213" t="s">
        <v>307</v>
      </c>
      <c r="E20" s="247" t="s">
        <v>265</v>
      </c>
      <c r="F20" s="566"/>
    </row>
    <row r="21" spans="1:6">
      <c r="A21" s="274">
        <v>9</v>
      </c>
      <c r="B21" s="207" t="s">
        <v>308</v>
      </c>
      <c r="C21" s="252"/>
      <c r="D21" s="247"/>
      <c r="E21" s="247" t="s">
        <v>265</v>
      </c>
      <c r="F21" s="566"/>
    </row>
    <row r="22" spans="1:6" ht="12.75" customHeight="1">
      <c r="A22" s="274">
        <v>10</v>
      </c>
      <c r="B22" s="207" t="s">
        <v>309</v>
      </c>
      <c r="C22" s="252">
        <v>0</v>
      </c>
      <c r="D22" s="282" t="s">
        <v>310</v>
      </c>
      <c r="E22" s="247" t="s">
        <v>265</v>
      </c>
      <c r="F22" s="566"/>
    </row>
    <row r="23" spans="1:6" ht="12.75" customHeight="1">
      <c r="A23" s="274">
        <v>11</v>
      </c>
      <c r="B23" s="207" t="s">
        <v>311</v>
      </c>
      <c r="C23" s="252">
        <v>0</v>
      </c>
      <c r="D23" s="283" t="s">
        <v>312</v>
      </c>
      <c r="E23" s="247" t="s">
        <v>265</v>
      </c>
      <c r="F23" s="566"/>
    </row>
    <row r="24" spans="1:6" ht="12.75" customHeight="1">
      <c r="A24" s="274">
        <v>12</v>
      </c>
      <c r="B24" s="276" t="s">
        <v>313</v>
      </c>
      <c r="C24" s="252">
        <v>-116574.13800000001</v>
      </c>
      <c r="D24" s="282" t="s">
        <v>314</v>
      </c>
      <c r="E24" s="247" t="s">
        <v>265</v>
      </c>
      <c r="F24" s="566"/>
    </row>
    <row r="25" spans="1:6" ht="12.75" customHeight="1">
      <c r="A25" s="274">
        <v>13</v>
      </c>
      <c r="B25" s="207" t="s">
        <v>315</v>
      </c>
      <c r="C25" s="252">
        <v>0</v>
      </c>
      <c r="D25" s="283" t="s">
        <v>316</v>
      </c>
      <c r="E25" s="247" t="s">
        <v>265</v>
      </c>
      <c r="F25" s="566"/>
    </row>
    <row r="26" spans="1:6" ht="12.75" customHeight="1">
      <c r="A26" s="274">
        <v>14</v>
      </c>
      <c r="B26" s="207" t="s">
        <v>317</v>
      </c>
      <c r="C26" s="252">
        <v>0</v>
      </c>
      <c r="D26" s="213" t="s">
        <v>318</v>
      </c>
      <c r="E26" s="247" t="s">
        <v>265</v>
      </c>
      <c r="F26" s="566"/>
    </row>
    <row r="27" spans="1:6">
      <c r="A27" s="274">
        <v>15</v>
      </c>
      <c r="B27" s="207" t="s">
        <v>319</v>
      </c>
      <c r="C27" s="252">
        <v>0</v>
      </c>
      <c r="D27" s="213" t="s">
        <v>320</v>
      </c>
      <c r="E27" s="247" t="s">
        <v>265</v>
      </c>
      <c r="F27" s="566"/>
    </row>
    <row r="28" spans="1:6" ht="12.75" customHeight="1">
      <c r="A28" s="274">
        <v>16</v>
      </c>
      <c r="B28" s="207" t="s">
        <v>321</v>
      </c>
      <c r="C28" s="252">
        <v>0</v>
      </c>
      <c r="D28" s="213" t="s">
        <v>322</v>
      </c>
      <c r="E28" s="247" t="s">
        <v>265</v>
      </c>
      <c r="F28" s="566"/>
    </row>
    <row r="29" spans="1:6" ht="12.75" customHeight="1">
      <c r="A29" s="274">
        <v>17</v>
      </c>
      <c r="B29" s="276" t="s">
        <v>323</v>
      </c>
      <c r="C29" s="252">
        <v>0</v>
      </c>
      <c r="D29" s="282" t="s">
        <v>324</v>
      </c>
      <c r="E29" s="247" t="s">
        <v>265</v>
      </c>
      <c r="F29" s="566"/>
    </row>
    <row r="30" spans="1:6" ht="25.5" customHeight="1">
      <c r="A30" s="274">
        <v>18</v>
      </c>
      <c r="B30" s="276" t="s">
        <v>325</v>
      </c>
      <c r="C30" s="252">
        <v>0</v>
      </c>
      <c r="D30" s="282" t="s">
        <v>326</v>
      </c>
      <c r="E30" s="247" t="s">
        <v>265</v>
      </c>
      <c r="F30" s="566"/>
    </row>
    <row r="31" spans="1:6" ht="25.5" customHeight="1">
      <c r="A31" s="274">
        <v>19</v>
      </c>
      <c r="B31" s="207" t="s">
        <v>327</v>
      </c>
      <c r="C31" s="252">
        <v>0</v>
      </c>
      <c r="D31" s="282" t="s">
        <v>328</v>
      </c>
      <c r="E31" s="247" t="s">
        <v>265</v>
      </c>
      <c r="F31" s="566"/>
    </row>
    <row r="32" spans="1:6">
      <c r="A32" s="274">
        <v>20</v>
      </c>
      <c r="B32" s="207" t="s">
        <v>308</v>
      </c>
      <c r="C32" s="252"/>
      <c r="D32" s="247"/>
      <c r="E32" s="247" t="s">
        <v>265</v>
      </c>
      <c r="F32" s="566"/>
    </row>
    <row r="33" spans="1:6">
      <c r="A33" s="274" t="s">
        <v>252</v>
      </c>
      <c r="B33" s="207" t="s">
        <v>329</v>
      </c>
      <c r="C33" s="252">
        <f>-169550.733-149159.873</f>
        <v>-318710.60600000003</v>
      </c>
      <c r="D33" s="283" t="s">
        <v>330</v>
      </c>
      <c r="E33" s="247" t="s">
        <v>265</v>
      </c>
      <c r="F33" s="566"/>
    </row>
    <row r="34" spans="1:6" ht="12.75" customHeight="1">
      <c r="A34" s="275" t="s">
        <v>255</v>
      </c>
      <c r="B34" s="207" t="s">
        <v>331</v>
      </c>
      <c r="C34" s="252"/>
      <c r="D34" s="213" t="s">
        <v>332</v>
      </c>
      <c r="E34" s="247" t="s">
        <v>265</v>
      </c>
      <c r="F34" s="566"/>
    </row>
    <row r="35" spans="1:6" ht="13.5" customHeight="1">
      <c r="A35" s="275" t="s">
        <v>333</v>
      </c>
      <c r="B35" s="276" t="s">
        <v>334</v>
      </c>
      <c r="C35" s="252">
        <v>0</v>
      </c>
      <c r="D35" s="213" t="s">
        <v>335</v>
      </c>
      <c r="E35" s="247" t="s">
        <v>265</v>
      </c>
      <c r="F35" s="566"/>
    </row>
    <row r="36" spans="1:6" ht="12.75" customHeight="1">
      <c r="A36" s="275" t="s">
        <v>336</v>
      </c>
      <c r="B36" s="207" t="s">
        <v>337</v>
      </c>
      <c r="C36" s="252">
        <v>0</v>
      </c>
      <c r="D36" s="282" t="s">
        <v>338</v>
      </c>
      <c r="E36" s="247" t="s">
        <v>265</v>
      </c>
      <c r="F36" s="566"/>
    </row>
    <row r="37" spans="1:6" ht="12.75" customHeight="1">
      <c r="A37" s="274">
        <v>21</v>
      </c>
      <c r="B37" s="207" t="s">
        <v>339</v>
      </c>
      <c r="C37" s="252">
        <v>0</v>
      </c>
      <c r="D37" s="282" t="s">
        <v>340</v>
      </c>
      <c r="E37" s="247" t="s">
        <v>265</v>
      </c>
      <c r="F37" s="566"/>
    </row>
    <row r="38" spans="1:6" ht="12.75" customHeight="1">
      <c r="A38" s="274">
        <v>22</v>
      </c>
      <c r="B38" s="207" t="s">
        <v>341</v>
      </c>
      <c r="C38" s="252">
        <v>0</v>
      </c>
      <c r="D38" s="283" t="s">
        <v>342</v>
      </c>
      <c r="E38" s="247" t="s">
        <v>265</v>
      </c>
      <c r="F38" s="566"/>
    </row>
    <row r="39" spans="1:6" ht="12.75" customHeight="1">
      <c r="A39" s="274">
        <v>23</v>
      </c>
      <c r="B39" s="207" t="s">
        <v>343</v>
      </c>
      <c r="C39" s="252">
        <v>0</v>
      </c>
      <c r="D39" s="282" t="s">
        <v>344</v>
      </c>
      <c r="E39" s="247" t="s">
        <v>265</v>
      </c>
      <c r="F39" s="566"/>
    </row>
    <row r="40" spans="1:6">
      <c r="A40" s="274">
        <v>24</v>
      </c>
      <c r="B40" s="207" t="s">
        <v>308</v>
      </c>
      <c r="C40" s="252"/>
      <c r="D40" s="247"/>
      <c r="E40" s="247" t="s">
        <v>265</v>
      </c>
      <c r="F40" s="566"/>
    </row>
    <row r="41" spans="1:6" ht="12" customHeight="1">
      <c r="A41" s="274">
        <v>25</v>
      </c>
      <c r="B41" s="207" t="s">
        <v>345</v>
      </c>
      <c r="C41" s="252">
        <v>0</v>
      </c>
      <c r="D41" s="213" t="s">
        <v>340</v>
      </c>
      <c r="E41" s="247" t="s">
        <v>265</v>
      </c>
      <c r="F41" s="566"/>
    </row>
    <row r="42" spans="1:6" ht="12.75" customHeight="1">
      <c r="A42" s="275" t="s">
        <v>346</v>
      </c>
      <c r="B42" s="207" t="s">
        <v>347</v>
      </c>
      <c r="C42" s="252">
        <v>0</v>
      </c>
      <c r="D42" s="283" t="s">
        <v>348</v>
      </c>
      <c r="E42" s="247" t="s">
        <v>265</v>
      </c>
      <c r="F42" s="566"/>
    </row>
    <row r="43" spans="1:6" ht="12.75" customHeight="1">
      <c r="A43" s="275" t="s">
        <v>349</v>
      </c>
      <c r="B43" s="207" t="s">
        <v>350</v>
      </c>
      <c r="C43" s="252">
        <v>0</v>
      </c>
      <c r="D43" s="283" t="s">
        <v>351</v>
      </c>
      <c r="E43" s="247" t="s">
        <v>265</v>
      </c>
      <c r="F43" s="566"/>
    </row>
    <row r="44" spans="1:6" ht="12.75" customHeight="1">
      <c r="A44" s="274">
        <v>26</v>
      </c>
      <c r="B44" s="207" t="s">
        <v>352</v>
      </c>
      <c r="C44" s="252">
        <v>0</v>
      </c>
      <c r="D44" s="213" t="s">
        <v>353</v>
      </c>
      <c r="E44" s="247" t="s">
        <v>265</v>
      </c>
      <c r="F44" s="566"/>
    </row>
    <row r="45" spans="1:6" ht="12.75" customHeight="1">
      <c r="A45" s="275" t="s">
        <v>354</v>
      </c>
      <c r="B45" s="207" t="s">
        <v>355</v>
      </c>
      <c r="C45" s="252">
        <v>0</v>
      </c>
      <c r="D45" s="247"/>
      <c r="E45" s="247" t="s">
        <v>265</v>
      </c>
      <c r="F45" s="566"/>
    </row>
    <row r="46" spans="1:6">
      <c r="A46" s="86"/>
      <c r="B46" s="207" t="s">
        <v>356</v>
      </c>
      <c r="C46" s="252"/>
      <c r="D46" s="247"/>
      <c r="E46" s="247" t="s">
        <v>265</v>
      </c>
      <c r="F46" s="566"/>
    </row>
    <row r="47" spans="1:6">
      <c r="A47" s="86"/>
      <c r="B47" s="207" t="s">
        <v>357</v>
      </c>
      <c r="C47" s="252"/>
      <c r="D47" s="247"/>
      <c r="E47" s="247" t="s">
        <v>265</v>
      </c>
      <c r="F47" s="566"/>
    </row>
    <row r="48" spans="1:6">
      <c r="A48" s="86"/>
      <c r="B48" s="207" t="s">
        <v>358</v>
      </c>
      <c r="C48" s="252"/>
      <c r="D48" s="247">
        <v>468</v>
      </c>
      <c r="E48" s="247" t="s">
        <v>265</v>
      </c>
      <c r="F48" s="566"/>
    </row>
    <row r="49" spans="1:6">
      <c r="A49" s="86"/>
      <c r="B49" s="207" t="s">
        <v>359</v>
      </c>
      <c r="C49" s="252"/>
      <c r="D49" s="283">
        <v>468</v>
      </c>
      <c r="E49" s="247" t="s">
        <v>265</v>
      </c>
      <c r="F49" s="566"/>
    </row>
    <row r="50" spans="1:6" ht="12.75" customHeight="1">
      <c r="A50" s="275" t="s">
        <v>360</v>
      </c>
      <c r="B50" s="207" t="s">
        <v>361</v>
      </c>
      <c r="C50" s="252"/>
      <c r="D50" s="247"/>
      <c r="E50" s="247" t="s">
        <v>265</v>
      </c>
      <c r="F50" s="566"/>
    </row>
    <row r="51" spans="1:6">
      <c r="A51" s="86"/>
      <c r="B51" s="207" t="s">
        <v>362</v>
      </c>
      <c r="C51" s="252"/>
      <c r="D51" s="247"/>
      <c r="E51" s="247" t="s">
        <v>265</v>
      </c>
      <c r="F51" s="566"/>
    </row>
    <row r="52" spans="1:6" ht="12.75" customHeight="1">
      <c r="A52" s="274">
        <v>27</v>
      </c>
      <c r="B52" s="207" t="s">
        <v>363</v>
      </c>
      <c r="C52" s="252">
        <v>0</v>
      </c>
      <c r="D52" s="282" t="s">
        <v>364</v>
      </c>
      <c r="E52" s="247" t="s">
        <v>265</v>
      </c>
      <c r="F52" s="566"/>
    </row>
    <row r="53" spans="1:6">
      <c r="A53" s="274">
        <v>28</v>
      </c>
      <c r="B53" s="286" t="s">
        <v>365</v>
      </c>
      <c r="C53" s="221">
        <f>SUM(C19:C45)</f>
        <v>-1065634.2510000002</v>
      </c>
      <c r="D53" s="289" t="s">
        <v>366</v>
      </c>
      <c r="E53" s="247" t="s">
        <v>265</v>
      </c>
      <c r="F53" s="566"/>
    </row>
    <row r="54" spans="1:6" ht="12.75" customHeight="1">
      <c r="A54" s="274">
        <v>29</v>
      </c>
      <c r="B54" s="286" t="s">
        <v>367</v>
      </c>
      <c r="C54" s="221">
        <f>C16+C53</f>
        <v>22300726.280000001</v>
      </c>
      <c r="D54" s="290" t="s">
        <v>368</v>
      </c>
      <c r="E54" s="247" t="s">
        <v>265</v>
      </c>
      <c r="F54" s="566"/>
    </row>
    <row r="55" spans="1:6" ht="12.75" customHeight="1">
      <c r="A55" s="274"/>
      <c r="B55" s="286"/>
      <c r="C55" s="221"/>
      <c r="D55" s="287"/>
      <c r="E55" s="86"/>
      <c r="F55" s="566"/>
    </row>
    <row r="56" spans="1:6" ht="13.5" thickBot="1">
      <c r="A56" s="306"/>
      <c r="B56" s="281" t="s">
        <v>369</v>
      </c>
      <c r="C56" s="281"/>
      <c r="D56" s="281"/>
      <c r="E56" s="281"/>
      <c r="F56" s="566"/>
    </row>
    <row r="57" spans="1:6">
      <c r="A57" s="274">
        <v>30</v>
      </c>
      <c r="B57" s="88" t="s">
        <v>283</v>
      </c>
      <c r="C57" s="221">
        <v>1950763.0460000001</v>
      </c>
      <c r="D57" s="247" t="s">
        <v>370</v>
      </c>
      <c r="E57" s="247" t="s">
        <v>265</v>
      </c>
      <c r="F57" s="566"/>
    </row>
    <row r="58" spans="1:6" ht="12.75" customHeight="1">
      <c r="A58" s="274">
        <v>31</v>
      </c>
      <c r="B58" s="207" t="s">
        <v>371</v>
      </c>
      <c r="C58" s="221">
        <v>1950763.0460000001</v>
      </c>
      <c r="D58" s="247"/>
      <c r="E58" s="247" t="s">
        <v>265</v>
      </c>
      <c r="F58" s="566"/>
    </row>
    <row r="59" spans="1:6" ht="12.75" customHeight="1">
      <c r="A59" s="274">
        <v>32</v>
      </c>
      <c r="B59" s="207" t="s">
        <v>372</v>
      </c>
      <c r="C59" s="812"/>
      <c r="D59" s="247"/>
      <c r="E59" s="247" t="s">
        <v>265</v>
      </c>
      <c r="F59" s="566"/>
    </row>
    <row r="60" spans="1:6">
      <c r="A60" s="274">
        <v>33</v>
      </c>
      <c r="B60" s="207" t="s">
        <v>373</v>
      </c>
      <c r="C60" s="221"/>
      <c r="D60" s="247" t="s">
        <v>374</v>
      </c>
      <c r="E60" s="247" t="s">
        <v>265</v>
      </c>
      <c r="F60" s="566"/>
    </row>
    <row r="61" spans="1:6" ht="12.75" customHeight="1">
      <c r="A61" s="274">
        <v>34</v>
      </c>
      <c r="B61" s="207" t="s">
        <v>375</v>
      </c>
      <c r="C61" s="221"/>
      <c r="D61" s="247" t="s">
        <v>376</v>
      </c>
      <c r="E61" s="247" t="s">
        <v>265</v>
      </c>
      <c r="F61" s="566"/>
    </row>
    <row r="62" spans="1:6">
      <c r="A62" s="274">
        <v>35</v>
      </c>
      <c r="B62" s="88" t="s">
        <v>377</v>
      </c>
      <c r="C62" s="221"/>
      <c r="D62" s="247"/>
      <c r="E62" s="247" t="s">
        <v>265</v>
      </c>
      <c r="F62" s="566"/>
    </row>
    <row r="63" spans="1:6">
      <c r="A63" s="274">
        <v>36</v>
      </c>
      <c r="B63" s="286" t="s">
        <v>378</v>
      </c>
      <c r="C63" s="221">
        <f>C57+C60</f>
        <v>1950763.0460000001</v>
      </c>
      <c r="D63" s="289" t="s">
        <v>379</v>
      </c>
      <c r="E63" s="247" t="s">
        <v>265</v>
      </c>
      <c r="F63" s="566"/>
    </row>
    <row r="64" spans="1:6">
      <c r="A64" s="274"/>
      <c r="B64" s="278"/>
      <c r="C64" s="252"/>
      <c r="D64" s="284"/>
      <c r="E64" s="86"/>
      <c r="F64" s="566"/>
    </row>
    <row r="65" spans="1:6" ht="12.75" customHeight="1" thickBot="1">
      <c r="A65" s="306"/>
      <c r="B65" s="281" t="s">
        <v>380</v>
      </c>
      <c r="C65" s="281"/>
      <c r="D65" s="281"/>
      <c r="E65" s="281"/>
      <c r="F65" s="566"/>
    </row>
    <row r="66" spans="1:6" ht="12.75" customHeight="1">
      <c r="A66" s="274">
        <v>37</v>
      </c>
      <c r="B66" s="207" t="s">
        <v>381</v>
      </c>
      <c r="C66" s="252">
        <v>0</v>
      </c>
      <c r="D66" s="213" t="s">
        <v>382</v>
      </c>
      <c r="E66" s="247" t="s">
        <v>265</v>
      </c>
      <c r="F66" s="566"/>
    </row>
    <row r="67" spans="1:6" ht="12.75" customHeight="1">
      <c r="A67" s="274">
        <v>38</v>
      </c>
      <c r="B67" s="207" t="s">
        <v>383</v>
      </c>
      <c r="C67" s="252">
        <v>0</v>
      </c>
      <c r="D67" s="283" t="s">
        <v>384</v>
      </c>
      <c r="E67" s="247" t="s">
        <v>265</v>
      </c>
      <c r="F67" s="566"/>
    </row>
    <row r="68" spans="1:6" ht="24.75" customHeight="1">
      <c r="A68" s="274">
        <v>39</v>
      </c>
      <c r="B68" s="276" t="s">
        <v>385</v>
      </c>
      <c r="C68" s="252">
        <v>0</v>
      </c>
      <c r="D68" s="282" t="s">
        <v>386</v>
      </c>
      <c r="E68" s="247" t="s">
        <v>265</v>
      </c>
      <c r="F68" s="566"/>
    </row>
    <row r="69" spans="1:6" ht="25.5" customHeight="1">
      <c r="A69" s="274">
        <v>40</v>
      </c>
      <c r="B69" s="276" t="s">
        <v>387</v>
      </c>
      <c r="C69" s="252">
        <v>0</v>
      </c>
      <c r="D69" s="282" t="s">
        <v>388</v>
      </c>
      <c r="E69" s="247" t="s">
        <v>265</v>
      </c>
      <c r="F69" s="566"/>
    </row>
    <row r="70" spans="1:6" ht="12.75" customHeight="1">
      <c r="A70" s="274">
        <v>41</v>
      </c>
      <c r="B70" s="207" t="s">
        <v>389</v>
      </c>
      <c r="C70" s="252">
        <v>0</v>
      </c>
      <c r="D70" s="213" t="s">
        <v>390</v>
      </c>
      <c r="E70" s="247" t="s">
        <v>265</v>
      </c>
      <c r="F70" s="566"/>
    </row>
    <row r="71" spans="1:6" ht="12.75" customHeight="1">
      <c r="A71" s="275" t="s">
        <v>391</v>
      </c>
      <c r="B71" s="207" t="s">
        <v>392</v>
      </c>
      <c r="C71" s="252">
        <v>0</v>
      </c>
      <c r="D71" s="282" t="s">
        <v>393</v>
      </c>
      <c r="E71" s="247" t="s">
        <v>265</v>
      </c>
      <c r="F71" s="566"/>
    </row>
    <row r="72" spans="1:6">
      <c r="A72" s="86"/>
      <c r="B72" s="86" t="s">
        <v>394</v>
      </c>
      <c r="C72" s="252"/>
      <c r="D72" s="247"/>
      <c r="E72" s="86"/>
      <c r="F72" s="566"/>
    </row>
    <row r="73" spans="1:6" ht="12.75" customHeight="1">
      <c r="A73" s="275" t="s">
        <v>395</v>
      </c>
      <c r="B73" s="207" t="s">
        <v>396</v>
      </c>
      <c r="C73" s="252"/>
      <c r="D73" s="247"/>
      <c r="E73" s="86"/>
      <c r="F73" s="566"/>
    </row>
    <row r="74" spans="1:6">
      <c r="A74" s="86"/>
      <c r="B74" s="207" t="s">
        <v>394</v>
      </c>
      <c r="C74" s="252"/>
      <c r="D74" s="247"/>
      <c r="E74" s="86"/>
      <c r="F74" s="566"/>
    </row>
    <row r="75" spans="1:6" ht="12.75" customHeight="1">
      <c r="A75" s="275" t="s">
        <v>397</v>
      </c>
      <c r="B75" s="207" t="s">
        <v>398</v>
      </c>
      <c r="C75" s="252"/>
      <c r="D75" s="247"/>
      <c r="E75" s="86"/>
      <c r="F75" s="566"/>
    </row>
    <row r="76" spans="1:6" ht="12.75" customHeight="1">
      <c r="A76" s="86"/>
      <c r="B76" s="207" t="s">
        <v>399</v>
      </c>
      <c r="C76" s="252"/>
      <c r="D76" s="247"/>
      <c r="E76" s="86"/>
      <c r="F76" s="566"/>
    </row>
    <row r="77" spans="1:6">
      <c r="A77" s="86"/>
      <c r="B77" s="207" t="s">
        <v>400</v>
      </c>
      <c r="C77" s="252"/>
      <c r="D77" s="247"/>
      <c r="E77" s="86"/>
      <c r="F77" s="566"/>
    </row>
    <row r="78" spans="1:6">
      <c r="A78" s="86"/>
      <c r="B78" s="207" t="s">
        <v>362</v>
      </c>
      <c r="C78" s="252"/>
      <c r="D78" s="247"/>
      <c r="E78" s="86"/>
      <c r="F78" s="566"/>
    </row>
    <row r="79" spans="1:6">
      <c r="A79" s="274">
        <v>42</v>
      </c>
      <c r="B79" s="207" t="s">
        <v>401</v>
      </c>
      <c r="C79" s="252">
        <v>0</v>
      </c>
      <c r="D79" s="247" t="s">
        <v>402</v>
      </c>
      <c r="E79" s="247" t="s">
        <v>265</v>
      </c>
      <c r="F79" s="566"/>
    </row>
    <row r="80" spans="1:6">
      <c r="A80" s="274">
        <v>43</v>
      </c>
      <c r="B80" s="277" t="s">
        <v>403</v>
      </c>
      <c r="C80" s="252">
        <v>0</v>
      </c>
      <c r="D80" s="289" t="s">
        <v>404</v>
      </c>
      <c r="E80" s="247" t="s">
        <v>265</v>
      </c>
      <c r="F80" s="566"/>
    </row>
    <row r="81" spans="1:6" ht="12.75" customHeight="1">
      <c r="A81" s="274">
        <v>44</v>
      </c>
      <c r="B81" s="277" t="s">
        <v>405</v>
      </c>
      <c r="C81" s="252">
        <f>C63+C80</f>
        <v>1950763.0460000001</v>
      </c>
      <c r="D81" s="289" t="s">
        <v>406</v>
      </c>
      <c r="E81" s="247" t="s">
        <v>265</v>
      </c>
      <c r="F81" s="566"/>
    </row>
    <row r="82" spans="1:6" ht="12" customHeight="1">
      <c r="A82" s="274">
        <v>45</v>
      </c>
      <c r="B82" s="277" t="s">
        <v>89</v>
      </c>
      <c r="C82" s="252">
        <f>C54+C81</f>
        <v>24251489.326000001</v>
      </c>
      <c r="D82" s="289" t="s">
        <v>407</v>
      </c>
      <c r="E82" s="247" t="s">
        <v>265</v>
      </c>
      <c r="F82" s="566"/>
    </row>
    <row r="83" spans="1:6">
      <c r="A83" s="274"/>
      <c r="B83" s="277"/>
      <c r="C83" s="252"/>
      <c r="D83" s="284"/>
      <c r="E83" s="86"/>
      <c r="F83" s="566"/>
    </row>
    <row r="84" spans="1:6" ht="12.75" customHeight="1" thickBot="1">
      <c r="A84" s="306"/>
      <c r="B84" s="281" t="s">
        <v>408</v>
      </c>
      <c r="C84" s="281"/>
      <c r="D84" s="281"/>
      <c r="E84" s="281"/>
      <c r="F84" s="566"/>
    </row>
    <row r="85" spans="1:6">
      <c r="A85" s="274">
        <v>46</v>
      </c>
      <c r="B85" s="207" t="s">
        <v>283</v>
      </c>
      <c r="C85" s="252">
        <v>2236781.8339999998</v>
      </c>
      <c r="D85" s="247" t="s">
        <v>409</v>
      </c>
      <c r="E85" s="247" t="s">
        <v>265</v>
      </c>
      <c r="F85" s="566"/>
    </row>
    <row r="86" spans="1:6">
      <c r="A86" s="274">
        <v>47</v>
      </c>
      <c r="B86" s="207" t="s">
        <v>410</v>
      </c>
      <c r="C86" s="252">
        <v>0</v>
      </c>
      <c r="D86" s="247" t="s">
        <v>411</v>
      </c>
      <c r="E86" s="247" t="s">
        <v>265</v>
      </c>
      <c r="F86" s="566"/>
    </row>
    <row r="87" spans="1:6" ht="12.75" customHeight="1">
      <c r="A87" s="86"/>
      <c r="B87" s="207" t="s">
        <v>412</v>
      </c>
      <c r="C87" s="252"/>
      <c r="D87" s="247"/>
      <c r="E87" s="247" t="s">
        <v>265</v>
      </c>
      <c r="F87" s="566"/>
    </row>
    <row r="88" spans="1:6" ht="12.75" customHeight="1">
      <c r="A88" s="274">
        <v>48</v>
      </c>
      <c r="B88" s="207" t="s">
        <v>413</v>
      </c>
      <c r="C88" s="252">
        <v>0</v>
      </c>
      <c r="D88" s="283" t="s">
        <v>414</v>
      </c>
      <c r="E88" s="247" t="s">
        <v>265</v>
      </c>
      <c r="F88" s="566"/>
    </row>
    <row r="89" spans="1:6">
      <c r="A89" s="274">
        <v>49</v>
      </c>
      <c r="B89" s="276" t="s">
        <v>377</v>
      </c>
      <c r="C89" s="252"/>
      <c r="D89" s="247"/>
      <c r="E89" s="247" t="s">
        <v>265</v>
      </c>
      <c r="F89" s="566"/>
    </row>
    <row r="90" spans="1:6">
      <c r="A90" s="274">
        <v>50</v>
      </c>
      <c r="B90" s="207" t="s">
        <v>415</v>
      </c>
      <c r="C90" s="252">
        <v>0</v>
      </c>
      <c r="D90" s="247" t="s">
        <v>416</v>
      </c>
      <c r="E90" s="247" t="s">
        <v>265</v>
      </c>
      <c r="F90" s="566"/>
    </row>
    <row r="91" spans="1:6">
      <c r="A91" s="274">
        <v>51</v>
      </c>
      <c r="B91" s="277" t="s">
        <v>417</v>
      </c>
      <c r="C91" s="252">
        <f>SUM(C85:C90)</f>
        <v>2236781.8339999998</v>
      </c>
      <c r="D91" s="289" t="s">
        <v>418</v>
      </c>
      <c r="E91" s="247" t="s">
        <v>265</v>
      </c>
      <c r="F91" s="566"/>
    </row>
    <row r="92" spans="1:6">
      <c r="A92" s="274"/>
      <c r="B92" s="277"/>
      <c r="C92" s="252"/>
      <c r="D92" s="284"/>
      <c r="E92" s="86"/>
      <c r="F92" s="566"/>
    </row>
    <row r="93" spans="1:6" ht="13.5" thickBot="1">
      <c r="A93" s="306"/>
      <c r="B93" s="281" t="s">
        <v>419</v>
      </c>
      <c r="C93" s="281"/>
      <c r="D93" s="281"/>
      <c r="E93" s="281"/>
      <c r="F93" s="566"/>
    </row>
    <row r="94" spans="1:6" ht="12.75" customHeight="1">
      <c r="A94" s="274">
        <v>52</v>
      </c>
      <c r="B94" s="207" t="s">
        <v>420</v>
      </c>
      <c r="C94" s="252">
        <v>0</v>
      </c>
      <c r="D94" s="282" t="s">
        <v>421</v>
      </c>
      <c r="E94" s="247" t="s">
        <v>265</v>
      </c>
      <c r="F94" s="566"/>
    </row>
    <row r="95" spans="1:6" ht="12.75" customHeight="1">
      <c r="A95" s="274">
        <v>53</v>
      </c>
      <c r="B95" s="207" t="s">
        <v>422</v>
      </c>
      <c r="C95" s="252">
        <v>0</v>
      </c>
      <c r="D95" s="283" t="s">
        <v>423</v>
      </c>
      <c r="E95" s="247" t="s">
        <v>265</v>
      </c>
      <c r="F95" s="566"/>
    </row>
    <row r="96" spans="1:6" ht="25.5" customHeight="1">
      <c r="A96" s="274">
        <v>54</v>
      </c>
      <c r="B96" s="276" t="s">
        <v>424</v>
      </c>
      <c r="C96" s="252">
        <v>0</v>
      </c>
      <c r="D96" s="213" t="s">
        <v>425</v>
      </c>
      <c r="E96" s="247" t="s">
        <v>265</v>
      </c>
      <c r="F96" s="566"/>
    </row>
    <row r="97" spans="1:6" ht="12.75" customHeight="1">
      <c r="A97" s="275" t="s">
        <v>426</v>
      </c>
      <c r="B97" s="207" t="s">
        <v>427</v>
      </c>
      <c r="C97" s="252">
        <v>0</v>
      </c>
      <c r="D97" s="283"/>
      <c r="E97" s="86"/>
      <c r="F97" s="566"/>
    </row>
    <row r="98" spans="1:6" ht="12.75" customHeight="1">
      <c r="A98" s="275" t="s">
        <v>428</v>
      </c>
      <c r="B98" s="207" t="s">
        <v>429</v>
      </c>
      <c r="C98" s="252">
        <v>0</v>
      </c>
      <c r="D98" s="283"/>
      <c r="E98" s="86"/>
      <c r="F98" s="566"/>
    </row>
    <row r="99" spans="1:6" ht="25.5" customHeight="1">
      <c r="A99" s="274">
        <v>55</v>
      </c>
      <c r="B99" s="207" t="s">
        <v>430</v>
      </c>
      <c r="C99" s="252">
        <v>-42600</v>
      </c>
      <c r="D99" s="213" t="s">
        <v>431</v>
      </c>
      <c r="E99" s="247" t="s">
        <v>265</v>
      </c>
      <c r="F99" s="566"/>
    </row>
    <row r="100" spans="1:6" ht="12.75" customHeight="1">
      <c r="A100" s="274">
        <v>56</v>
      </c>
      <c r="B100" s="207" t="s">
        <v>432</v>
      </c>
      <c r="C100" s="252">
        <v>0</v>
      </c>
      <c r="D100" s="282" t="s">
        <v>433</v>
      </c>
      <c r="E100" s="247" t="s">
        <v>265</v>
      </c>
      <c r="F100" s="566"/>
    </row>
    <row r="101" spans="1:6" ht="12.75" customHeight="1">
      <c r="A101" s="274" t="s">
        <v>434</v>
      </c>
      <c r="B101" s="207" t="s">
        <v>435</v>
      </c>
      <c r="C101" s="252">
        <v>0</v>
      </c>
      <c r="D101" s="282" t="s">
        <v>393</v>
      </c>
      <c r="E101" s="247" t="s">
        <v>265</v>
      </c>
      <c r="F101" s="566"/>
    </row>
    <row r="102" spans="1:6">
      <c r="A102" s="275"/>
      <c r="B102" s="207" t="s">
        <v>394</v>
      </c>
      <c r="C102" s="252"/>
      <c r="D102" s="283"/>
      <c r="E102" s="86"/>
      <c r="F102" s="566"/>
    </row>
    <row r="103" spans="1:6" ht="12.75" customHeight="1">
      <c r="A103" s="274" t="s">
        <v>436</v>
      </c>
      <c r="B103" s="207" t="s">
        <v>437</v>
      </c>
      <c r="C103" s="252">
        <v>0</v>
      </c>
      <c r="D103" s="283"/>
      <c r="E103" s="86"/>
      <c r="F103" s="566"/>
    </row>
    <row r="104" spans="1:6">
      <c r="A104" s="275"/>
      <c r="B104" s="207" t="s">
        <v>394</v>
      </c>
      <c r="C104" s="252"/>
      <c r="D104" s="283"/>
      <c r="E104" s="86"/>
      <c r="F104" s="566"/>
    </row>
    <row r="105" spans="1:6" ht="12.75" customHeight="1">
      <c r="A105" s="274" t="s">
        <v>438</v>
      </c>
      <c r="B105" s="207" t="s">
        <v>439</v>
      </c>
      <c r="C105" s="252">
        <v>0</v>
      </c>
      <c r="D105" s="283">
        <v>468</v>
      </c>
      <c r="E105" s="247" t="s">
        <v>265</v>
      </c>
      <c r="F105" s="566"/>
    </row>
    <row r="106" spans="1:6">
      <c r="A106" s="274"/>
      <c r="B106" s="207" t="s">
        <v>399</v>
      </c>
      <c r="C106" s="252"/>
      <c r="D106" s="283"/>
      <c r="E106" s="86"/>
      <c r="F106" s="566"/>
    </row>
    <row r="107" spans="1:6">
      <c r="A107" s="274"/>
      <c r="B107" s="207" t="s">
        <v>440</v>
      </c>
      <c r="C107" s="252"/>
      <c r="D107" s="283">
        <v>468</v>
      </c>
      <c r="E107" s="247" t="s">
        <v>265</v>
      </c>
      <c r="F107" s="566"/>
    </row>
    <row r="108" spans="1:6">
      <c r="A108" s="274"/>
      <c r="B108" s="207" t="s">
        <v>362</v>
      </c>
      <c r="C108" s="252"/>
      <c r="D108" s="283"/>
      <c r="E108" s="86"/>
      <c r="F108" s="566"/>
    </row>
    <row r="109" spans="1:6" ht="12.75" customHeight="1">
      <c r="A109" s="274">
        <v>57</v>
      </c>
      <c r="B109" s="277" t="s">
        <v>441</v>
      </c>
      <c r="C109" s="252">
        <f>C99</f>
        <v>-42600</v>
      </c>
      <c r="D109" s="288" t="s">
        <v>442</v>
      </c>
      <c r="E109" s="247" t="s">
        <v>265</v>
      </c>
      <c r="F109" s="566"/>
    </row>
    <row r="110" spans="1:6" ht="12.75" customHeight="1">
      <c r="A110" s="274">
        <v>58</v>
      </c>
      <c r="B110" s="277" t="s">
        <v>443</v>
      </c>
      <c r="C110" s="252">
        <f>C91+C109</f>
        <v>2194181.8339999998</v>
      </c>
      <c r="D110" s="288" t="s">
        <v>444</v>
      </c>
      <c r="E110" s="247" t="s">
        <v>265</v>
      </c>
      <c r="F110" s="566"/>
    </row>
    <row r="111" spans="1:6">
      <c r="A111" s="274">
        <v>59</v>
      </c>
      <c r="B111" s="277" t="s">
        <v>147</v>
      </c>
      <c r="C111" s="252">
        <f>C82+C110</f>
        <v>26445671.16</v>
      </c>
      <c r="D111" s="288" t="s">
        <v>445</v>
      </c>
      <c r="E111" s="247" t="s">
        <v>265</v>
      </c>
      <c r="F111" s="566"/>
    </row>
    <row r="112" spans="1:6" ht="12" customHeight="1">
      <c r="A112" s="274" t="s">
        <v>446</v>
      </c>
      <c r="B112" s="207" t="s">
        <v>447</v>
      </c>
      <c r="C112" s="252">
        <v>0</v>
      </c>
      <c r="D112" s="283" t="s">
        <v>448</v>
      </c>
      <c r="E112" s="247" t="s">
        <v>265</v>
      </c>
      <c r="F112" s="566"/>
    </row>
    <row r="113" spans="1:6">
      <c r="A113" s="275"/>
      <c r="B113" s="207" t="s">
        <v>449</v>
      </c>
      <c r="C113" s="252">
        <v>0</v>
      </c>
      <c r="D113" s="283" t="s">
        <v>450</v>
      </c>
      <c r="E113" s="247" t="s">
        <v>265</v>
      </c>
      <c r="F113" s="566"/>
    </row>
    <row r="114" spans="1:6" ht="12.75" customHeight="1">
      <c r="A114" s="275"/>
      <c r="B114" s="207" t="s">
        <v>451</v>
      </c>
      <c r="C114" s="252"/>
      <c r="D114" s="283"/>
      <c r="E114" s="86"/>
      <c r="F114" s="566"/>
    </row>
    <row r="115" spans="1:6">
      <c r="A115" s="275"/>
      <c r="B115" s="207" t="s">
        <v>452</v>
      </c>
      <c r="C115" s="252"/>
      <c r="D115" s="274"/>
      <c r="E115" s="86"/>
      <c r="F115" s="566"/>
    </row>
    <row r="116" spans="1:6">
      <c r="A116" s="274">
        <v>60</v>
      </c>
      <c r="B116" s="279" t="s">
        <v>453</v>
      </c>
      <c r="C116" s="252">
        <v>126615859.68099999</v>
      </c>
      <c r="D116" s="274"/>
      <c r="E116" s="86"/>
      <c r="F116" s="566"/>
    </row>
    <row r="117" spans="1:6">
      <c r="A117" s="274"/>
      <c r="B117" s="279"/>
      <c r="C117" s="252"/>
      <c r="D117" s="274"/>
      <c r="E117" s="86"/>
      <c r="F117" s="566"/>
    </row>
    <row r="118" spans="1:6" ht="12.75" customHeight="1" thickBot="1">
      <c r="A118" s="306"/>
      <c r="B118" s="281" t="s">
        <v>454</v>
      </c>
      <c r="C118" s="281"/>
      <c r="D118" s="281"/>
      <c r="E118" s="281"/>
      <c r="F118" s="566"/>
    </row>
    <row r="119" spans="1:6">
      <c r="A119" s="274">
        <v>61</v>
      </c>
      <c r="B119" s="279" t="s">
        <v>120</v>
      </c>
      <c r="C119" s="827">
        <f>+C54/C116</f>
        <v>0.17612901208573048</v>
      </c>
      <c r="D119" s="283" t="s">
        <v>455</v>
      </c>
      <c r="E119" s="247" t="s">
        <v>265</v>
      </c>
      <c r="F119" s="566"/>
    </row>
    <row r="120" spans="1:6">
      <c r="A120" s="274">
        <v>62</v>
      </c>
      <c r="B120" s="279" t="s">
        <v>456</v>
      </c>
      <c r="C120" s="827">
        <f>+C82/C116</f>
        <v>0.19153595281902261</v>
      </c>
      <c r="D120" s="283" t="s">
        <v>457</v>
      </c>
      <c r="E120" s="247" t="s">
        <v>265</v>
      </c>
      <c r="F120" s="566"/>
    </row>
    <row r="121" spans="1:6">
      <c r="A121" s="274">
        <v>63</v>
      </c>
      <c r="B121" s="279" t="s">
        <v>74</v>
      </c>
      <c r="C121" s="827">
        <f>+C111/C116</f>
        <v>0.20886539195506837</v>
      </c>
      <c r="D121" s="283" t="s">
        <v>458</v>
      </c>
      <c r="E121" s="247" t="s">
        <v>265</v>
      </c>
      <c r="F121" s="566"/>
    </row>
    <row r="122" spans="1:6">
      <c r="A122" s="274">
        <v>64</v>
      </c>
      <c r="B122" s="277" t="s">
        <v>459</v>
      </c>
      <c r="C122" s="827">
        <v>0.125</v>
      </c>
      <c r="D122" s="282" t="s">
        <v>460</v>
      </c>
      <c r="E122" s="247" t="s">
        <v>265</v>
      </c>
      <c r="F122" s="566"/>
    </row>
    <row r="123" spans="1:6">
      <c r="A123" s="274">
        <v>65</v>
      </c>
      <c r="B123" s="279" t="s">
        <v>461</v>
      </c>
      <c r="C123" s="827">
        <v>2.5000000000000001E-2</v>
      </c>
      <c r="D123" s="283"/>
      <c r="E123" s="86"/>
      <c r="F123" s="566"/>
    </row>
    <row r="124" spans="1:6">
      <c r="A124" s="274">
        <v>66</v>
      </c>
      <c r="B124" s="279" t="s">
        <v>462</v>
      </c>
      <c r="C124" s="827">
        <v>0.01</v>
      </c>
      <c r="D124" s="283"/>
      <c r="E124" s="86"/>
      <c r="F124" s="566"/>
    </row>
    <row r="125" spans="1:6">
      <c r="A125" s="274">
        <v>67</v>
      </c>
      <c r="B125" s="279" t="s">
        <v>463</v>
      </c>
      <c r="C125" s="827">
        <v>4.4999999999999998E-2</v>
      </c>
      <c r="D125" s="283"/>
      <c r="E125" s="86"/>
      <c r="F125" s="566"/>
    </row>
    <row r="126" spans="1:6">
      <c r="A126" s="274" t="s">
        <v>464</v>
      </c>
      <c r="B126" s="279" t="s">
        <v>465</v>
      </c>
      <c r="C126" s="827">
        <v>0</v>
      </c>
      <c r="D126" s="283" t="s">
        <v>466</v>
      </c>
      <c r="E126" s="247" t="s">
        <v>265</v>
      </c>
      <c r="F126" s="566"/>
    </row>
    <row r="127" spans="1:6">
      <c r="A127" s="274">
        <v>68</v>
      </c>
      <c r="B127" s="279" t="s">
        <v>467</v>
      </c>
      <c r="C127" s="827">
        <f>+C119-C122</f>
        <v>5.112901208573048E-2</v>
      </c>
      <c r="D127" s="283" t="s">
        <v>468</v>
      </c>
      <c r="E127" s="247" t="s">
        <v>265</v>
      </c>
      <c r="F127" s="566"/>
    </row>
    <row r="128" spans="1:6">
      <c r="A128" s="274">
        <v>69</v>
      </c>
      <c r="B128" s="279" t="s">
        <v>469</v>
      </c>
      <c r="C128" s="86"/>
      <c r="D128" s="283"/>
      <c r="E128" s="86"/>
      <c r="F128" s="566"/>
    </row>
    <row r="129" spans="1:6">
      <c r="A129" s="274">
        <v>70</v>
      </c>
      <c r="B129" s="279" t="s">
        <v>469</v>
      </c>
      <c r="C129" s="828"/>
      <c r="D129" s="283"/>
      <c r="E129" s="86"/>
      <c r="F129" s="566"/>
    </row>
    <row r="130" spans="1:6">
      <c r="A130" s="274">
        <v>71</v>
      </c>
      <c r="B130" s="279" t="s">
        <v>469</v>
      </c>
      <c r="C130" s="86"/>
      <c r="D130" s="283"/>
      <c r="E130" s="86"/>
      <c r="F130" s="566"/>
    </row>
    <row r="131" spans="1:6">
      <c r="A131" s="274"/>
      <c r="B131" s="279"/>
      <c r="C131" s="86"/>
      <c r="D131" s="283"/>
      <c r="E131" s="86"/>
      <c r="F131" s="566"/>
    </row>
    <row r="132" spans="1:6" ht="13.5" thickBot="1">
      <c r="A132" s="306"/>
      <c r="B132" s="281" t="s">
        <v>454</v>
      </c>
      <c r="C132" s="281"/>
      <c r="D132" s="281"/>
      <c r="E132" s="281"/>
      <c r="F132" s="566"/>
    </row>
    <row r="133" spans="1:6" ht="25.5" customHeight="1">
      <c r="A133" s="274">
        <v>72</v>
      </c>
      <c r="B133" s="207" t="s">
        <v>470</v>
      </c>
      <c r="C133" s="829">
        <v>98463.97</v>
      </c>
      <c r="D133" s="282" t="s">
        <v>471</v>
      </c>
      <c r="E133" s="283" t="s">
        <v>265</v>
      </c>
      <c r="F133" s="566"/>
    </row>
    <row r="134" spans="1:6" ht="25.5" customHeight="1">
      <c r="A134" s="274">
        <v>73</v>
      </c>
      <c r="B134" s="207" t="s">
        <v>472</v>
      </c>
      <c r="C134" s="829">
        <v>2247027.7009999999</v>
      </c>
      <c r="D134" s="282" t="s">
        <v>473</v>
      </c>
      <c r="E134" s="283" t="s">
        <v>265</v>
      </c>
      <c r="F134" s="566"/>
    </row>
    <row r="135" spans="1:6">
      <c r="A135" s="274">
        <v>74</v>
      </c>
      <c r="B135" s="88" t="s">
        <v>308</v>
      </c>
      <c r="C135" s="88"/>
      <c r="D135" s="247"/>
      <c r="E135" s="86"/>
      <c r="F135" s="566"/>
    </row>
    <row r="136" spans="1:6" ht="12.75" customHeight="1">
      <c r="A136" s="274">
        <v>75</v>
      </c>
      <c r="B136" s="207" t="s">
        <v>474</v>
      </c>
      <c r="C136" s="88"/>
      <c r="D136" s="213" t="s">
        <v>475</v>
      </c>
      <c r="E136" s="283" t="s">
        <v>265</v>
      </c>
      <c r="F136" s="566"/>
    </row>
    <row r="137" spans="1:6">
      <c r="A137" s="274"/>
      <c r="B137" s="207"/>
      <c r="C137" s="86"/>
      <c r="D137" s="282"/>
      <c r="E137" s="86"/>
      <c r="F137" s="566"/>
    </row>
    <row r="138" spans="1:6" ht="12.75" customHeight="1" thickBot="1">
      <c r="A138" s="306"/>
      <c r="B138" s="281" t="s">
        <v>476</v>
      </c>
      <c r="C138" s="281"/>
      <c r="D138" s="281"/>
      <c r="E138" s="281"/>
      <c r="F138" s="566"/>
    </row>
    <row r="139" spans="1:6">
      <c r="A139" s="274">
        <v>76</v>
      </c>
      <c r="B139" s="86" t="s">
        <v>477</v>
      </c>
      <c r="C139" s="247">
        <v>0</v>
      </c>
      <c r="D139" s="247">
        <v>62</v>
      </c>
      <c r="E139" s="283" t="s">
        <v>265</v>
      </c>
      <c r="F139" s="566"/>
    </row>
    <row r="140" spans="1:6" ht="12.75" customHeight="1">
      <c r="A140" s="274">
        <v>77</v>
      </c>
      <c r="B140" s="207" t="s">
        <v>478</v>
      </c>
      <c r="C140" s="247"/>
      <c r="D140" s="247">
        <v>62</v>
      </c>
      <c r="E140" s="283" t="s">
        <v>265</v>
      </c>
      <c r="F140" s="566"/>
    </row>
    <row r="141" spans="1:6">
      <c r="A141" s="274">
        <v>78</v>
      </c>
      <c r="B141" s="86" t="s">
        <v>415</v>
      </c>
      <c r="C141" s="247">
        <v>0</v>
      </c>
      <c r="D141" s="247">
        <v>62</v>
      </c>
      <c r="E141" s="283" t="s">
        <v>265</v>
      </c>
      <c r="F141" s="566"/>
    </row>
    <row r="142" spans="1:6" ht="12.75" customHeight="1">
      <c r="A142" s="274">
        <v>79</v>
      </c>
      <c r="B142" s="207" t="s">
        <v>479</v>
      </c>
      <c r="C142" s="247"/>
      <c r="D142" s="247">
        <v>62</v>
      </c>
      <c r="E142" s="283" t="s">
        <v>265</v>
      </c>
      <c r="F142" s="566"/>
    </row>
    <row r="143" spans="1:6">
      <c r="A143" s="274"/>
      <c r="B143" s="207"/>
      <c r="C143" s="247"/>
      <c r="D143" s="283"/>
      <c r="E143" s="86"/>
      <c r="F143" s="566"/>
    </row>
    <row r="144" spans="1:6" ht="12.75" customHeight="1" thickBot="1">
      <c r="A144" s="306"/>
      <c r="B144" s="281" t="s">
        <v>480</v>
      </c>
      <c r="C144" s="281"/>
      <c r="D144" s="281"/>
      <c r="E144" s="281"/>
      <c r="F144" s="566"/>
    </row>
    <row r="145" spans="1:6" ht="12.75" customHeight="1">
      <c r="A145" s="274">
        <v>80</v>
      </c>
      <c r="B145" s="207" t="s">
        <v>481</v>
      </c>
      <c r="C145" s="247"/>
      <c r="D145" s="213" t="s">
        <v>482</v>
      </c>
      <c r="E145" s="283" t="s">
        <v>265</v>
      </c>
      <c r="F145" s="566"/>
    </row>
    <row r="146" spans="1:6" ht="12.75" customHeight="1">
      <c r="A146" s="274">
        <v>81</v>
      </c>
      <c r="B146" s="207" t="s">
        <v>483</v>
      </c>
      <c r="C146" s="247"/>
      <c r="D146" s="213" t="s">
        <v>482</v>
      </c>
      <c r="E146" s="283" t="s">
        <v>265</v>
      </c>
      <c r="F146" s="566"/>
    </row>
    <row r="147" spans="1:6" ht="12.75" customHeight="1">
      <c r="A147" s="274">
        <v>82</v>
      </c>
      <c r="B147" s="207" t="s">
        <v>484</v>
      </c>
      <c r="C147" s="336"/>
      <c r="D147" s="213" t="s">
        <v>485</v>
      </c>
      <c r="E147" s="283" t="s">
        <v>265</v>
      </c>
      <c r="F147" s="566"/>
    </row>
    <row r="148" spans="1:6" ht="12.75" customHeight="1">
      <c r="A148" s="274">
        <v>83</v>
      </c>
      <c r="B148" s="207" t="s">
        <v>486</v>
      </c>
      <c r="C148" s="336"/>
      <c r="D148" s="213" t="s">
        <v>485</v>
      </c>
      <c r="E148" s="283" t="s">
        <v>265</v>
      </c>
      <c r="F148" s="566"/>
    </row>
    <row r="149" spans="1:6" ht="12.75" customHeight="1">
      <c r="A149" s="274">
        <v>84</v>
      </c>
      <c r="B149" s="207" t="s">
        <v>487</v>
      </c>
      <c r="C149" s="336"/>
      <c r="D149" s="213" t="s">
        <v>488</v>
      </c>
      <c r="E149" s="283" t="s">
        <v>265</v>
      </c>
      <c r="F149" s="566"/>
    </row>
    <row r="150" spans="1:6" ht="12.75" customHeight="1">
      <c r="A150" s="274">
        <v>85</v>
      </c>
      <c r="B150" s="207" t="s">
        <v>489</v>
      </c>
      <c r="C150" s="336"/>
      <c r="D150" s="213" t="s">
        <v>488</v>
      </c>
      <c r="E150" s="283" t="s">
        <v>265</v>
      </c>
      <c r="F150" s="566"/>
    </row>
    <row r="151" spans="1:6">
      <c r="A151" s="86"/>
      <c r="B151" s="86"/>
      <c r="C151" s="86"/>
      <c r="D151" s="86"/>
      <c r="E151" s="86"/>
    </row>
  </sheetData>
  <mergeCells count="1">
    <mergeCell ref="A17:E17"/>
  </mergeCell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51"/>
  <sheetViews>
    <sheetView zoomScaleNormal="100" workbookViewId="0">
      <pane xSplit="1" ySplit="5" topLeftCell="B6" activePane="bottomRight" state="frozen"/>
      <selection activeCell="H19" sqref="H19"/>
      <selection pane="topRight" activeCell="H19" sqref="H19"/>
      <selection pane="bottomLeft" activeCell="H19" sqref="H19"/>
      <selection pane="bottomRight"/>
    </sheetView>
  </sheetViews>
  <sheetFormatPr baseColWidth="10" defaultColWidth="11" defaultRowHeight="12"/>
  <cols>
    <col min="1" max="1" width="50.5" style="355" customWidth="1"/>
    <col min="2" max="2" width="17.375" style="355" customWidth="1"/>
    <col min="3" max="5" width="17.25" style="355" customWidth="1"/>
    <col min="6" max="6" width="17.25" style="763" customWidth="1"/>
    <col min="7" max="7" width="17.25" style="414" customWidth="1"/>
    <col min="8" max="8" width="11" style="355"/>
    <col min="9" max="9" width="19" style="355" customWidth="1"/>
    <col min="10" max="10" width="11.875" style="355" customWidth="1"/>
    <col min="11" max="16384" width="11" style="355"/>
  </cols>
  <sheetData>
    <row r="1" spans="1:10" ht="21">
      <c r="A1" s="549" t="s">
        <v>780</v>
      </c>
      <c r="B1" s="566"/>
      <c r="C1" s="566"/>
      <c r="D1" s="291"/>
      <c r="E1" s="566"/>
      <c r="G1" s="566"/>
      <c r="H1" s="291"/>
      <c r="I1" s="566"/>
      <c r="J1" s="566"/>
    </row>
    <row r="2" spans="1:10">
      <c r="A2" s="566"/>
      <c r="B2" s="303"/>
      <c r="C2" s="303"/>
      <c r="D2" s="303"/>
      <c r="E2" s="303"/>
      <c r="F2" s="303"/>
      <c r="G2" s="303"/>
      <c r="H2" s="303"/>
      <c r="I2" s="303"/>
      <c r="J2" s="303"/>
    </row>
    <row r="3" spans="1:10">
      <c r="A3" s="303"/>
      <c r="B3" s="303"/>
      <c r="C3" s="303"/>
      <c r="D3" s="303"/>
      <c r="E3" s="303"/>
      <c r="F3" s="303"/>
      <c r="G3" s="303"/>
      <c r="H3" s="303"/>
      <c r="I3" s="303"/>
      <c r="J3" s="303"/>
    </row>
    <row r="4" spans="1:10" ht="48.75" customHeight="1">
      <c r="A4" s="570"/>
      <c r="B4" s="284" t="s">
        <v>877</v>
      </c>
      <c r="C4" s="419" t="s">
        <v>532</v>
      </c>
      <c r="D4" s="284" t="s">
        <v>533</v>
      </c>
      <c r="E4" s="419" t="s">
        <v>836</v>
      </c>
      <c r="F4" s="419" t="s">
        <v>883</v>
      </c>
      <c r="G4" s="284" t="s">
        <v>534</v>
      </c>
      <c r="H4" s="284" t="s">
        <v>878</v>
      </c>
      <c r="I4" s="284" t="s">
        <v>490</v>
      </c>
    </row>
    <row r="5" spans="1:10" ht="12.75" customHeight="1" thickBot="1">
      <c r="A5" s="281" t="s">
        <v>491</v>
      </c>
      <c r="B5" s="295"/>
      <c r="C5" s="295"/>
      <c r="D5" s="295"/>
      <c r="E5" s="295"/>
      <c r="F5" s="295"/>
      <c r="G5" s="295"/>
      <c r="H5" s="299"/>
      <c r="I5" s="295"/>
    </row>
    <row r="6" spans="1:10" ht="12.75" customHeight="1">
      <c r="A6" s="613" t="s">
        <v>492</v>
      </c>
      <c r="B6" s="462">
        <v>76</v>
      </c>
      <c r="C6" s="462">
        <v>0</v>
      </c>
      <c r="D6" s="462">
        <v>0</v>
      </c>
      <c r="E6" s="462">
        <v>0</v>
      </c>
      <c r="F6" s="462">
        <v>0</v>
      </c>
      <c r="G6" s="847"/>
      <c r="H6" s="300">
        <f t="shared" ref="H6:H16" si="0">SUM(B6:G6)</f>
        <v>76</v>
      </c>
      <c r="I6" s="296"/>
    </row>
    <row r="7" spans="1:10" ht="12.75" customHeight="1">
      <c r="A7" s="613" t="s">
        <v>493</v>
      </c>
      <c r="B7" s="462">
        <v>4116</v>
      </c>
      <c r="C7" s="462">
        <v>0</v>
      </c>
      <c r="D7" s="462">
        <v>275.64351762835798</v>
      </c>
      <c r="E7" s="843">
        <v>-1.623349605639552</v>
      </c>
      <c r="F7" s="843">
        <v>146.28094507670002</v>
      </c>
      <c r="G7" s="847">
        <v>-158</v>
      </c>
      <c r="H7" s="300">
        <f>SUM(B7:G7)</f>
        <v>4378.3011130994182</v>
      </c>
      <c r="I7" s="296"/>
    </row>
    <row r="8" spans="1:10" ht="12.75" customHeight="1">
      <c r="A8" s="613" t="s">
        <v>567</v>
      </c>
      <c r="B8" s="462">
        <v>224597</v>
      </c>
      <c r="C8" s="462">
        <v>0</v>
      </c>
      <c r="D8" s="462">
        <v>10888.247268004132</v>
      </c>
      <c r="E8" s="843">
        <v>943.18537559263245</v>
      </c>
      <c r="F8" s="843">
        <v>0</v>
      </c>
      <c r="G8" s="847"/>
      <c r="H8" s="300">
        <f t="shared" si="0"/>
        <v>236428.43264359678</v>
      </c>
      <c r="I8" s="296"/>
    </row>
    <row r="9" spans="1:10" ht="12.75" customHeight="1">
      <c r="A9" s="613" t="s">
        <v>494</v>
      </c>
      <c r="B9" s="462">
        <v>52903</v>
      </c>
      <c r="C9" s="462">
        <v>0</v>
      </c>
      <c r="D9" s="462">
        <v>2277.1913484480838</v>
      </c>
      <c r="E9" s="843">
        <v>0</v>
      </c>
      <c r="F9" s="843">
        <v>0</v>
      </c>
      <c r="G9" s="812"/>
      <c r="H9" s="300">
        <f t="shared" si="0"/>
        <v>55180.191348448083</v>
      </c>
      <c r="I9" s="296"/>
    </row>
    <row r="10" spans="1:10" ht="12.75" customHeight="1">
      <c r="A10" s="613" t="s">
        <v>495</v>
      </c>
      <c r="B10" s="462">
        <v>5687</v>
      </c>
      <c r="C10" s="462">
        <v>0</v>
      </c>
      <c r="D10" s="462">
        <v>29.516442763204001</v>
      </c>
      <c r="E10" s="843">
        <v>0</v>
      </c>
      <c r="F10" s="843">
        <v>0</v>
      </c>
      <c r="G10" s="847"/>
      <c r="H10" s="300">
        <f t="shared" si="0"/>
        <v>5716.5164427632044</v>
      </c>
      <c r="I10" s="296"/>
    </row>
    <row r="11" spans="1:10" ht="12.75" customHeight="1">
      <c r="A11" s="613" t="s">
        <v>496</v>
      </c>
      <c r="B11" s="462">
        <v>970</v>
      </c>
      <c r="C11" s="462">
        <v>0</v>
      </c>
      <c r="D11" s="462">
        <v>311.57577698770996</v>
      </c>
      <c r="E11" s="843">
        <v>0</v>
      </c>
      <c r="F11" s="843">
        <v>0</v>
      </c>
      <c r="G11" s="847"/>
      <c r="H11" s="300">
        <f t="shared" si="0"/>
        <v>1281.57577698771</v>
      </c>
      <c r="I11" s="296"/>
    </row>
    <row r="12" spans="1:10" ht="12.75" customHeight="1">
      <c r="A12" s="613" t="s">
        <v>497</v>
      </c>
      <c r="B12" s="462">
        <v>4443</v>
      </c>
      <c r="C12" s="462">
        <v>0</v>
      </c>
      <c r="D12" s="462">
        <v>324.69337490960004</v>
      </c>
      <c r="E12" s="843">
        <v>0</v>
      </c>
      <c r="F12" s="843">
        <v>0</v>
      </c>
      <c r="G12" s="462">
        <v>-1936</v>
      </c>
      <c r="H12" s="300">
        <f t="shared" si="0"/>
        <v>2831.6933749095997</v>
      </c>
      <c r="I12" s="300" t="s">
        <v>535</v>
      </c>
    </row>
    <row r="13" spans="1:10" ht="12.75" customHeight="1">
      <c r="A13" s="613" t="s">
        <v>498</v>
      </c>
      <c r="B13" s="462">
        <v>0</v>
      </c>
      <c r="C13" s="462">
        <v>0</v>
      </c>
      <c r="D13" s="462">
        <v>1.7860199999999999</v>
      </c>
      <c r="E13" s="843">
        <v>0</v>
      </c>
      <c r="F13" s="843">
        <v>0</v>
      </c>
      <c r="G13" s="847"/>
      <c r="H13" s="300">
        <f t="shared" si="0"/>
        <v>1.7860199999999999</v>
      </c>
      <c r="I13" s="296"/>
    </row>
    <row r="14" spans="1:10" s="608" customFormat="1" ht="12.75" customHeight="1">
      <c r="A14" s="613" t="s">
        <v>811</v>
      </c>
      <c r="B14" s="462">
        <v>1037</v>
      </c>
      <c r="C14" s="462">
        <v>0</v>
      </c>
      <c r="D14" s="462">
        <v>0</v>
      </c>
      <c r="E14" s="843">
        <v>1.8470204985279983</v>
      </c>
      <c r="F14" s="843">
        <v>0</v>
      </c>
      <c r="G14" s="847"/>
      <c r="H14" s="300">
        <f t="shared" si="0"/>
        <v>1038.8470204985281</v>
      </c>
      <c r="I14" s="296"/>
    </row>
    <row r="15" spans="1:10" ht="12.75" customHeight="1">
      <c r="A15" s="613" t="s">
        <v>499</v>
      </c>
      <c r="B15" s="462">
        <v>471</v>
      </c>
      <c r="C15" s="462">
        <v>0.179576461617</v>
      </c>
      <c r="D15" s="462">
        <v>4.8027764748420019</v>
      </c>
      <c r="E15" s="843">
        <v>14.398921300633901</v>
      </c>
      <c r="F15" s="843">
        <v>41.494890838899998</v>
      </c>
      <c r="G15" s="847"/>
      <c r="H15" s="300">
        <f t="shared" si="0"/>
        <v>531.87616507599284</v>
      </c>
      <c r="I15" s="296"/>
    </row>
    <row r="16" spans="1:10" ht="12.75" customHeight="1">
      <c r="A16" s="613" t="s">
        <v>500</v>
      </c>
      <c r="B16" s="462">
        <v>2687</v>
      </c>
      <c r="C16" s="462">
        <v>0</v>
      </c>
      <c r="D16" s="462">
        <v>63.171755411718003</v>
      </c>
      <c r="E16" s="843">
        <v>15.647991557763994</v>
      </c>
      <c r="F16" s="843">
        <v>45.758259861599996</v>
      </c>
      <c r="G16" s="847"/>
      <c r="H16" s="300">
        <f t="shared" si="0"/>
        <v>2811.5780068310819</v>
      </c>
      <c r="I16" s="296"/>
    </row>
    <row r="17" spans="1:9" ht="12.75" customHeight="1">
      <c r="A17" s="82" t="s">
        <v>501</v>
      </c>
      <c r="B17" s="770">
        <f>SUM(B6:B16)</f>
        <v>296987</v>
      </c>
      <c r="C17" s="770">
        <f>SUM(C6:C16)</f>
        <v>0.179576461617</v>
      </c>
      <c r="D17" s="770">
        <f t="shared" ref="D17:G17" si="1">SUM(D6:D16)</f>
        <v>14176.628280627649</v>
      </c>
      <c r="E17" s="770">
        <f t="shared" si="1"/>
        <v>973.45595934391883</v>
      </c>
      <c r="F17" s="770">
        <f t="shared" si="1"/>
        <v>233.53409577720004</v>
      </c>
      <c r="G17" s="770">
        <f t="shared" si="1"/>
        <v>-2094</v>
      </c>
      <c r="H17" s="770">
        <f>SUM(H6:H16)</f>
        <v>310276.79791221034</v>
      </c>
      <c r="I17" s="301"/>
    </row>
    <row r="18" spans="1:9" ht="12.75" customHeight="1">
      <c r="A18" s="13"/>
      <c r="B18" s="771"/>
      <c r="C18" s="771"/>
      <c r="D18" s="771"/>
      <c r="E18" s="771"/>
      <c r="F18" s="771"/>
      <c r="G18" s="771"/>
      <c r="H18" s="771"/>
      <c r="I18" s="234"/>
    </row>
    <row r="19" spans="1:9" ht="12.75" customHeight="1" thickBot="1">
      <c r="A19" s="281" t="s">
        <v>502</v>
      </c>
      <c r="B19" s="295"/>
      <c r="C19" s="295"/>
      <c r="D19" s="295"/>
      <c r="E19" s="295"/>
      <c r="F19" s="295"/>
      <c r="G19" s="295"/>
      <c r="H19" s="299"/>
      <c r="I19" s="295"/>
    </row>
    <row r="20" spans="1:9" ht="12.75" customHeight="1">
      <c r="A20" s="613" t="s">
        <v>503</v>
      </c>
      <c r="B20" s="462">
        <v>1291</v>
      </c>
      <c r="C20" s="462">
        <v>0</v>
      </c>
      <c r="D20" s="462">
        <v>14.560877738709156</v>
      </c>
      <c r="E20" s="844">
        <v>767.7</v>
      </c>
      <c r="F20" s="844">
        <v>0</v>
      </c>
      <c r="G20" s="847">
        <v>-158</v>
      </c>
      <c r="H20" s="300">
        <f t="shared" ref="H20:H30" si="2">SUM(B20:G20)</f>
        <v>1915.2608777387095</v>
      </c>
      <c r="I20" s="296"/>
    </row>
    <row r="21" spans="1:9" ht="12.75" customHeight="1">
      <c r="A21" s="613" t="s">
        <v>504</v>
      </c>
      <c r="B21" s="462">
        <v>132283</v>
      </c>
      <c r="C21" s="462">
        <v>0</v>
      </c>
      <c r="D21" s="462">
        <v>7435.7293108630256</v>
      </c>
      <c r="E21" s="844">
        <v>0</v>
      </c>
      <c r="F21" s="844">
        <v>0</v>
      </c>
      <c r="G21" s="847"/>
      <c r="H21" s="300">
        <f t="shared" si="2"/>
        <v>139718.72931086301</v>
      </c>
      <c r="I21" s="296"/>
    </row>
    <row r="22" spans="1:9" ht="12.75" customHeight="1">
      <c r="A22" s="613" t="s">
        <v>163</v>
      </c>
      <c r="B22" s="462">
        <v>119883</v>
      </c>
      <c r="C22" s="462">
        <v>0</v>
      </c>
      <c r="D22" s="462">
        <v>4774.3741971609561</v>
      </c>
      <c r="E22" s="844">
        <v>0</v>
      </c>
      <c r="F22" s="844">
        <v>0</v>
      </c>
      <c r="G22" s="847"/>
      <c r="H22" s="300">
        <f t="shared" si="2"/>
        <v>124657.37419716096</v>
      </c>
      <c r="I22" s="296"/>
    </row>
    <row r="23" spans="1:9" ht="12.75" customHeight="1">
      <c r="A23" s="613" t="s">
        <v>495</v>
      </c>
      <c r="B23" s="462">
        <v>3458</v>
      </c>
      <c r="C23" s="462">
        <v>0</v>
      </c>
      <c r="D23" s="462">
        <v>27.412209442868004</v>
      </c>
      <c r="E23" s="844">
        <v>0</v>
      </c>
      <c r="F23" s="844">
        <v>0</v>
      </c>
      <c r="G23" s="847"/>
      <c r="H23" s="300">
        <f t="shared" si="2"/>
        <v>3485.4122094428681</v>
      </c>
      <c r="I23" s="296"/>
    </row>
    <row r="24" spans="1:9" ht="12.75" customHeight="1">
      <c r="A24" s="613" t="s">
        <v>505</v>
      </c>
      <c r="B24" s="812">
        <v>0</v>
      </c>
      <c r="C24" s="462">
        <v>0</v>
      </c>
      <c r="D24" s="812">
        <v>0</v>
      </c>
      <c r="E24" s="844">
        <v>0</v>
      </c>
      <c r="F24" s="844">
        <v>14.114853672600001</v>
      </c>
      <c r="G24" s="86"/>
      <c r="H24" s="300">
        <f t="shared" si="2"/>
        <v>14.114853672600001</v>
      </c>
      <c r="I24" s="88"/>
    </row>
    <row r="25" spans="1:9" ht="13.5" customHeight="1">
      <c r="A25" s="613" t="s">
        <v>506</v>
      </c>
      <c r="B25" s="462">
        <v>11579</v>
      </c>
      <c r="C25" s="462">
        <v>0</v>
      </c>
      <c r="D25" s="462">
        <v>104.93970665370199</v>
      </c>
      <c r="E25" s="844">
        <v>32.785414640153888</v>
      </c>
      <c r="F25" s="844">
        <v>91.408480944700003</v>
      </c>
      <c r="G25" s="847"/>
      <c r="H25" s="300">
        <f t="shared" si="2"/>
        <v>11808.133602238555</v>
      </c>
      <c r="I25" s="296"/>
    </row>
    <row r="26" spans="1:9" ht="12.75" customHeight="1">
      <c r="A26" s="613" t="s">
        <v>507</v>
      </c>
      <c r="B26" s="462">
        <v>2142</v>
      </c>
      <c r="C26" s="462">
        <v>0</v>
      </c>
      <c r="D26" s="462">
        <v>184.23602101094804</v>
      </c>
      <c r="E26" s="844">
        <v>0</v>
      </c>
      <c r="F26" s="844">
        <v>0</v>
      </c>
      <c r="G26" s="847"/>
      <c r="H26" s="300">
        <f t="shared" si="2"/>
        <v>2326.2360210109482</v>
      </c>
      <c r="I26" s="296"/>
    </row>
    <row r="27" spans="1:9" ht="12.75" customHeight="1">
      <c r="A27" s="614" t="s">
        <v>665</v>
      </c>
      <c r="B27" s="772">
        <v>0</v>
      </c>
      <c r="C27" s="772">
        <v>0</v>
      </c>
      <c r="D27" s="772">
        <v>0</v>
      </c>
      <c r="E27" s="845">
        <v>0</v>
      </c>
      <c r="F27" s="845">
        <v>0</v>
      </c>
      <c r="G27" s="849"/>
      <c r="H27" s="462">
        <f t="shared" si="2"/>
        <v>0</v>
      </c>
      <c r="I27" s="296"/>
    </row>
    <row r="28" spans="1:9" s="418" customFormat="1" ht="12.75" customHeight="1">
      <c r="A28" s="614" t="s">
        <v>666</v>
      </c>
      <c r="B28" s="841">
        <v>1850</v>
      </c>
      <c r="C28" s="773">
        <v>0</v>
      </c>
      <c r="D28" s="773">
        <v>101</v>
      </c>
      <c r="E28" s="773">
        <v>0</v>
      </c>
      <c r="F28" s="773">
        <v>0</v>
      </c>
      <c r="G28" s="849"/>
      <c r="H28" s="462">
        <f t="shared" si="2"/>
        <v>1951</v>
      </c>
      <c r="I28" s="300" t="s">
        <v>750</v>
      </c>
    </row>
    <row r="29" spans="1:9" ht="12.75" customHeight="1">
      <c r="A29" s="614" t="s">
        <v>508</v>
      </c>
      <c r="B29" s="841">
        <v>2054</v>
      </c>
      <c r="C29" s="772">
        <v>0</v>
      </c>
      <c r="D29" s="773">
        <v>139.80000000000001</v>
      </c>
      <c r="E29" s="845">
        <v>0</v>
      </c>
      <c r="F29" s="845">
        <v>0</v>
      </c>
      <c r="G29" s="849"/>
      <c r="H29" s="462">
        <f t="shared" si="2"/>
        <v>2193.8000000000002</v>
      </c>
      <c r="I29" s="300" t="s">
        <v>750</v>
      </c>
    </row>
    <row r="30" spans="1:9" ht="12.75" customHeight="1">
      <c r="A30" s="614" t="s">
        <v>509</v>
      </c>
      <c r="B30" s="774"/>
      <c r="C30" s="774"/>
      <c r="D30" s="774">
        <v>0</v>
      </c>
      <c r="E30" s="846"/>
      <c r="F30" s="846"/>
      <c r="G30" s="850"/>
      <c r="H30" s="300">
        <f t="shared" si="2"/>
        <v>0</v>
      </c>
      <c r="I30" s="298"/>
    </row>
    <row r="31" spans="1:9" ht="12.75" customHeight="1">
      <c r="A31" s="614" t="s">
        <v>510</v>
      </c>
      <c r="B31" s="774"/>
      <c r="C31" s="774"/>
      <c r="D31" s="774"/>
      <c r="E31" s="774"/>
      <c r="F31" s="774"/>
      <c r="G31" s="850"/>
      <c r="H31" s="300"/>
      <c r="I31" s="298"/>
    </row>
    <row r="32" spans="1:9" ht="12.75" customHeight="1">
      <c r="A32" s="82" t="s">
        <v>511</v>
      </c>
      <c r="B32" s="770">
        <f>SUM(B20:B26)</f>
        <v>270636</v>
      </c>
      <c r="C32" s="770">
        <f t="shared" ref="C32:G32" si="3">SUM(C20:C26)</f>
        <v>0</v>
      </c>
      <c r="D32" s="770">
        <f>SUM(D20:D26)</f>
        <v>12541.252322870208</v>
      </c>
      <c r="E32" s="770">
        <f t="shared" si="3"/>
        <v>800.48541464015398</v>
      </c>
      <c r="F32" s="770">
        <f t="shared" si="3"/>
        <v>105.52333461730001</v>
      </c>
      <c r="G32" s="770">
        <f t="shared" si="3"/>
        <v>-158</v>
      </c>
      <c r="H32" s="770">
        <f>SUM(H20:H26)</f>
        <v>283925.26107212767</v>
      </c>
      <c r="I32" s="301"/>
    </row>
    <row r="33" spans="1:11" ht="12.75" customHeight="1">
      <c r="A33" s="13"/>
      <c r="B33" s="771"/>
      <c r="C33" s="771"/>
      <c r="D33" s="771"/>
      <c r="E33" s="771"/>
      <c r="F33" s="771"/>
      <c r="G33" s="771"/>
      <c r="H33" s="771"/>
      <c r="I33" s="234"/>
    </row>
    <row r="34" spans="1:11" ht="12.75" customHeight="1" thickBot="1">
      <c r="A34" s="281" t="s">
        <v>512</v>
      </c>
      <c r="B34" s="295"/>
      <c r="C34" s="295"/>
      <c r="D34" s="295"/>
      <c r="E34" s="295"/>
      <c r="F34" s="295"/>
      <c r="G34" s="295"/>
      <c r="H34" s="299"/>
      <c r="I34" s="295"/>
    </row>
    <row r="35" spans="1:11" ht="12.75" customHeight="1">
      <c r="A35" s="292" t="s">
        <v>513</v>
      </c>
      <c r="B35" s="462">
        <v>7981</v>
      </c>
      <c r="C35" s="775">
        <v>0</v>
      </c>
      <c r="D35" s="775">
        <v>392.37058531520006</v>
      </c>
      <c r="E35" s="844">
        <v>152.70396617</v>
      </c>
      <c r="F35" s="844">
        <v>37.260879073399998</v>
      </c>
      <c r="G35" s="775">
        <v>-582.33543055860014</v>
      </c>
      <c r="H35" s="307">
        <f>SUM(B35:G35)</f>
        <v>7981</v>
      </c>
      <c r="I35" s="307" t="s">
        <v>73</v>
      </c>
    </row>
    <row r="36" spans="1:11" s="417" customFormat="1" ht="12.75" customHeight="1">
      <c r="A36" s="293" t="s">
        <v>666</v>
      </c>
      <c r="B36" s="841">
        <v>1850</v>
      </c>
      <c r="C36" s="773"/>
      <c r="D36" s="775"/>
      <c r="E36" s="844"/>
      <c r="F36" s="844"/>
      <c r="G36" s="775"/>
      <c r="H36" s="848">
        <f>SUM(B36:G36)</f>
        <v>1850</v>
      </c>
      <c r="I36" s="308"/>
    </row>
    <row r="37" spans="1:11" ht="12.75" customHeight="1">
      <c r="A37" s="292" t="s">
        <v>10</v>
      </c>
      <c r="B37" s="462">
        <v>14253</v>
      </c>
      <c r="C37" s="775">
        <v>1.2421839213E-2</v>
      </c>
      <c r="D37" s="775">
        <v>1118.175631649246</v>
      </c>
      <c r="E37" s="844">
        <v>10.263682378291998</v>
      </c>
      <c r="F37" s="844">
        <v>69.127073661199987</v>
      </c>
      <c r="G37" s="775">
        <v>-1197.5663876887381</v>
      </c>
      <c r="H37" s="307">
        <f>SUM(B37:G37)</f>
        <v>14253.012421839216</v>
      </c>
      <c r="I37" s="307" t="s">
        <v>73</v>
      </c>
    </row>
    <row r="38" spans="1:11" s="714" customFormat="1">
      <c r="A38" s="292" t="s">
        <v>575</v>
      </c>
      <c r="B38" s="462">
        <v>2267</v>
      </c>
      <c r="C38" s="775">
        <v>0</v>
      </c>
      <c r="D38" s="775">
        <v>124.829740793</v>
      </c>
      <c r="E38" s="844">
        <v>10.002896129862007</v>
      </c>
      <c r="F38" s="844">
        <v>21.622807927500002</v>
      </c>
      <c r="G38" s="775">
        <v>-156.455444850362</v>
      </c>
      <c r="H38" s="307">
        <f>+B38</f>
        <v>2267</v>
      </c>
      <c r="I38" s="307"/>
      <c r="K38" s="18"/>
    </row>
    <row r="39" spans="1:11">
      <c r="A39" s="82" t="s">
        <v>514</v>
      </c>
      <c r="B39" s="770">
        <f t="shared" ref="B39:H39" si="4">SUM(B35:B38)</f>
        <v>26351</v>
      </c>
      <c r="C39" s="770">
        <f t="shared" si="4"/>
        <v>1.2421839213E-2</v>
      </c>
      <c r="D39" s="770">
        <f t="shared" si="4"/>
        <v>1635.375957757446</v>
      </c>
      <c r="E39" s="770">
        <f t="shared" si="4"/>
        <v>172.970544678154</v>
      </c>
      <c r="F39" s="770">
        <f t="shared" si="4"/>
        <v>128.01076066209998</v>
      </c>
      <c r="G39" s="770">
        <f t="shared" si="4"/>
        <v>-1936.3572630977003</v>
      </c>
      <c r="H39" s="770">
        <f t="shared" si="4"/>
        <v>26351.012421839216</v>
      </c>
      <c r="I39" s="358" t="s">
        <v>73</v>
      </c>
    </row>
    <row r="40" spans="1:11" ht="12.75" customHeight="1">
      <c r="A40" s="294"/>
      <c r="B40" s="776"/>
      <c r="C40" s="776"/>
      <c r="D40" s="776"/>
      <c r="E40" s="776"/>
      <c r="F40" s="776"/>
      <c r="G40" s="776"/>
      <c r="H40" s="776"/>
      <c r="I40" s="297"/>
    </row>
    <row r="41" spans="1:11" ht="12.75" thickBot="1">
      <c r="A41" s="281" t="s">
        <v>515</v>
      </c>
      <c r="B41" s="842">
        <f t="shared" ref="B41:H41" si="5">B32+B39</f>
        <v>296987</v>
      </c>
      <c r="C41" s="777">
        <f t="shared" si="5"/>
        <v>1.2421839213E-2</v>
      </c>
      <c r="D41" s="777">
        <f t="shared" si="5"/>
        <v>14176.628280627654</v>
      </c>
      <c r="E41" s="777">
        <f t="shared" si="5"/>
        <v>973.45595931830803</v>
      </c>
      <c r="F41" s="777">
        <f t="shared" si="5"/>
        <v>233.53409527939999</v>
      </c>
      <c r="G41" s="777">
        <f t="shared" si="5"/>
        <v>-2094.3572630977005</v>
      </c>
      <c r="H41" s="777">
        <f t="shared" si="5"/>
        <v>310276.2734939669</v>
      </c>
      <c r="I41" s="302"/>
    </row>
    <row r="42" spans="1:11">
      <c r="A42" s="566"/>
      <c r="B42" s="566"/>
      <c r="C42" s="566"/>
      <c r="D42" s="566"/>
      <c r="E42" s="566"/>
      <c r="G42" s="566"/>
      <c r="H42" s="566"/>
      <c r="I42" s="304"/>
      <c r="J42" s="566"/>
    </row>
    <row r="43" spans="1:11">
      <c r="A43" s="566"/>
      <c r="B43" s="566"/>
      <c r="C43" s="566"/>
      <c r="D43" s="566"/>
      <c r="E43" s="566"/>
      <c r="G43" s="566"/>
      <c r="H43" s="566"/>
      <c r="I43" s="566"/>
      <c r="J43" s="566"/>
    </row>
    <row r="44" spans="1:11">
      <c r="A44" s="566" t="s">
        <v>812</v>
      </c>
      <c r="B44" s="566"/>
      <c r="C44" s="566"/>
      <c r="D44" s="566"/>
      <c r="E44" s="566"/>
      <c r="G44" s="566"/>
      <c r="H44" s="566"/>
      <c r="I44" s="566"/>
      <c r="J44" s="566"/>
    </row>
    <row r="45" spans="1:11">
      <c r="A45" s="566" t="s">
        <v>655</v>
      </c>
      <c r="B45" s="566"/>
      <c r="C45" s="566"/>
      <c r="D45" s="566"/>
      <c r="E45" s="566"/>
      <c r="G45" s="566"/>
      <c r="H45" s="566"/>
      <c r="I45" s="566"/>
      <c r="J45" s="566"/>
    </row>
    <row r="46" spans="1:11">
      <c r="A46" s="566" t="s">
        <v>858</v>
      </c>
      <c r="B46" s="291"/>
      <c r="C46" s="291"/>
      <c r="D46" s="291"/>
      <c r="E46" s="291"/>
      <c r="F46" s="291"/>
      <c r="G46" s="291"/>
      <c r="H46" s="566"/>
      <c r="I46" s="566"/>
      <c r="J46" s="566"/>
    </row>
    <row r="47" spans="1:11">
      <c r="A47" s="566" t="s">
        <v>864</v>
      </c>
      <c r="B47" s="566"/>
      <c r="C47" s="566"/>
      <c r="D47" s="566"/>
      <c r="E47" s="566"/>
      <c r="G47" s="566"/>
      <c r="H47" s="566"/>
      <c r="I47" s="566"/>
      <c r="J47" s="566"/>
    </row>
    <row r="51" spans="2:2">
      <c r="B51" s="572"/>
    </row>
  </sheetData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  <ignoredErrors>
    <ignoredError sqref="B32:D32 E32:F32" formulaRange="1"/>
    <ignoredError sqref="H38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50"/>
  <sheetViews>
    <sheetView zoomScaleNormal="100" workbookViewId="0"/>
  </sheetViews>
  <sheetFormatPr baseColWidth="10" defaultColWidth="11" defaultRowHeight="12"/>
  <cols>
    <col min="1" max="1" width="82.5" style="355" customWidth="1"/>
    <col min="2" max="2" width="11.25" style="355" bestFit="1" customWidth="1"/>
    <col min="3" max="16384" width="11" style="355"/>
  </cols>
  <sheetData>
    <row r="1" spans="1:5" s="359" customFormat="1" ht="21">
      <c r="A1" s="549" t="s">
        <v>526</v>
      </c>
      <c r="B1" s="566"/>
      <c r="C1" s="566"/>
    </row>
    <row r="2" spans="1:5" s="359" customFormat="1">
      <c r="A2" s="566"/>
      <c r="B2" s="566"/>
      <c r="C2" s="566"/>
    </row>
    <row r="3" spans="1:5" s="359" customFormat="1" ht="12.75" thickBot="1">
      <c r="A3" s="295"/>
      <c r="B3" s="676">
        <v>44469</v>
      </c>
      <c r="C3" s="335">
        <v>44196</v>
      </c>
    </row>
    <row r="4" spans="1:5">
      <c r="A4" s="566" t="s">
        <v>584</v>
      </c>
      <c r="B4" s="18"/>
      <c r="C4" s="18"/>
    </row>
    <row r="5" spans="1:5">
      <c r="A5" s="566" t="s">
        <v>585</v>
      </c>
      <c r="B5" s="18"/>
      <c r="C5" s="18"/>
    </row>
    <row r="6" spans="1:5">
      <c r="A6" s="749" t="s">
        <v>586</v>
      </c>
      <c r="B6" s="18"/>
      <c r="C6" s="18"/>
      <c r="D6" s="749"/>
      <c r="E6" s="749"/>
    </row>
    <row r="7" spans="1:5">
      <c r="A7" s="749" t="s">
        <v>587</v>
      </c>
      <c r="B7" s="18"/>
      <c r="C7" s="18"/>
      <c r="D7" s="749"/>
      <c r="E7" s="749"/>
    </row>
    <row r="8" spans="1:5">
      <c r="A8" s="749" t="s">
        <v>588</v>
      </c>
      <c r="B8" s="18"/>
      <c r="C8" s="18"/>
      <c r="D8" s="749"/>
      <c r="E8" s="749"/>
    </row>
    <row r="9" spans="1:5">
      <c r="A9" s="749" t="s">
        <v>589</v>
      </c>
      <c r="B9" s="18">
        <v>3029027.6579999998</v>
      </c>
      <c r="C9" s="18">
        <v>4880131.6679999996</v>
      </c>
      <c r="D9" s="749"/>
      <c r="E9" s="749"/>
    </row>
    <row r="10" spans="1:5" s="359" customFormat="1">
      <c r="A10" s="749" t="s">
        <v>583</v>
      </c>
      <c r="B10" s="18">
        <v>-557440.27300000004</v>
      </c>
      <c r="C10" s="18">
        <v>-2176201.085</v>
      </c>
      <c r="D10" s="749"/>
      <c r="E10" s="749"/>
    </row>
    <row r="11" spans="1:5">
      <c r="A11" s="749" t="s">
        <v>590</v>
      </c>
      <c r="B11" s="18" t="s">
        <v>835</v>
      </c>
      <c r="C11" s="18" t="s">
        <v>835</v>
      </c>
      <c r="D11" s="749"/>
      <c r="E11" s="749"/>
    </row>
    <row r="12" spans="1:5">
      <c r="A12" s="749" t="s">
        <v>520</v>
      </c>
      <c r="B12" s="18">
        <v>1444641.6669999999</v>
      </c>
      <c r="C12" s="18">
        <v>1223065.33</v>
      </c>
      <c r="D12" s="749"/>
      <c r="E12" s="749"/>
    </row>
    <row r="13" spans="1:5" ht="12.75" customHeight="1">
      <c r="A13" s="749" t="s">
        <v>591</v>
      </c>
      <c r="B13" s="18" t="s">
        <v>797</v>
      </c>
      <c r="C13" s="18" t="s">
        <v>797</v>
      </c>
      <c r="D13" s="749"/>
      <c r="E13" s="749"/>
    </row>
    <row r="14" spans="1:5">
      <c r="A14" s="749" t="s">
        <v>592</v>
      </c>
      <c r="B14" s="18" t="s">
        <v>797</v>
      </c>
      <c r="C14" s="18" t="s">
        <v>797</v>
      </c>
      <c r="D14" s="749"/>
      <c r="E14" s="749"/>
    </row>
    <row r="15" spans="1:5" ht="12.75" customHeight="1">
      <c r="A15" s="749" t="s">
        <v>593</v>
      </c>
      <c r="B15" s="18" t="s">
        <v>797</v>
      </c>
      <c r="C15" s="18" t="s">
        <v>797</v>
      </c>
      <c r="D15" s="749"/>
      <c r="E15" s="749"/>
    </row>
    <row r="16" spans="1:5">
      <c r="A16" s="749" t="s">
        <v>594</v>
      </c>
      <c r="B16" s="18" t="s">
        <v>797</v>
      </c>
      <c r="C16" s="18" t="s">
        <v>797</v>
      </c>
      <c r="D16" s="749"/>
      <c r="E16" s="749"/>
    </row>
    <row r="17" spans="1:3">
      <c r="A17" s="566" t="s">
        <v>595</v>
      </c>
      <c r="B17" s="18" t="s">
        <v>797</v>
      </c>
      <c r="C17" s="18" t="s">
        <v>797</v>
      </c>
    </row>
    <row r="18" spans="1:3">
      <c r="A18" s="566" t="s">
        <v>596</v>
      </c>
      <c r="B18" s="18">
        <v>1991148.629</v>
      </c>
      <c r="C18" s="18">
        <v>1772247.8060000001</v>
      </c>
    </row>
    <row r="19" spans="1:3">
      <c r="A19" s="566" t="s">
        <v>597</v>
      </c>
      <c r="B19" s="18">
        <v>2812024.3960000002</v>
      </c>
      <c r="C19" s="18">
        <v>2167854.159</v>
      </c>
    </row>
    <row r="20" spans="1:3">
      <c r="A20" s="566" t="s">
        <v>598</v>
      </c>
      <c r="B20" s="18">
        <v>7755448.6040000003</v>
      </c>
      <c r="C20" s="18">
        <v>7549952.5939999996</v>
      </c>
    </row>
    <row r="21" spans="1:3">
      <c r="A21" s="566" t="s">
        <v>599</v>
      </c>
      <c r="B21" s="18">
        <v>5741899.2599999998</v>
      </c>
      <c r="C21" s="18">
        <v>5220399.7450000001</v>
      </c>
    </row>
    <row r="22" spans="1:3">
      <c r="A22" s="566" t="s">
        <v>521</v>
      </c>
      <c r="B22" s="18">
        <v>311363525.66500002</v>
      </c>
      <c r="C22" s="18">
        <v>289298975.81300002</v>
      </c>
    </row>
    <row r="23" spans="1:3">
      <c r="A23" s="566" t="s">
        <v>600</v>
      </c>
      <c r="B23" s="18" t="s">
        <v>797</v>
      </c>
      <c r="C23" s="18" t="s">
        <v>797</v>
      </c>
    </row>
    <row r="24" spans="1:3">
      <c r="A24" s="566" t="s">
        <v>601</v>
      </c>
      <c r="B24" s="18" t="s">
        <v>797</v>
      </c>
      <c r="C24" s="18" t="s">
        <v>797</v>
      </c>
    </row>
    <row r="25" spans="1:3">
      <c r="A25" s="566" t="s">
        <v>602</v>
      </c>
      <c r="B25" s="18" t="s">
        <v>797</v>
      </c>
      <c r="C25" s="18" t="s">
        <v>797</v>
      </c>
    </row>
    <row r="26" spans="1:3">
      <c r="A26" s="566" t="s">
        <v>603</v>
      </c>
      <c r="B26" s="18" t="s">
        <v>797</v>
      </c>
      <c r="C26" s="18" t="s">
        <v>797</v>
      </c>
    </row>
    <row r="27" spans="1:3">
      <c r="A27" s="566" t="s">
        <v>604</v>
      </c>
      <c r="B27" s="18" t="s">
        <v>797</v>
      </c>
      <c r="C27" s="18" t="s">
        <v>797</v>
      </c>
    </row>
    <row r="28" spans="1:3">
      <c r="A28" s="566" t="s">
        <v>605</v>
      </c>
      <c r="B28" s="18" t="s">
        <v>797</v>
      </c>
      <c r="C28" s="18" t="s">
        <v>797</v>
      </c>
    </row>
    <row r="29" spans="1:3">
      <c r="A29" s="566" t="s">
        <v>606</v>
      </c>
      <c r="B29" s="18" t="s">
        <v>797</v>
      </c>
      <c r="C29" s="18" t="s">
        <v>797</v>
      </c>
    </row>
    <row r="30" spans="1:3" ht="12.75" customHeight="1">
      <c r="A30" s="566" t="s">
        <v>607</v>
      </c>
      <c r="B30" s="18">
        <v>-182025.75700000001</v>
      </c>
      <c r="C30" s="18">
        <v>-196287.29300000001</v>
      </c>
    </row>
    <row r="31" spans="1:3">
      <c r="A31" s="566" t="s">
        <v>608</v>
      </c>
      <c r="B31" s="18">
        <f>+B30</f>
        <v>-182025.75700000001</v>
      </c>
      <c r="C31" s="18">
        <v>-196287.29300000001</v>
      </c>
    </row>
    <row r="32" spans="1:3">
      <c r="A32" s="566" t="s">
        <v>609</v>
      </c>
      <c r="B32" s="18">
        <f>SUM(B9:B30)</f>
        <v>333398249.84899998</v>
      </c>
      <c r="C32" s="18">
        <v>309740138.73699999</v>
      </c>
    </row>
    <row r="33" spans="1:5">
      <c r="A33" s="566" t="s">
        <v>610</v>
      </c>
      <c r="B33" s="18">
        <f>+B32</f>
        <v>333398249.84899998</v>
      </c>
      <c r="C33" s="18">
        <v>309740138.73699999</v>
      </c>
    </row>
    <row r="34" spans="1:5" ht="12.75" thickBot="1">
      <c r="A34" s="281" t="s">
        <v>613</v>
      </c>
      <c r="B34" s="830"/>
      <c r="C34" s="663"/>
    </row>
    <row r="35" spans="1:5">
      <c r="A35" s="566" t="s">
        <v>522</v>
      </c>
      <c r="B35" s="18">
        <v>24251489.322999999</v>
      </c>
      <c r="C35" s="18">
        <v>24127258.004000001</v>
      </c>
    </row>
    <row r="36" spans="1:5">
      <c r="A36" s="566" t="s">
        <v>611</v>
      </c>
      <c r="B36" s="18">
        <f>+B35</f>
        <v>24251489.322999999</v>
      </c>
      <c r="C36" s="18">
        <v>24127258.004000001</v>
      </c>
      <c r="E36" s="722"/>
    </row>
    <row r="37" spans="1:5" ht="12.75" thickBot="1">
      <c r="A37" s="281" t="s">
        <v>523</v>
      </c>
      <c r="B37" s="830"/>
      <c r="C37" s="663"/>
      <c r="E37" s="722"/>
    </row>
    <row r="38" spans="1:5">
      <c r="A38" s="566" t="s">
        <v>523</v>
      </c>
      <c r="B38" s="831">
        <f>+B35/B32</f>
        <v>7.2740301828170317E-2</v>
      </c>
      <c r="C38" s="415">
        <v>7.7895161093365528E-2</v>
      </c>
      <c r="E38" s="722"/>
    </row>
    <row r="39" spans="1:5">
      <c r="A39" s="566" t="s">
        <v>612</v>
      </c>
      <c r="B39" s="831">
        <f>+B38</f>
        <v>7.2740301828170317E-2</v>
      </c>
      <c r="C39" s="415">
        <v>7.7895161093365528E-2</v>
      </c>
      <c r="E39" s="722"/>
    </row>
    <row r="40" spans="1:5">
      <c r="A40" s="566"/>
      <c r="B40" s="566"/>
      <c r="C40" s="566"/>
      <c r="E40" s="722"/>
    </row>
    <row r="41" spans="1:5">
      <c r="A41" s="359"/>
      <c r="B41" s="359"/>
      <c r="C41" s="359"/>
      <c r="E41" s="722"/>
    </row>
    <row r="42" spans="1:5">
      <c r="E42" s="722"/>
    </row>
    <row r="50" spans="2:2">
      <c r="B50" s="572"/>
    </row>
  </sheetData>
  <conditionalFormatting sqref="B7:B8 B18 B12 B29">
    <cfRule type="cellIs" dxfId="3" priority="6" operator="lessThan">
      <formula>0</formula>
    </cfRule>
  </conditionalFormatting>
  <conditionalFormatting sqref="B27">
    <cfRule type="cellIs" dxfId="2" priority="5" operator="lessThan">
      <formula>B25</formula>
    </cfRule>
  </conditionalFormatting>
  <conditionalFormatting sqref="C7:C8 C18 C12 C29">
    <cfRule type="cellIs" dxfId="1" priority="2" operator="lessThan">
      <formula>0</formula>
    </cfRule>
  </conditionalFormatting>
  <conditionalFormatting sqref="C27">
    <cfRule type="cellIs" dxfId="0" priority="1" operator="lessThan">
      <formula>C25</formula>
    </cfRule>
  </conditionalFormatting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0"/>
  <sheetViews>
    <sheetView showGridLines="0" workbookViewId="0">
      <selection activeCell="C16" sqref="C16:C17"/>
    </sheetView>
  </sheetViews>
  <sheetFormatPr baseColWidth="10" defaultColWidth="11" defaultRowHeight="12.75"/>
  <cols>
    <col min="1" max="1" width="40.875" style="386" customWidth="1"/>
    <col min="2" max="2" width="12.5" style="386" customWidth="1"/>
    <col min="3" max="3" width="14.375" style="386" bestFit="1" customWidth="1"/>
    <col min="4" max="13" width="15.375" style="386" customWidth="1"/>
    <col min="14" max="16384" width="11" style="386"/>
  </cols>
  <sheetData>
    <row r="1" spans="1:14" ht="21">
      <c r="A1" s="549" t="s">
        <v>879</v>
      </c>
      <c r="G1" s="746"/>
    </row>
    <row r="3" spans="1:14">
      <c r="A3" s="387" t="s">
        <v>40</v>
      </c>
    </row>
    <row r="5" spans="1:14">
      <c r="A5" s="388" t="s">
        <v>632</v>
      </c>
      <c r="B5" s="389"/>
      <c r="C5" s="389"/>
      <c r="D5" s="390"/>
      <c r="E5" s="390"/>
      <c r="F5" s="391"/>
      <c r="G5" s="391"/>
      <c r="H5" s="391"/>
      <c r="I5" s="391"/>
      <c r="J5" s="391"/>
      <c r="K5" s="391"/>
      <c r="L5" s="391"/>
      <c r="M5" s="391"/>
    </row>
    <row r="6" spans="1:14" ht="24.75" customHeight="1">
      <c r="A6" s="388"/>
      <c r="B6" s="893" t="s">
        <v>633</v>
      </c>
      <c r="C6" s="893"/>
      <c r="D6" s="893" t="s">
        <v>634</v>
      </c>
      <c r="E6" s="893"/>
      <c r="F6" s="894" t="s">
        <v>635</v>
      </c>
      <c r="G6" s="894"/>
      <c r="H6" s="894" t="s">
        <v>636</v>
      </c>
      <c r="I6" s="894"/>
      <c r="J6" s="894"/>
      <c r="K6" s="894"/>
      <c r="L6" s="392"/>
      <c r="M6" s="393"/>
    </row>
    <row r="7" spans="1:14" ht="48.75" thickBot="1">
      <c r="A7" s="394"/>
      <c r="B7" s="395" t="s">
        <v>651</v>
      </c>
      <c r="C7" s="395" t="s">
        <v>652</v>
      </c>
      <c r="D7" s="395" t="s">
        <v>639</v>
      </c>
      <c r="E7" s="395" t="s">
        <v>640</v>
      </c>
      <c r="F7" s="395" t="s">
        <v>637</v>
      </c>
      <c r="G7" s="395" t="s">
        <v>638</v>
      </c>
      <c r="H7" s="395" t="s">
        <v>641</v>
      </c>
      <c r="I7" s="395" t="s">
        <v>642</v>
      </c>
      <c r="J7" s="396" t="s">
        <v>643</v>
      </c>
      <c r="K7" s="397" t="s">
        <v>61</v>
      </c>
      <c r="L7" s="398" t="s">
        <v>644</v>
      </c>
      <c r="M7" s="399" t="s">
        <v>645</v>
      </c>
    </row>
    <row r="8" spans="1:14" s="402" customFormat="1">
      <c r="A8" s="400" t="s">
        <v>218</v>
      </c>
      <c r="B8" s="832">
        <v>66819804.053000003</v>
      </c>
      <c r="C8" s="833">
        <v>266875244.33700001</v>
      </c>
      <c r="D8" s="834">
        <v>0</v>
      </c>
      <c r="E8" s="834">
        <v>0</v>
      </c>
      <c r="F8" s="834">
        <v>0</v>
      </c>
      <c r="G8" s="834">
        <v>0</v>
      </c>
      <c r="H8" s="835">
        <v>9061847.034</v>
      </c>
      <c r="I8" s="834">
        <v>0</v>
      </c>
      <c r="J8" s="834">
        <v>0</v>
      </c>
      <c r="K8" s="834">
        <f>H8+I8+J8</f>
        <v>9061847.034</v>
      </c>
      <c r="L8" s="836"/>
      <c r="M8" s="837">
        <v>0.01</v>
      </c>
      <c r="N8" s="401"/>
    </row>
    <row r="9" spans="1:14" s="405" customFormat="1">
      <c r="A9" s="403" t="s">
        <v>61</v>
      </c>
      <c r="B9" s="838">
        <f>B8</f>
        <v>66819804.053000003</v>
      </c>
      <c r="C9" s="838">
        <f>C8</f>
        <v>266875244.33700001</v>
      </c>
      <c r="D9" s="838">
        <f t="shared" ref="D9:K9" si="0">+D8</f>
        <v>0</v>
      </c>
      <c r="E9" s="838">
        <f t="shared" si="0"/>
        <v>0</v>
      </c>
      <c r="F9" s="838">
        <f t="shared" si="0"/>
        <v>0</v>
      </c>
      <c r="G9" s="838">
        <f t="shared" si="0"/>
        <v>0</v>
      </c>
      <c r="H9" s="838">
        <f>H8</f>
        <v>9061847.034</v>
      </c>
      <c r="I9" s="838">
        <f t="shared" si="0"/>
        <v>0</v>
      </c>
      <c r="J9" s="838">
        <f t="shared" si="0"/>
        <v>0</v>
      </c>
      <c r="K9" s="838">
        <f t="shared" si="0"/>
        <v>9061847.034</v>
      </c>
      <c r="L9" s="839"/>
      <c r="M9" s="840">
        <v>0.01</v>
      </c>
      <c r="N9" s="404"/>
    </row>
    <row r="10" spans="1:14">
      <c r="A10" s="406"/>
      <c r="B10" s="407"/>
      <c r="C10" s="407"/>
      <c r="D10" s="391"/>
      <c r="E10" s="391"/>
      <c r="F10" s="391"/>
      <c r="G10" s="391"/>
      <c r="H10" s="391"/>
      <c r="I10" s="391"/>
      <c r="J10" s="391"/>
      <c r="K10" s="391"/>
      <c r="L10" s="391"/>
      <c r="M10" s="391"/>
    </row>
    <row r="11" spans="1:14">
      <c r="A11" s="406" t="s">
        <v>646</v>
      </c>
      <c r="B11" s="407"/>
      <c r="C11" s="407"/>
      <c r="D11" s="391"/>
      <c r="E11" s="391"/>
      <c r="F11" s="391"/>
      <c r="G11" s="391"/>
      <c r="H11" s="391"/>
      <c r="I11" s="391"/>
      <c r="J11" s="391"/>
      <c r="K11" s="391"/>
      <c r="L11" s="391"/>
      <c r="M11" s="391"/>
    </row>
    <row r="12" spans="1:14">
      <c r="A12" s="406"/>
      <c r="B12" s="407"/>
      <c r="C12" s="407"/>
      <c r="D12" s="391"/>
      <c r="E12" s="391"/>
      <c r="F12" s="391"/>
      <c r="G12" s="391"/>
      <c r="H12" s="391"/>
      <c r="I12" s="391"/>
      <c r="J12" s="391"/>
      <c r="K12" s="391"/>
      <c r="L12" s="391"/>
      <c r="M12" s="391"/>
    </row>
    <row r="13" spans="1:14">
      <c r="A13" s="406"/>
      <c r="B13" s="407"/>
      <c r="C13" s="407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  <row r="14" spans="1:14">
      <c r="A14" s="410" t="s">
        <v>647</v>
      </c>
      <c r="B14" s="407"/>
      <c r="C14" s="407"/>
      <c r="D14" s="391"/>
      <c r="E14" s="391"/>
      <c r="F14" s="391"/>
      <c r="G14" s="391"/>
      <c r="H14" s="391"/>
      <c r="I14" s="391"/>
      <c r="J14" s="391"/>
      <c r="K14" s="391"/>
      <c r="L14" s="391"/>
      <c r="M14" s="391"/>
    </row>
    <row r="15" spans="1:14" ht="13.5" thickBot="1">
      <c r="A15" s="408"/>
      <c r="B15" s="394"/>
      <c r="C15" s="394"/>
      <c r="D15" s="746"/>
      <c r="E15" s="391"/>
      <c r="F15" s="391"/>
      <c r="G15" s="391"/>
      <c r="H15" s="391"/>
      <c r="I15" s="391"/>
      <c r="J15" s="391"/>
      <c r="K15" s="391"/>
      <c r="L15" s="391"/>
      <c r="M15" s="391"/>
    </row>
    <row r="16" spans="1:14">
      <c r="A16" s="406" t="s">
        <v>648</v>
      </c>
      <c r="B16" s="407"/>
      <c r="C16" s="832">
        <v>126615859.68099999</v>
      </c>
      <c r="D16" s="409"/>
      <c r="E16" s="391"/>
      <c r="F16" s="391"/>
      <c r="G16" s="391"/>
      <c r="H16" s="391"/>
      <c r="I16" s="391"/>
      <c r="J16" s="391"/>
      <c r="K16" s="391"/>
      <c r="L16" s="391"/>
      <c r="M16" s="391"/>
    </row>
    <row r="17" spans="1:13">
      <c r="A17" s="406" t="s">
        <v>649</v>
      </c>
      <c r="B17" s="407"/>
      <c r="C17" s="383">
        <v>0.01</v>
      </c>
      <c r="D17" s="383"/>
      <c r="E17" s="391"/>
      <c r="F17" s="391"/>
      <c r="G17" s="391"/>
      <c r="H17" s="391"/>
      <c r="I17" s="391"/>
      <c r="J17" s="391"/>
      <c r="K17" s="391"/>
      <c r="L17" s="391"/>
      <c r="M17" s="391"/>
    </row>
    <row r="18" spans="1:13">
      <c r="A18" s="406" t="s">
        <v>650</v>
      </c>
      <c r="B18" s="407"/>
      <c r="C18" s="733"/>
      <c r="D18" s="384"/>
      <c r="E18" s="391"/>
      <c r="F18" s="391"/>
      <c r="G18" s="391"/>
      <c r="H18" s="391"/>
      <c r="I18" s="391"/>
      <c r="J18" s="391"/>
      <c r="K18" s="391"/>
      <c r="L18" s="391"/>
      <c r="M18" s="391"/>
    </row>
    <row r="50" spans="2:2">
      <c r="B50" s="571"/>
    </row>
  </sheetData>
  <mergeCells count="4">
    <mergeCell ref="B6:C6"/>
    <mergeCell ref="D6:E6"/>
    <mergeCell ref="F6:G6"/>
    <mergeCell ref="H6:K6"/>
  </mergeCell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  <ignoredErrors>
    <ignoredError sqref="H9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dimension ref="A1:F8"/>
  <sheetViews>
    <sheetView showGridLines="0" workbookViewId="0"/>
  </sheetViews>
  <sheetFormatPr baseColWidth="10" defaultRowHeight="12.75"/>
  <cols>
    <col min="1" max="1" width="50" style="386" customWidth="1"/>
    <col min="2" max="16384" width="11" style="386"/>
  </cols>
  <sheetData>
    <row r="1" spans="1:6" ht="21">
      <c r="A1" s="513" t="s">
        <v>789</v>
      </c>
    </row>
    <row r="3" spans="1:6" ht="24.75" thickBot="1">
      <c r="A3" s="558" t="s">
        <v>789</v>
      </c>
      <c r="B3" s="559" t="s">
        <v>790</v>
      </c>
      <c r="C3" s="559" t="s">
        <v>791</v>
      </c>
      <c r="D3" s="560" t="s">
        <v>792</v>
      </c>
    </row>
    <row r="4" spans="1:6">
      <c r="A4" s="561" t="s">
        <v>793</v>
      </c>
      <c r="B4" s="716">
        <v>11</v>
      </c>
      <c r="C4" s="716">
        <v>24683</v>
      </c>
      <c r="D4" s="716">
        <v>6455</v>
      </c>
      <c r="F4" s="634"/>
    </row>
    <row r="5" spans="1:6" ht="24">
      <c r="A5" s="562" t="s">
        <v>794</v>
      </c>
      <c r="B5" s="716">
        <v>58</v>
      </c>
      <c r="C5" s="716">
        <v>75272</v>
      </c>
      <c r="D5" s="716">
        <v>22363</v>
      </c>
      <c r="F5" s="634"/>
    </row>
    <row r="6" spans="1:6">
      <c r="A6" s="562" t="s">
        <v>795</v>
      </c>
      <c r="B6" s="716">
        <v>7</v>
      </c>
      <c r="C6" s="716">
        <v>6663</v>
      </c>
      <c r="D6" s="716">
        <v>1120</v>
      </c>
      <c r="F6" s="634"/>
    </row>
    <row r="7" spans="1:6">
      <c r="A7" s="563" t="s">
        <v>796</v>
      </c>
      <c r="B7" s="717">
        <v>1</v>
      </c>
      <c r="C7" s="717">
        <v>765</v>
      </c>
      <c r="D7" s="717">
        <v>237</v>
      </c>
      <c r="F7" s="634"/>
    </row>
    <row r="8" spans="1:6">
      <c r="A8" s="564" t="s">
        <v>5</v>
      </c>
      <c r="B8" s="718">
        <f>SUM(B4:B7)</f>
        <v>77</v>
      </c>
      <c r="C8" s="718">
        <f>SUM(C4:C7)</f>
        <v>107383</v>
      </c>
      <c r="D8" s="718">
        <f>SUM(D4:D7)</f>
        <v>30175</v>
      </c>
      <c r="F8" s="634"/>
    </row>
  </sheetData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zoomScaleNormal="100" workbookViewId="0">
      <selection activeCell="A5" sqref="A5:E10"/>
    </sheetView>
  </sheetViews>
  <sheetFormatPr baseColWidth="10" defaultColWidth="11" defaultRowHeight="12"/>
  <cols>
    <col min="1" max="1" width="26" style="244" customWidth="1"/>
    <col min="2" max="5" width="11.25" style="244" customWidth="1"/>
    <col min="6" max="6" width="16.375" style="17" customWidth="1"/>
    <col min="7" max="16384" width="11" style="17"/>
  </cols>
  <sheetData>
    <row r="1" spans="1:7" ht="21">
      <c r="A1" s="549" t="s">
        <v>133</v>
      </c>
      <c r="B1" s="73"/>
    </row>
    <row r="3" spans="1:7">
      <c r="A3" s="14"/>
      <c r="B3" s="737" t="s">
        <v>208</v>
      </c>
      <c r="C3" s="737" t="s">
        <v>1</v>
      </c>
      <c r="D3" s="93" t="s">
        <v>208</v>
      </c>
      <c r="E3" s="93" t="s">
        <v>1</v>
      </c>
      <c r="F3" s="14"/>
      <c r="G3" s="14"/>
    </row>
    <row r="4" spans="1:7" ht="12.75" thickBot="1">
      <c r="A4" s="356" t="s">
        <v>97</v>
      </c>
      <c r="B4" s="738" t="s">
        <v>874</v>
      </c>
      <c r="C4" s="738" t="s">
        <v>874</v>
      </c>
      <c r="D4" s="94" t="s">
        <v>861</v>
      </c>
      <c r="E4" s="94" t="s">
        <v>861</v>
      </c>
      <c r="F4" s="59"/>
    </row>
    <row r="5" spans="1:7" s="244" customFormat="1">
      <c r="A5" s="87" t="s">
        <v>180</v>
      </c>
      <c r="B5" s="258">
        <v>0.19500000000000001</v>
      </c>
      <c r="C5" s="221">
        <v>2069</v>
      </c>
      <c r="D5" s="258">
        <v>0.19500000000000001</v>
      </c>
      <c r="E5" s="221">
        <v>2229</v>
      </c>
      <c r="F5" s="59"/>
    </row>
    <row r="6" spans="1:7" s="208" customFormat="1">
      <c r="A6" s="87" t="s">
        <v>88</v>
      </c>
      <c r="B6" s="258">
        <v>0.15140000000000001</v>
      </c>
      <c r="C6" s="221">
        <v>348</v>
      </c>
      <c r="D6" s="258">
        <v>0.15140000000000001</v>
      </c>
      <c r="E6" s="221">
        <v>259</v>
      </c>
      <c r="F6" s="80"/>
      <c r="G6" s="95"/>
    </row>
    <row r="7" spans="1:7" s="244" customFormat="1">
      <c r="A7" s="87" t="s">
        <v>672</v>
      </c>
      <c r="B7" s="258">
        <v>0.19769999999999999</v>
      </c>
      <c r="C7" s="221">
        <v>148</v>
      </c>
      <c r="D7" s="258">
        <v>0.19769999999999999</v>
      </c>
      <c r="E7" s="221">
        <v>152</v>
      </c>
      <c r="F7" s="80"/>
      <c r="G7" s="95"/>
    </row>
    <row r="8" spans="1:7" s="244" customFormat="1">
      <c r="A8" s="87" t="s">
        <v>673</v>
      </c>
      <c r="B8" s="258"/>
      <c r="C8" s="18">
        <v>63</v>
      </c>
      <c r="D8" s="258"/>
      <c r="E8" s="221">
        <v>61</v>
      </c>
      <c r="F8" s="80"/>
      <c r="G8" s="95"/>
    </row>
    <row r="9" spans="1:7">
      <c r="A9" s="87" t="s">
        <v>7</v>
      </c>
      <c r="B9" s="87"/>
      <c r="C9" s="221">
        <v>35</v>
      </c>
      <c r="D9" s="87"/>
      <c r="E9" s="221">
        <v>62</v>
      </c>
      <c r="F9" s="80"/>
      <c r="G9" s="95"/>
    </row>
    <row r="10" spans="1:7">
      <c r="A10" s="721" t="s">
        <v>5</v>
      </c>
      <c r="B10" s="721"/>
      <c r="C10" s="720">
        <f>SUM(C5:C9)</f>
        <v>2663</v>
      </c>
      <c r="D10" s="720"/>
      <c r="E10" s="753">
        <v>2763</v>
      </c>
      <c r="F10" s="59"/>
      <c r="G10" s="95"/>
    </row>
    <row r="11" spans="1:7">
      <c r="A11" s="749"/>
      <c r="B11" s="749"/>
      <c r="C11" s="749"/>
      <c r="D11" s="749"/>
      <c r="E11" s="749"/>
    </row>
    <row r="12" spans="1:7">
      <c r="A12" s="749" t="s">
        <v>186</v>
      </c>
      <c r="B12" s="749"/>
      <c r="C12" s="749"/>
      <c r="D12" s="749"/>
      <c r="E12" s="749"/>
      <c r="F12" s="244"/>
    </row>
    <row r="13" spans="1:7">
      <c r="A13" s="749" t="s">
        <v>185</v>
      </c>
      <c r="B13" s="749"/>
      <c r="C13" s="749"/>
      <c r="D13" s="749"/>
      <c r="E13" s="749"/>
      <c r="F13" s="244"/>
    </row>
    <row r="14" spans="1:7">
      <c r="A14" s="749" t="s">
        <v>184</v>
      </c>
      <c r="B14" s="749"/>
      <c r="C14" s="749"/>
      <c r="D14" s="749"/>
      <c r="E14" s="749"/>
      <c r="F14" s="244"/>
    </row>
    <row r="15" spans="1:7">
      <c r="A15" s="749" t="s">
        <v>556</v>
      </c>
      <c r="B15" s="749"/>
      <c r="C15" s="749"/>
      <c r="D15" s="749"/>
      <c r="E15" s="749"/>
      <c r="F15" s="244"/>
    </row>
    <row r="16" spans="1:7">
      <c r="A16" s="244" t="s">
        <v>827</v>
      </c>
    </row>
    <row r="17" spans="1:1">
      <c r="A17" s="609" t="s">
        <v>813</v>
      </c>
    </row>
    <row r="50" spans="2:2">
      <c r="B50" s="573"/>
    </row>
  </sheetData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pageSetUpPr fitToPage="1"/>
  </sheetPr>
  <dimension ref="A1:O147"/>
  <sheetViews>
    <sheetView showGridLines="0" zoomScaleNormal="100" workbookViewId="0"/>
  </sheetViews>
  <sheetFormatPr baseColWidth="10" defaultColWidth="11" defaultRowHeight="12"/>
  <cols>
    <col min="1" max="1" width="52.625" style="244" customWidth="1"/>
    <col min="2" max="2" width="11.875" style="244" customWidth="1"/>
    <col min="3" max="3" width="8.625" style="244" customWidth="1"/>
    <col min="4" max="5" width="11.75" style="17" customWidth="1"/>
    <col min="6" max="7" width="11" style="17"/>
    <col min="8" max="8" width="9.875" style="17" bestFit="1" customWidth="1"/>
    <col min="9" max="9" width="19.75" style="17" bestFit="1" customWidth="1"/>
    <col min="10" max="16384" width="11" style="17"/>
  </cols>
  <sheetData>
    <row r="1" spans="1:7" ht="21">
      <c r="A1" s="549" t="s">
        <v>209</v>
      </c>
      <c r="D1" s="244"/>
      <c r="E1" s="244"/>
    </row>
    <row r="2" spans="1:7" s="244" customFormat="1">
      <c r="A2" s="566" t="s">
        <v>210</v>
      </c>
    </row>
    <row r="3" spans="1:7" s="244" customFormat="1">
      <c r="A3" s="566"/>
    </row>
    <row r="4" spans="1:7" s="244" customFormat="1" ht="12.75">
      <c r="A4" s="667" t="s">
        <v>875</v>
      </c>
      <c r="B4" s="668"/>
      <c r="C4" s="668"/>
      <c r="D4" s="669"/>
      <c r="E4" s="668"/>
      <c r="F4" s="668"/>
      <c r="G4" s="668"/>
    </row>
    <row r="5" spans="1:7" s="244" customFormat="1" ht="12.75">
      <c r="A5" s="667" t="s">
        <v>866</v>
      </c>
      <c r="B5" s="668"/>
      <c r="C5" s="668"/>
      <c r="D5" s="669"/>
      <c r="E5" s="668"/>
      <c r="F5" s="668"/>
      <c r="G5" s="668"/>
    </row>
    <row r="6" spans="1:7" s="244" customFormat="1" ht="12.75">
      <c r="A6" s="754" t="s">
        <v>867</v>
      </c>
      <c r="B6" s="755"/>
      <c r="C6" s="755"/>
      <c r="D6" s="756"/>
      <c r="E6" s="755"/>
      <c r="F6" s="668"/>
      <c r="G6" s="668"/>
    </row>
    <row r="7" spans="1:7" ht="12.75">
      <c r="A7" s="754" t="s">
        <v>868</v>
      </c>
      <c r="B7" s="757"/>
      <c r="C7" s="757"/>
      <c r="D7" s="758"/>
      <c r="E7" s="757"/>
      <c r="F7" s="670"/>
      <c r="G7" s="670"/>
    </row>
    <row r="8" spans="1:7" s="244" customFormat="1" ht="12.75">
      <c r="A8" s="754" t="s">
        <v>869</v>
      </c>
      <c r="B8" s="757"/>
      <c r="C8" s="757"/>
      <c r="D8" s="758"/>
      <c r="E8" s="757"/>
      <c r="F8" s="670"/>
      <c r="G8" s="670"/>
    </row>
    <row r="9" spans="1:7">
      <c r="A9" s="749"/>
      <c r="B9" s="749"/>
      <c r="C9" s="749"/>
      <c r="D9" s="749"/>
      <c r="E9" s="749"/>
    </row>
    <row r="10" spans="1:7" ht="12.75" thickBot="1">
      <c r="A10" s="759" t="s">
        <v>135</v>
      </c>
      <c r="B10" s="676">
        <v>44469</v>
      </c>
      <c r="C10" s="16">
        <v>44196</v>
      </c>
      <c r="D10" s="749"/>
      <c r="E10" s="749"/>
    </row>
    <row r="11" spans="1:7">
      <c r="A11" s="760" t="s">
        <v>115</v>
      </c>
      <c r="B11" s="765">
        <v>6394</v>
      </c>
      <c r="C11" s="761">
        <v>6394</v>
      </c>
      <c r="D11" s="749"/>
      <c r="E11" s="749"/>
    </row>
    <row r="12" spans="1:7">
      <c r="A12" s="760" t="s">
        <v>8</v>
      </c>
      <c r="B12" s="765">
        <v>1587</v>
      </c>
      <c r="C12" s="761">
        <v>1587</v>
      </c>
      <c r="D12" s="749"/>
      <c r="E12" s="749"/>
    </row>
    <row r="13" spans="1:7">
      <c r="A13" s="760" t="s">
        <v>9</v>
      </c>
      <c r="B13" s="765">
        <v>0</v>
      </c>
      <c r="C13" s="761">
        <v>1407</v>
      </c>
      <c r="D13" s="749"/>
      <c r="E13" s="749"/>
    </row>
    <row r="14" spans="1:7" s="244" customFormat="1">
      <c r="A14" s="760" t="s">
        <v>663</v>
      </c>
      <c r="B14" s="765">
        <v>1850</v>
      </c>
      <c r="C14" s="761">
        <v>1850</v>
      </c>
      <c r="D14" s="749"/>
      <c r="E14" s="749"/>
    </row>
    <row r="15" spans="1:7">
      <c r="A15" s="762" t="s">
        <v>10</v>
      </c>
      <c r="B15" s="765">
        <v>14253</v>
      </c>
      <c r="C15" s="761">
        <v>15150</v>
      </c>
      <c r="D15" s="749"/>
      <c r="E15" s="749"/>
    </row>
    <row r="16" spans="1:7" s="244" customFormat="1">
      <c r="A16" s="762" t="s">
        <v>841</v>
      </c>
      <c r="B16" s="765">
        <v>0</v>
      </c>
      <c r="C16" s="761">
        <v>5</v>
      </c>
      <c r="D16" s="749"/>
      <c r="E16" s="749"/>
    </row>
    <row r="17" spans="1:5" s="244" customFormat="1">
      <c r="A17" s="4" t="s">
        <v>575</v>
      </c>
      <c r="B17" s="765">
        <v>2265</v>
      </c>
      <c r="C17" s="5">
        <v>0</v>
      </c>
    </row>
    <row r="18" spans="1:5">
      <c r="A18" s="7" t="s">
        <v>11</v>
      </c>
      <c r="B18" s="815">
        <f>SUM(B11:B17)</f>
        <v>26349</v>
      </c>
      <c r="C18" s="8">
        <v>26393</v>
      </c>
      <c r="D18" s="244"/>
      <c r="E18" s="244"/>
    </row>
    <row r="19" spans="1:5">
      <c r="A19" s="4"/>
      <c r="B19" s="765"/>
      <c r="C19" s="5"/>
      <c r="D19" s="244"/>
      <c r="E19" s="244"/>
    </row>
    <row r="20" spans="1:5">
      <c r="A20" s="9" t="s">
        <v>89</v>
      </c>
      <c r="B20" s="765"/>
      <c r="C20" s="5"/>
      <c r="D20" s="244"/>
      <c r="E20" s="244"/>
    </row>
    <row r="21" spans="1:5">
      <c r="A21" s="4" t="s">
        <v>12</v>
      </c>
      <c r="B21" s="765">
        <v>-565</v>
      </c>
      <c r="C21" s="5">
        <v>-364</v>
      </c>
      <c r="D21" s="244"/>
      <c r="E21" s="244"/>
    </row>
    <row r="22" spans="1:5" s="244" customFormat="1">
      <c r="A22" s="4" t="s">
        <v>81</v>
      </c>
      <c r="B22" s="765">
        <v>0</v>
      </c>
      <c r="C22" s="5">
        <v>-1407</v>
      </c>
    </row>
    <row r="23" spans="1:5">
      <c r="A23" s="4" t="s">
        <v>181</v>
      </c>
      <c r="B23" s="765">
        <v>-117</v>
      </c>
      <c r="C23" s="5">
        <v>-146</v>
      </c>
      <c r="D23" s="244"/>
      <c r="E23" s="244"/>
    </row>
    <row r="24" spans="1:5" s="244" customFormat="1">
      <c r="A24" s="4" t="s">
        <v>664</v>
      </c>
      <c r="B24" s="765">
        <v>-1850</v>
      </c>
      <c r="C24" s="5">
        <v>-1850</v>
      </c>
    </row>
    <row r="25" spans="1:5" s="244" customFormat="1">
      <c r="A25" s="664" t="s">
        <v>831</v>
      </c>
      <c r="B25" s="765">
        <v>-1132</v>
      </c>
      <c r="C25" s="5"/>
    </row>
    <row r="26" spans="1:5" s="244" customFormat="1">
      <c r="A26" s="4" t="s">
        <v>182</v>
      </c>
      <c r="B26" s="765">
        <v>-170</v>
      </c>
      <c r="C26" s="5">
        <v>-246</v>
      </c>
    </row>
    <row r="27" spans="1:5">
      <c r="A27" s="4" t="s">
        <v>708</v>
      </c>
      <c r="B27" s="765">
        <v>-149.4</v>
      </c>
      <c r="C27" s="5">
        <v>-154</v>
      </c>
      <c r="D27" s="244"/>
      <c r="E27" s="244"/>
    </row>
    <row r="28" spans="1:5">
      <c r="A28" s="4" t="s">
        <v>709</v>
      </c>
      <c r="B28" s="765">
        <v>-65</v>
      </c>
      <c r="C28" s="5">
        <v>-50</v>
      </c>
      <c r="D28" s="244"/>
      <c r="E28" s="244"/>
    </row>
    <row r="29" spans="1:5">
      <c r="A29" s="574" t="s">
        <v>189</v>
      </c>
      <c r="B29" s="816">
        <f>SUM(B18:B28)</f>
        <v>22300.6</v>
      </c>
      <c r="C29" s="575">
        <v>22176</v>
      </c>
      <c r="D29" s="244"/>
      <c r="E29" s="244"/>
    </row>
    <row r="30" spans="1:5" s="244" customFormat="1" ht="14.25">
      <c r="A30" s="4" t="s">
        <v>674</v>
      </c>
      <c r="B30" s="765">
        <v>1951</v>
      </c>
      <c r="C30" s="5">
        <v>1951</v>
      </c>
    </row>
    <row r="31" spans="1:5" ht="14.25">
      <c r="A31" s="6" t="s">
        <v>136</v>
      </c>
      <c r="B31" s="765">
        <v>0</v>
      </c>
      <c r="C31" s="5">
        <v>0</v>
      </c>
      <c r="D31" s="244"/>
      <c r="E31" s="244"/>
    </row>
    <row r="32" spans="1:5">
      <c r="A32" s="7" t="s">
        <v>13</v>
      </c>
      <c r="B32" s="815">
        <f>B29+B30+B31</f>
        <v>24251.599999999999</v>
      </c>
      <c r="C32" s="8">
        <v>24127</v>
      </c>
      <c r="D32" s="244"/>
      <c r="E32" s="244"/>
    </row>
    <row r="33" spans="1:5" s="244" customFormat="1">
      <c r="A33" s="4"/>
      <c r="B33" s="766"/>
      <c r="C33" s="5"/>
    </row>
    <row r="34" spans="1:5">
      <c r="A34" s="9" t="s">
        <v>14</v>
      </c>
      <c r="B34" s="766"/>
      <c r="C34" s="5"/>
      <c r="D34" s="244"/>
      <c r="E34" s="244"/>
    </row>
    <row r="35" spans="1:5">
      <c r="A35" s="4" t="s">
        <v>91</v>
      </c>
      <c r="B35" s="765">
        <v>2237</v>
      </c>
      <c r="C35" s="5">
        <v>2252</v>
      </c>
      <c r="D35" s="244"/>
      <c r="E35" s="244"/>
    </row>
    <row r="36" spans="1:5">
      <c r="A36" s="4" t="s">
        <v>183</v>
      </c>
      <c r="B36" s="765">
        <v>-43</v>
      </c>
      <c r="C36" s="5">
        <v>-43</v>
      </c>
      <c r="D36" s="244"/>
      <c r="E36" s="244"/>
    </row>
    <row r="37" spans="1:5">
      <c r="A37" s="7" t="s">
        <v>92</v>
      </c>
      <c r="B37" s="815">
        <f>SUM(B35:B36)</f>
        <v>2194</v>
      </c>
      <c r="C37" s="8">
        <v>2209</v>
      </c>
      <c r="D37" s="244"/>
      <c r="E37" s="244"/>
    </row>
    <row r="38" spans="1:5">
      <c r="A38" s="6"/>
      <c r="B38" s="765"/>
      <c r="C38" s="5"/>
      <c r="D38" s="244"/>
      <c r="E38" s="244"/>
    </row>
    <row r="39" spans="1:5">
      <c r="A39" s="7" t="s">
        <v>15</v>
      </c>
      <c r="B39" s="815">
        <f>+B37+B32</f>
        <v>26445.599999999999</v>
      </c>
      <c r="C39" s="8">
        <v>26336</v>
      </c>
      <c r="D39" s="244"/>
      <c r="E39" s="244"/>
    </row>
    <row r="40" spans="1:5" ht="14.25">
      <c r="A40" s="10" t="s">
        <v>158</v>
      </c>
      <c r="B40" s="723"/>
      <c r="C40" s="11"/>
      <c r="D40" s="244"/>
      <c r="E40" s="244"/>
    </row>
    <row r="41" spans="1:5" s="244" customFormat="1">
      <c r="A41" s="12"/>
      <c r="B41" s="724"/>
      <c r="C41" s="14"/>
    </row>
    <row r="42" spans="1:5" ht="12.75" thickBot="1">
      <c r="A42" s="15" t="s">
        <v>187</v>
      </c>
      <c r="B42" s="676">
        <v>44469</v>
      </c>
      <c r="C42" s="16">
        <v>44196</v>
      </c>
      <c r="D42" s="244"/>
      <c r="E42" s="244"/>
    </row>
    <row r="43" spans="1:5">
      <c r="A43" s="244" t="s">
        <v>562</v>
      </c>
      <c r="B43" s="768">
        <f>84803+31448</f>
        <v>116251</v>
      </c>
      <c r="C43" s="18">
        <v>111074</v>
      </c>
      <c r="D43" s="244"/>
      <c r="E43" s="244"/>
    </row>
    <row r="44" spans="1:5">
      <c r="A44" s="244" t="s">
        <v>198</v>
      </c>
      <c r="B44" s="768">
        <v>358</v>
      </c>
      <c r="C44" s="18">
        <v>334</v>
      </c>
      <c r="D44" s="244"/>
      <c r="E44" s="244"/>
    </row>
    <row r="45" spans="1:5" s="244" customFormat="1">
      <c r="A45" s="20" t="s">
        <v>134</v>
      </c>
      <c r="B45" s="817">
        <v>10007</v>
      </c>
      <c r="C45" s="205">
        <v>9854</v>
      </c>
    </row>
    <row r="46" spans="1:5" s="244" customFormat="1">
      <c r="A46" s="21" t="s">
        <v>187</v>
      </c>
      <c r="B46" s="818">
        <f>B43+B44+B45</f>
        <v>126616</v>
      </c>
      <c r="C46" s="206">
        <v>121262</v>
      </c>
    </row>
    <row r="47" spans="1:5" s="244" customFormat="1">
      <c r="A47" s="22"/>
      <c r="B47" s="767"/>
      <c r="C47" s="23"/>
    </row>
    <row r="48" spans="1:5" s="244" customFormat="1">
      <c r="A48" s="259" t="s">
        <v>203</v>
      </c>
      <c r="B48" s="768">
        <f>B46*4.5/100</f>
        <v>5697.72</v>
      </c>
      <c r="C48" s="18">
        <v>5456.79</v>
      </c>
    </row>
    <row r="49" spans="1:15" s="244" customFormat="1">
      <c r="A49" s="259" t="s">
        <v>204</v>
      </c>
      <c r="B49" s="768"/>
      <c r="C49" s="18"/>
    </row>
    <row r="50" spans="1:15" s="244" customFormat="1">
      <c r="A50" s="259" t="s">
        <v>205</v>
      </c>
      <c r="B50" s="768">
        <f>B46*2.5/100</f>
        <v>3165.4</v>
      </c>
      <c r="C50" s="18">
        <v>3031.55</v>
      </c>
    </row>
    <row r="51" spans="1:15" s="244" customFormat="1">
      <c r="A51" s="259" t="s">
        <v>842</v>
      </c>
      <c r="B51" s="768">
        <f>B46*4.5/100</f>
        <v>5697.72</v>
      </c>
      <c r="C51" s="18">
        <v>5456.79</v>
      </c>
    </row>
    <row r="52" spans="1:15" s="244" customFormat="1">
      <c r="A52" s="259" t="s">
        <v>832</v>
      </c>
      <c r="B52" s="768">
        <f>B46*1/100</f>
        <v>1266.1600000000001</v>
      </c>
      <c r="C52" s="18">
        <v>1212.6199999999999</v>
      </c>
    </row>
    <row r="53" spans="1:15">
      <c r="A53" s="259" t="s">
        <v>206</v>
      </c>
      <c r="B53" s="768">
        <f>SUM(B50:B52)</f>
        <v>10129.280000000001</v>
      </c>
      <c r="C53" s="18">
        <v>9700.9599999999991</v>
      </c>
      <c r="D53" s="244"/>
      <c r="E53" s="244"/>
    </row>
    <row r="54" spans="1:15">
      <c r="A54" s="259" t="s">
        <v>207</v>
      </c>
      <c r="B54" s="768">
        <f>B29-B48-B53</f>
        <v>6473.5999999999967</v>
      </c>
      <c r="C54" s="18">
        <v>7018.25</v>
      </c>
      <c r="D54" s="244"/>
      <c r="E54" s="244"/>
    </row>
    <row r="55" spans="1:15">
      <c r="A55" s="22"/>
      <c r="B55" s="769"/>
      <c r="C55" s="23"/>
      <c r="D55" s="244"/>
      <c r="E55" s="244"/>
    </row>
    <row r="56" spans="1:15" s="25" customFormat="1">
      <c r="A56" s="14" t="s">
        <v>120</v>
      </c>
      <c r="B56" s="819">
        <f>B29/B46</f>
        <v>0.17612781954887216</v>
      </c>
      <c r="C56" s="24">
        <v>0.18287674621893091</v>
      </c>
      <c r="J56" s="17"/>
      <c r="K56" s="17"/>
      <c r="L56" s="17"/>
      <c r="M56" s="17"/>
      <c r="N56" s="17"/>
      <c r="O56" s="17"/>
    </row>
    <row r="57" spans="1:15" s="25" customFormat="1">
      <c r="A57" s="14" t="s">
        <v>456</v>
      </c>
      <c r="B57" s="819">
        <f>B32/B46</f>
        <v>0.19153661464585833</v>
      </c>
      <c r="C57" s="24">
        <v>0.19896587554221437</v>
      </c>
      <c r="J57" s="244"/>
      <c r="K57" s="244"/>
      <c r="L57" s="244"/>
      <c r="M57" s="244"/>
      <c r="N57" s="244"/>
      <c r="O57" s="244"/>
    </row>
    <row r="58" spans="1:15" s="25" customFormat="1">
      <c r="A58" s="14" t="s">
        <v>74</v>
      </c>
      <c r="B58" s="819">
        <f>B39/B46</f>
        <v>0.20886459847096733</v>
      </c>
      <c r="C58" s="24">
        <v>0.21718262934802329</v>
      </c>
      <c r="J58" s="244"/>
      <c r="K58" s="244"/>
      <c r="L58" s="244"/>
      <c r="M58" s="244"/>
      <c r="N58" s="244"/>
      <c r="O58" s="244"/>
    </row>
    <row r="59" spans="1:15" s="25" customFormat="1">
      <c r="A59" s="14" t="s">
        <v>576</v>
      </c>
      <c r="B59" s="819">
        <v>7.2700000000000001E-2</v>
      </c>
      <c r="C59" s="416">
        <v>7.7899999999999997E-2</v>
      </c>
      <c r="J59" s="17"/>
      <c r="K59" s="17"/>
      <c r="L59" s="17"/>
      <c r="M59" s="17"/>
      <c r="N59" s="17"/>
      <c r="O59" s="17"/>
    </row>
    <row r="60" spans="1:15">
      <c r="A60" s="355"/>
      <c r="B60" s="763"/>
      <c r="C60" s="355"/>
      <c r="D60" s="26"/>
      <c r="E60" s="26"/>
    </row>
    <row r="61" spans="1:15">
      <c r="A61" s="25"/>
      <c r="B61" s="25"/>
      <c r="C61" s="25"/>
      <c r="D61" s="29"/>
      <c r="E61" s="29"/>
      <c r="F61" s="14"/>
      <c r="G61" s="14"/>
    </row>
    <row r="62" spans="1:15">
      <c r="A62" s="25"/>
      <c r="B62" s="25"/>
      <c r="C62" s="25"/>
      <c r="D62" s="30"/>
      <c r="E62" s="30"/>
      <c r="F62" s="14"/>
      <c r="G62" s="14"/>
    </row>
    <row r="63" spans="1:15">
      <c r="C63" s="26"/>
      <c r="D63" s="30"/>
      <c r="E63" s="30"/>
      <c r="F63" s="14"/>
      <c r="G63" s="14"/>
    </row>
    <row r="64" spans="1:15">
      <c r="A64" s="27"/>
      <c r="B64" s="28"/>
      <c r="C64" s="28"/>
      <c r="D64" s="30"/>
      <c r="E64" s="30"/>
      <c r="F64" s="14"/>
      <c r="G64" s="14"/>
    </row>
    <row r="65" spans="1:7">
      <c r="A65" s="14"/>
      <c r="B65" s="14"/>
      <c r="C65" s="28"/>
      <c r="D65" s="30"/>
      <c r="E65" s="30"/>
      <c r="F65" s="14"/>
      <c r="G65" s="14"/>
    </row>
    <row r="66" spans="1:7">
      <c r="A66" s="31"/>
      <c r="B66" s="31"/>
      <c r="C66" s="32"/>
      <c r="D66" s="39"/>
      <c r="E66" s="39"/>
      <c r="F66" s="14"/>
      <c r="G66" s="14"/>
    </row>
    <row r="67" spans="1:7">
      <c r="A67" s="33"/>
      <c r="B67" s="34"/>
      <c r="C67" s="30"/>
      <c r="D67" s="39"/>
      <c r="E67" s="39"/>
      <c r="F67" s="14"/>
      <c r="G67" s="14"/>
    </row>
    <row r="68" spans="1:7">
      <c r="A68" s="35"/>
      <c r="B68" s="34"/>
      <c r="C68" s="30"/>
      <c r="D68" s="39"/>
      <c r="E68" s="39"/>
      <c r="F68" s="14"/>
      <c r="G68" s="14"/>
    </row>
    <row r="69" spans="1:7">
      <c r="A69" s="37"/>
      <c r="B69" s="38"/>
      <c r="C69" s="39"/>
      <c r="D69" s="39"/>
      <c r="E69" s="39"/>
      <c r="F69" s="14"/>
      <c r="G69" s="14"/>
    </row>
    <row r="70" spans="1:7">
      <c r="A70" s="40"/>
      <c r="B70" s="38"/>
      <c r="C70" s="39"/>
      <c r="D70" s="39"/>
      <c r="E70" s="39"/>
      <c r="F70" s="14"/>
      <c r="G70" s="14"/>
    </row>
    <row r="71" spans="1:7">
      <c r="A71" s="40"/>
      <c r="B71" s="38"/>
      <c r="C71" s="39"/>
      <c r="D71" s="44"/>
      <c r="E71" s="44"/>
      <c r="F71" s="14"/>
      <c r="G71" s="14"/>
    </row>
    <row r="72" spans="1:7">
      <c r="A72" s="40"/>
      <c r="B72" s="38"/>
      <c r="C72" s="39"/>
      <c r="D72" s="44"/>
      <c r="E72" s="44"/>
      <c r="F72" s="14"/>
      <c r="G72" s="14"/>
    </row>
    <row r="73" spans="1:7">
      <c r="A73" s="41"/>
      <c r="B73" s="38"/>
      <c r="C73" s="39"/>
      <c r="D73" s="44"/>
      <c r="E73" s="44"/>
      <c r="F73" s="14"/>
      <c r="G73" s="14"/>
    </row>
    <row r="74" spans="1:7">
      <c r="A74" s="42"/>
      <c r="B74" s="43"/>
      <c r="C74" s="44"/>
      <c r="D74" s="44"/>
      <c r="E74" s="44"/>
      <c r="F74" s="14"/>
      <c r="G74" s="14"/>
    </row>
    <row r="75" spans="1:7">
      <c r="A75" s="45"/>
      <c r="B75" s="38"/>
      <c r="C75" s="44"/>
      <c r="D75" s="44"/>
      <c r="E75" s="44"/>
      <c r="F75" s="14"/>
      <c r="G75" s="14"/>
    </row>
    <row r="76" spans="1:7">
      <c r="A76" s="46"/>
      <c r="B76" s="31"/>
      <c r="C76" s="44"/>
      <c r="D76" s="44"/>
      <c r="E76" s="44"/>
      <c r="F76" s="14"/>
      <c r="G76" s="14"/>
    </row>
    <row r="77" spans="1:7">
      <c r="A77" s="40"/>
      <c r="B77" s="38"/>
      <c r="C77" s="44"/>
      <c r="D77" s="47"/>
      <c r="E77" s="47"/>
      <c r="F77" s="14"/>
      <c r="G77" s="14"/>
    </row>
    <row r="78" spans="1:7">
      <c r="A78" s="40"/>
      <c r="B78" s="38"/>
      <c r="C78" s="44"/>
      <c r="D78" s="44"/>
      <c r="E78" s="44"/>
      <c r="F78" s="14"/>
      <c r="G78" s="14"/>
    </row>
    <row r="79" spans="1:7">
      <c r="A79" s="40"/>
      <c r="B79" s="38"/>
      <c r="C79" s="44"/>
      <c r="D79" s="10"/>
      <c r="E79" s="10"/>
      <c r="F79" s="14"/>
      <c r="G79" s="14"/>
    </row>
    <row r="80" spans="1:7">
      <c r="A80" s="42"/>
      <c r="B80" s="43"/>
      <c r="C80" s="47"/>
      <c r="D80" s="50"/>
      <c r="E80" s="50"/>
      <c r="F80" s="14"/>
      <c r="G80" s="14"/>
    </row>
    <row r="81" spans="1:10">
      <c r="A81" s="48"/>
      <c r="B81" s="10"/>
      <c r="C81" s="44"/>
      <c r="D81" s="50"/>
      <c r="E81" s="50"/>
      <c r="F81" s="14"/>
      <c r="G81" s="14"/>
    </row>
    <row r="82" spans="1:10">
      <c r="A82" s="46"/>
      <c r="B82" s="49"/>
      <c r="C82" s="10"/>
      <c r="D82" s="50"/>
      <c r="E82" s="50"/>
      <c r="F82" s="14"/>
      <c r="G82" s="14"/>
    </row>
    <row r="83" spans="1:10">
      <c r="A83" s="40"/>
      <c r="B83" s="50"/>
      <c r="C83" s="50"/>
      <c r="D83" s="50"/>
      <c r="E83" s="50"/>
      <c r="F83" s="14"/>
      <c r="G83" s="14"/>
    </row>
    <row r="84" spans="1:10">
      <c r="A84" s="40"/>
      <c r="B84" s="38"/>
      <c r="C84" s="50"/>
      <c r="D84" s="50"/>
      <c r="E84" s="50"/>
      <c r="F84" s="14"/>
      <c r="G84" s="14"/>
    </row>
    <row r="85" spans="1:10">
      <c r="A85" s="40"/>
      <c r="B85" s="38"/>
      <c r="C85" s="50"/>
      <c r="D85" s="38"/>
      <c r="E85" s="38"/>
      <c r="F85" s="14"/>
      <c r="G85" s="14"/>
    </row>
    <row r="86" spans="1:10">
      <c r="A86" s="40"/>
      <c r="B86" s="38"/>
      <c r="C86" s="50"/>
      <c r="D86" s="38"/>
      <c r="E86" s="38"/>
      <c r="F86" s="14"/>
      <c r="G86" s="14"/>
    </row>
    <row r="87" spans="1:10">
      <c r="A87" s="42"/>
      <c r="B87" s="51"/>
      <c r="C87" s="50"/>
      <c r="D87" s="47"/>
      <c r="E87" s="47"/>
      <c r="F87" s="14"/>
      <c r="G87" s="14"/>
    </row>
    <row r="88" spans="1:10">
      <c r="A88" s="45"/>
      <c r="B88" s="38"/>
      <c r="C88" s="38"/>
      <c r="D88" s="14"/>
      <c r="E88" s="14"/>
      <c r="F88" s="14"/>
      <c r="G88" s="14"/>
    </row>
    <row r="89" spans="1:10">
      <c r="A89" s="45"/>
      <c r="B89" s="38"/>
      <c r="C89" s="38"/>
      <c r="D89" s="14"/>
      <c r="E89" s="14"/>
      <c r="F89" s="14"/>
      <c r="G89" s="14"/>
    </row>
    <row r="90" spans="1:10">
      <c r="A90" s="42"/>
      <c r="B90" s="43"/>
      <c r="C90" s="47"/>
      <c r="D90" s="52"/>
      <c r="E90" s="52"/>
      <c r="F90" s="31"/>
      <c r="G90" s="31"/>
      <c r="H90" s="53"/>
      <c r="I90" s="53"/>
      <c r="J90" s="53"/>
    </row>
    <row r="91" spans="1:10">
      <c r="A91" s="14"/>
      <c r="B91" s="14"/>
      <c r="C91" s="14"/>
      <c r="D91" s="52"/>
      <c r="E91" s="52"/>
      <c r="F91" s="31"/>
      <c r="G91" s="31"/>
      <c r="H91" s="53"/>
      <c r="I91" s="53"/>
      <c r="J91" s="53"/>
    </row>
    <row r="92" spans="1:10">
      <c r="A92" s="14"/>
      <c r="B92" s="14"/>
      <c r="C92" s="14"/>
      <c r="D92" s="52"/>
      <c r="E92" s="52"/>
      <c r="F92" s="31"/>
      <c r="G92" s="31"/>
      <c r="H92" s="53"/>
      <c r="I92" s="53"/>
      <c r="J92" s="53"/>
    </row>
    <row r="93" spans="1:10">
      <c r="A93" s="52"/>
      <c r="B93" s="52"/>
      <c r="C93" s="52"/>
      <c r="D93" s="52"/>
      <c r="E93" s="52"/>
      <c r="F93" s="31"/>
      <c r="G93" s="31"/>
      <c r="H93" s="53"/>
      <c r="I93" s="53"/>
      <c r="J93" s="53"/>
    </row>
    <row r="94" spans="1:10">
      <c r="A94" s="52"/>
      <c r="B94" s="52"/>
      <c r="C94" s="52"/>
      <c r="D94" s="14"/>
      <c r="E94" s="14"/>
      <c r="F94" s="14"/>
      <c r="G94" s="14"/>
    </row>
    <row r="95" spans="1:10">
      <c r="A95" s="52"/>
      <c r="B95" s="52"/>
      <c r="C95" s="52"/>
      <c r="D95" s="14"/>
      <c r="E95" s="14"/>
      <c r="F95" s="14"/>
      <c r="G95" s="14"/>
    </row>
    <row r="96" spans="1:10">
      <c r="A96" s="52"/>
      <c r="B96" s="52"/>
      <c r="C96" s="52"/>
      <c r="D96" s="14"/>
      <c r="E96" s="14"/>
      <c r="F96" s="14"/>
      <c r="G96" s="14"/>
    </row>
    <row r="97" spans="1:7">
      <c r="A97" s="14"/>
      <c r="B97" s="14"/>
      <c r="C97" s="14"/>
      <c r="D97" s="14"/>
      <c r="E97" s="14"/>
      <c r="F97" s="14"/>
      <c r="G97" s="14"/>
    </row>
    <row r="98" spans="1:7">
      <c r="A98" s="14"/>
      <c r="B98" s="14"/>
      <c r="C98" s="14"/>
      <c r="D98" s="14"/>
      <c r="E98" s="14"/>
      <c r="F98" s="14"/>
      <c r="G98" s="14"/>
    </row>
    <row r="99" spans="1:7">
      <c r="A99" s="14"/>
      <c r="B99" s="14"/>
      <c r="C99" s="14"/>
      <c r="D99" s="14"/>
      <c r="E99" s="14"/>
      <c r="F99" s="14"/>
      <c r="G99" s="14"/>
    </row>
    <row r="100" spans="1:7">
      <c r="A100" s="14"/>
      <c r="B100" s="14"/>
      <c r="C100" s="14"/>
      <c r="D100" s="14"/>
      <c r="E100" s="14"/>
      <c r="F100" s="14"/>
      <c r="G100" s="14"/>
    </row>
    <row r="101" spans="1:7">
      <c r="A101" s="14"/>
      <c r="B101" s="14"/>
      <c r="C101" s="14"/>
      <c r="D101" s="14"/>
      <c r="E101" s="14"/>
      <c r="F101" s="14"/>
      <c r="G101" s="14"/>
    </row>
    <row r="102" spans="1:7">
      <c r="A102" s="14"/>
      <c r="B102" s="14"/>
      <c r="C102" s="14"/>
      <c r="D102" s="14"/>
      <c r="E102" s="14"/>
      <c r="F102" s="14"/>
      <c r="G102" s="14"/>
    </row>
    <row r="103" spans="1:7">
      <c r="A103" s="14"/>
      <c r="B103" s="14"/>
      <c r="C103" s="14"/>
      <c r="D103" s="14"/>
      <c r="E103" s="14"/>
      <c r="F103" s="14"/>
      <c r="G103" s="14"/>
    </row>
    <row r="104" spans="1:7">
      <c r="A104" s="14"/>
      <c r="B104" s="14"/>
      <c r="C104" s="14"/>
      <c r="D104" s="14"/>
      <c r="E104" s="14"/>
      <c r="F104" s="14"/>
      <c r="G104" s="14"/>
    </row>
    <row r="105" spans="1:7">
      <c r="A105" s="14"/>
      <c r="B105" s="14"/>
      <c r="C105" s="14"/>
      <c r="D105" s="14"/>
      <c r="E105" s="14"/>
      <c r="F105" s="14"/>
      <c r="G105" s="14"/>
    </row>
    <row r="106" spans="1:7">
      <c r="A106" s="14"/>
      <c r="B106" s="14"/>
      <c r="C106" s="14"/>
      <c r="D106" s="14"/>
      <c r="E106" s="14"/>
      <c r="F106" s="14"/>
      <c r="G106" s="14"/>
    </row>
    <row r="107" spans="1:7">
      <c r="A107" s="14"/>
      <c r="B107" s="14"/>
      <c r="C107" s="14"/>
      <c r="D107" s="14"/>
      <c r="E107" s="14"/>
      <c r="F107" s="14"/>
      <c r="G107" s="14"/>
    </row>
    <row r="108" spans="1:7">
      <c r="A108" s="14"/>
      <c r="B108" s="14"/>
      <c r="C108" s="14"/>
      <c r="D108" s="14"/>
      <c r="E108" s="14"/>
      <c r="F108" s="14"/>
      <c r="G108" s="14"/>
    </row>
    <row r="109" spans="1:7">
      <c r="A109" s="14"/>
      <c r="B109" s="14"/>
      <c r="C109" s="14"/>
      <c r="D109" s="14"/>
      <c r="E109" s="14"/>
      <c r="F109" s="14"/>
      <c r="G109" s="14"/>
    </row>
    <row r="110" spans="1:7">
      <c r="A110" s="14"/>
      <c r="B110" s="14"/>
      <c r="C110" s="14"/>
      <c r="D110" s="14"/>
      <c r="E110" s="14"/>
      <c r="F110" s="14"/>
      <c r="G110" s="14"/>
    </row>
    <row r="111" spans="1:7">
      <c r="A111" s="14"/>
      <c r="B111" s="14"/>
      <c r="C111" s="14"/>
      <c r="D111" s="14"/>
      <c r="E111" s="14"/>
      <c r="F111" s="14"/>
      <c r="G111" s="14"/>
    </row>
    <row r="112" spans="1:7">
      <c r="A112" s="14"/>
      <c r="B112" s="14"/>
      <c r="C112" s="14"/>
      <c r="D112" s="14"/>
      <c r="E112" s="14"/>
      <c r="F112" s="14"/>
      <c r="G112" s="14"/>
    </row>
    <row r="113" spans="1:7">
      <c r="A113" s="14"/>
      <c r="B113" s="14"/>
      <c r="C113" s="14"/>
      <c r="D113" s="14"/>
      <c r="E113" s="14"/>
      <c r="F113" s="14"/>
      <c r="G113" s="14"/>
    </row>
    <row r="114" spans="1:7">
      <c r="A114" s="14"/>
      <c r="B114" s="14"/>
      <c r="C114" s="14"/>
      <c r="D114" s="14"/>
      <c r="E114" s="14"/>
      <c r="F114" s="14"/>
      <c r="G114" s="14"/>
    </row>
    <row r="115" spans="1:7">
      <c r="A115" s="14"/>
      <c r="B115" s="14"/>
      <c r="C115" s="14"/>
      <c r="D115" s="14"/>
      <c r="E115" s="14"/>
      <c r="F115" s="14"/>
      <c r="G115" s="14"/>
    </row>
    <row r="116" spans="1:7">
      <c r="A116" s="14"/>
      <c r="B116" s="14"/>
      <c r="C116" s="14"/>
      <c r="D116" s="14"/>
      <c r="E116" s="14"/>
      <c r="F116" s="14"/>
      <c r="G116" s="14"/>
    </row>
    <row r="117" spans="1:7">
      <c r="A117" s="14"/>
      <c r="B117" s="14"/>
      <c r="C117" s="14"/>
      <c r="D117" s="14"/>
      <c r="E117" s="14"/>
      <c r="F117" s="14"/>
      <c r="G117" s="14"/>
    </row>
    <row r="118" spans="1:7">
      <c r="A118" s="14"/>
      <c r="B118" s="14"/>
      <c r="C118" s="14"/>
      <c r="D118" s="14"/>
      <c r="E118" s="14"/>
      <c r="F118" s="14"/>
      <c r="G118" s="14"/>
    </row>
    <row r="119" spans="1:7">
      <c r="A119" s="14"/>
      <c r="B119" s="14"/>
      <c r="C119" s="14"/>
      <c r="D119" s="14"/>
      <c r="E119" s="14"/>
      <c r="F119" s="14"/>
      <c r="G119" s="14"/>
    </row>
    <row r="120" spans="1:7">
      <c r="A120" s="14"/>
      <c r="B120" s="14"/>
      <c r="C120" s="14"/>
      <c r="D120" s="14"/>
      <c r="E120" s="14"/>
      <c r="F120" s="14"/>
      <c r="G120" s="14"/>
    </row>
    <row r="121" spans="1:7">
      <c r="A121" s="14"/>
      <c r="B121" s="14"/>
      <c r="C121" s="14"/>
      <c r="D121" s="14"/>
      <c r="E121" s="14"/>
      <c r="F121" s="14"/>
      <c r="G121" s="14"/>
    </row>
    <row r="122" spans="1:7">
      <c r="A122" s="14"/>
      <c r="B122" s="14"/>
      <c r="C122" s="14"/>
      <c r="D122" s="14"/>
      <c r="E122" s="14"/>
      <c r="F122" s="14"/>
      <c r="G122" s="14"/>
    </row>
    <row r="123" spans="1:7">
      <c r="A123" s="14"/>
      <c r="B123" s="14"/>
      <c r="C123" s="14"/>
      <c r="D123" s="14"/>
      <c r="E123" s="14"/>
      <c r="F123" s="14"/>
      <c r="G123" s="14"/>
    </row>
    <row r="124" spans="1:7">
      <c r="A124" s="14"/>
      <c r="B124" s="14"/>
      <c r="C124" s="14"/>
      <c r="D124" s="14"/>
      <c r="E124" s="14"/>
      <c r="F124" s="14"/>
      <c r="G124" s="14"/>
    </row>
    <row r="125" spans="1:7">
      <c r="A125" s="14"/>
      <c r="B125" s="14"/>
      <c r="C125" s="14"/>
      <c r="D125" s="14"/>
      <c r="E125" s="14"/>
      <c r="F125" s="14"/>
      <c r="G125" s="14"/>
    </row>
    <row r="126" spans="1:7">
      <c r="A126" s="14"/>
      <c r="B126" s="14"/>
      <c r="C126" s="14"/>
      <c r="D126" s="14"/>
      <c r="E126" s="14"/>
      <c r="F126" s="14"/>
      <c r="G126" s="14"/>
    </row>
    <row r="127" spans="1:7">
      <c r="A127" s="14"/>
      <c r="B127" s="14"/>
      <c r="C127" s="14"/>
      <c r="D127" s="14"/>
      <c r="E127" s="14"/>
      <c r="F127" s="14"/>
      <c r="G127" s="14"/>
    </row>
    <row r="128" spans="1:7">
      <c r="A128" s="14"/>
      <c r="B128" s="14"/>
      <c r="C128" s="14"/>
      <c r="D128" s="14"/>
      <c r="E128" s="14"/>
      <c r="F128" s="14"/>
      <c r="G128" s="14"/>
    </row>
    <row r="129" spans="1:7">
      <c r="A129" s="14"/>
      <c r="B129" s="14"/>
      <c r="C129" s="14"/>
      <c r="D129" s="14"/>
      <c r="E129" s="14"/>
      <c r="F129" s="14"/>
      <c r="G129" s="14"/>
    </row>
    <row r="130" spans="1:7">
      <c r="A130" s="14"/>
      <c r="B130" s="14"/>
      <c r="C130" s="14"/>
      <c r="D130" s="14"/>
      <c r="E130" s="14"/>
      <c r="F130" s="14"/>
      <c r="G130" s="14"/>
    </row>
    <row r="131" spans="1:7">
      <c r="A131" s="14"/>
      <c r="B131" s="14"/>
      <c r="C131" s="14"/>
      <c r="D131" s="14"/>
      <c r="E131" s="14"/>
      <c r="F131" s="14"/>
      <c r="G131" s="14"/>
    </row>
    <row r="132" spans="1:7">
      <c r="A132" s="14"/>
      <c r="B132" s="14"/>
      <c r="C132" s="14"/>
      <c r="D132" s="14"/>
      <c r="E132" s="14"/>
      <c r="F132" s="14"/>
      <c r="G132" s="14"/>
    </row>
    <row r="133" spans="1:7">
      <c r="A133" s="14"/>
      <c r="B133" s="14"/>
      <c r="C133" s="14"/>
      <c r="D133" s="14"/>
      <c r="E133" s="14"/>
      <c r="F133" s="14"/>
      <c r="G133" s="14"/>
    </row>
    <row r="134" spans="1:7">
      <c r="A134" s="14"/>
      <c r="B134" s="14"/>
      <c r="C134" s="14"/>
      <c r="D134" s="14"/>
      <c r="E134" s="14"/>
      <c r="F134" s="14"/>
      <c r="G134" s="14"/>
    </row>
    <row r="135" spans="1:7">
      <c r="A135" s="14"/>
      <c r="B135" s="14"/>
      <c r="C135" s="14"/>
      <c r="D135" s="14"/>
      <c r="E135" s="14"/>
      <c r="F135" s="14"/>
      <c r="G135" s="14"/>
    </row>
    <row r="136" spans="1:7">
      <c r="A136" s="14"/>
      <c r="B136" s="14"/>
      <c r="C136" s="14"/>
      <c r="D136" s="14"/>
      <c r="E136" s="14"/>
      <c r="F136" s="14"/>
      <c r="G136" s="14"/>
    </row>
    <row r="137" spans="1:7">
      <c r="A137" s="14"/>
      <c r="B137" s="14"/>
      <c r="C137" s="14"/>
      <c r="D137" s="14"/>
      <c r="E137" s="14"/>
      <c r="F137" s="14"/>
      <c r="G137" s="14"/>
    </row>
    <row r="138" spans="1:7">
      <c r="A138" s="14"/>
      <c r="B138" s="14"/>
      <c r="C138" s="14"/>
      <c r="D138" s="14"/>
      <c r="E138" s="14"/>
      <c r="F138" s="14"/>
      <c r="G138" s="14"/>
    </row>
    <row r="139" spans="1:7">
      <c r="A139" s="14"/>
      <c r="B139" s="14"/>
      <c r="C139" s="14"/>
      <c r="D139" s="14"/>
      <c r="E139" s="14"/>
      <c r="F139" s="14"/>
      <c r="G139" s="14"/>
    </row>
    <row r="140" spans="1:7">
      <c r="A140" s="14"/>
      <c r="B140" s="14"/>
      <c r="C140" s="14"/>
      <c r="D140" s="14"/>
      <c r="E140" s="14"/>
      <c r="F140" s="14"/>
      <c r="G140" s="14"/>
    </row>
    <row r="141" spans="1:7">
      <c r="A141" s="14"/>
      <c r="B141" s="14"/>
      <c r="C141" s="14"/>
      <c r="D141" s="14"/>
      <c r="E141" s="14"/>
      <c r="F141" s="14"/>
      <c r="G141" s="14"/>
    </row>
    <row r="142" spans="1:7">
      <c r="A142" s="14"/>
      <c r="B142" s="14"/>
      <c r="C142" s="14"/>
      <c r="D142" s="14"/>
      <c r="E142" s="14"/>
      <c r="F142" s="14"/>
      <c r="G142" s="14"/>
    </row>
    <row r="143" spans="1:7">
      <c r="A143" s="14"/>
      <c r="B143" s="14"/>
      <c r="C143" s="14"/>
      <c r="D143" s="14"/>
      <c r="E143" s="14"/>
      <c r="F143" s="14"/>
      <c r="G143" s="14"/>
    </row>
    <row r="144" spans="1:7">
      <c r="A144" s="14"/>
      <c r="B144" s="14"/>
      <c r="C144" s="14"/>
      <c r="D144" s="14"/>
      <c r="E144" s="14"/>
      <c r="F144" s="14"/>
      <c r="G144" s="14"/>
    </row>
    <row r="145" spans="1:3">
      <c r="A145" s="14"/>
      <c r="B145" s="14"/>
      <c r="C145" s="14"/>
    </row>
    <row r="146" spans="1:3">
      <c r="A146" s="14"/>
      <c r="B146" s="14"/>
      <c r="C146" s="14"/>
    </row>
    <row r="147" spans="1:3">
      <c r="A147" s="14"/>
      <c r="B147" s="14"/>
      <c r="C147" s="1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&amp;R&amp;"Calibri"&amp;12&amp;KFF9100F O R T R O L I G&amp;1#</oddHeader>
    <oddFooter>&amp;R&amp;A</oddFooter>
  </headerFooter>
  <ignoredErrors>
    <ignoredError sqref="B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pageSetUpPr fitToPage="1"/>
  </sheetPr>
  <dimension ref="A1:N50"/>
  <sheetViews>
    <sheetView zoomScaleNormal="100" workbookViewId="0"/>
  </sheetViews>
  <sheetFormatPr baseColWidth="10" defaultColWidth="11" defaultRowHeight="12"/>
  <cols>
    <col min="1" max="1" width="36.25" style="244" customWidth="1"/>
    <col min="2" max="2" width="29.625" style="244" customWidth="1"/>
    <col min="3" max="3" width="8.375" style="244" customWidth="1"/>
    <col min="4" max="4" width="8.875" style="244" customWidth="1"/>
    <col min="5" max="6" width="10.625" style="244" customWidth="1"/>
    <col min="7" max="7" width="14.625" style="17" customWidth="1"/>
    <col min="8" max="8" width="11" style="17"/>
    <col min="9" max="9" width="31.25" style="17" customWidth="1"/>
    <col min="10" max="16384" width="11" style="17"/>
  </cols>
  <sheetData>
    <row r="1" spans="1:14" ht="21">
      <c r="A1" s="549" t="s">
        <v>195</v>
      </c>
      <c r="B1" s="566"/>
      <c r="C1" s="209"/>
      <c r="D1" s="209"/>
      <c r="E1" s="209"/>
      <c r="F1" s="209"/>
      <c r="G1" s="54"/>
      <c r="H1" s="54"/>
      <c r="I1" s="244"/>
      <c r="J1" s="54"/>
      <c r="K1" s="244"/>
    </row>
    <row r="2" spans="1:14">
      <c r="A2" s="566" t="s">
        <v>110</v>
      </c>
      <c r="B2" s="566"/>
      <c r="C2" s="209"/>
      <c r="D2" s="209"/>
      <c r="E2" s="209"/>
      <c r="F2" s="209"/>
      <c r="G2" s="54"/>
      <c r="H2" s="54"/>
      <c r="I2" s="244"/>
      <c r="J2" s="54"/>
      <c r="K2" s="244"/>
    </row>
    <row r="3" spans="1:14">
      <c r="A3" s="567"/>
      <c r="B3" s="567"/>
      <c r="C3" s="567"/>
      <c r="D3" s="567"/>
      <c r="E3" s="210"/>
      <c r="F3" s="566"/>
      <c r="G3" s="244"/>
      <c r="H3" s="244"/>
      <c r="I3" s="244"/>
      <c r="J3" s="569"/>
      <c r="K3" s="244"/>
    </row>
    <row r="4" spans="1:14">
      <c r="A4" s="565"/>
      <c r="B4" s="565"/>
      <c r="C4" s="671"/>
      <c r="D4" s="671"/>
      <c r="E4" s="671"/>
      <c r="F4" s="419"/>
      <c r="G4" s="57"/>
      <c r="H4" s="244"/>
      <c r="I4" s="86"/>
      <c r="J4" s="86"/>
      <c r="K4" s="86"/>
      <c r="L4" s="86"/>
      <c r="M4" s="86"/>
      <c r="N4" s="86"/>
    </row>
    <row r="5" spans="1:14" ht="24">
      <c r="A5" s="568"/>
      <c r="B5" s="211"/>
      <c r="C5" s="287" t="s">
        <v>38</v>
      </c>
      <c r="D5" s="287" t="s">
        <v>38</v>
      </c>
      <c r="E5" s="284" t="s">
        <v>187</v>
      </c>
      <c r="F5" s="213" t="s">
        <v>187</v>
      </c>
      <c r="G5" s="60"/>
      <c r="H5" s="244"/>
      <c r="I5" s="88"/>
      <c r="J5" s="211"/>
      <c r="K5" s="287"/>
      <c r="L5" s="287"/>
      <c r="M5" s="284"/>
      <c r="N5" s="213"/>
    </row>
    <row r="6" spans="1:14">
      <c r="A6" s="750"/>
      <c r="B6" s="748"/>
      <c r="C6" s="287"/>
      <c r="D6" s="287" t="s">
        <v>39</v>
      </c>
      <c r="E6" s="284" t="s">
        <v>40</v>
      </c>
      <c r="F6" s="213" t="s">
        <v>40</v>
      </c>
      <c r="G6" s="57"/>
      <c r="H6" s="244"/>
      <c r="I6" s="88"/>
      <c r="J6" s="211"/>
      <c r="K6" s="287"/>
      <c r="L6" s="287"/>
      <c r="M6" s="284"/>
      <c r="N6" s="213"/>
    </row>
    <row r="7" spans="1:14" ht="12.75" thickBot="1">
      <c r="A7" s="214"/>
      <c r="B7" s="215"/>
      <c r="C7" s="676">
        <v>44469</v>
      </c>
      <c r="D7" s="676">
        <v>44469</v>
      </c>
      <c r="E7" s="676">
        <v>44469</v>
      </c>
      <c r="F7" s="216">
        <v>44196</v>
      </c>
      <c r="G7" s="62"/>
      <c r="H7" s="244"/>
      <c r="I7" s="719"/>
      <c r="J7" s="211"/>
      <c r="K7" s="726"/>
      <c r="L7" s="726"/>
      <c r="M7" s="726"/>
      <c r="N7" s="317"/>
    </row>
    <row r="8" spans="1:14">
      <c r="A8" s="87" t="s">
        <v>17</v>
      </c>
      <c r="B8" s="747" t="s">
        <v>626</v>
      </c>
      <c r="C8" s="436">
        <v>47528.112371000003</v>
      </c>
      <c r="D8" s="436">
        <v>45817.350302999999</v>
      </c>
      <c r="E8" s="436">
        <v>23454.830598</v>
      </c>
      <c r="F8" s="436">
        <v>23129.987000000001</v>
      </c>
      <c r="G8" s="64"/>
      <c r="H8" s="244"/>
      <c r="I8" s="87"/>
      <c r="J8" s="719"/>
      <c r="K8" s="436"/>
      <c r="L8" s="436"/>
      <c r="M8" s="436"/>
      <c r="N8" s="436"/>
    </row>
    <row r="9" spans="1:14" s="244" customFormat="1">
      <c r="A9" s="87"/>
      <c r="B9" s="747" t="s">
        <v>214</v>
      </c>
      <c r="C9" s="436">
        <f>32177.818924+1.159886</f>
        <v>32178.978810000001</v>
      </c>
      <c r="D9" s="436">
        <f>28239.497379+1.159886</f>
        <v>28240.657265000002</v>
      </c>
      <c r="E9" s="217">
        <f>17712.037003+1.254333</f>
        <v>17713.291336000002</v>
      </c>
      <c r="F9" s="217">
        <v>16936.168999999998</v>
      </c>
      <c r="G9" s="64"/>
      <c r="I9" s="87"/>
      <c r="J9" s="719"/>
      <c r="K9" s="436"/>
      <c r="L9" s="436"/>
      <c r="M9" s="217"/>
      <c r="N9" s="217"/>
    </row>
    <row r="10" spans="1:14">
      <c r="A10" s="218"/>
      <c r="B10" s="219" t="s">
        <v>79</v>
      </c>
      <c r="C10" s="437">
        <v>14128.252639</v>
      </c>
      <c r="D10" s="437">
        <v>12343.320873999999</v>
      </c>
      <c r="E10" s="437">
        <v>7791.1964799999996</v>
      </c>
      <c r="F10" s="437">
        <v>6528.5510000000004</v>
      </c>
      <c r="G10" s="64"/>
      <c r="H10" s="244"/>
      <c r="I10" s="87"/>
      <c r="J10" s="719"/>
      <c r="K10" s="436"/>
      <c r="L10" s="436"/>
      <c r="M10" s="436"/>
      <c r="N10" s="436"/>
    </row>
    <row r="11" spans="1:14">
      <c r="A11" s="207" t="s">
        <v>18</v>
      </c>
      <c r="B11" s="207" t="s">
        <v>41</v>
      </c>
      <c r="C11" s="436">
        <v>6637.5411320000003</v>
      </c>
      <c r="D11" s="436">
        <v>6635.4516320000002</v>
      </c>
      <c r="E11" s="436">
        <v>1327.0903269999999</v>
      </c>
      <c r="F11" s="436">
        <v>1310.6579999999999</v>
      </c>
      <c r="G11" s="64"/>
      <c r="H11" s="244"/>
      <c r="I11" s="207"/>
      <c r="J11" s="207"/>
      <c r="K11" s="436"/>
      <c r="L11" s="436"/>
      <c r="M11" s="436"/>
      <c r="N11" s="436"/>
    </row>
    <row r="12" spans="1:14" ht="12" customHeight="1">
      <c r="A12" s="207"/>
      <c r="B12" s="207" t="s">
        <v>70</v>
      </c>
      <c r="C12" s="436">
        <v>159662.50825799999</v>
      </c>
      <c r="D12" s="436">
        <v>159658.57047999999</v>
      </c>
      <c r="E12" s="436">
        <v>31931.714094999999</v>
      </c>
      <c r="F12" s="436">
        <v>31044.937999999998</v>
      </c>
      <c r="G12" s="64"/>
      <c r="H12" s="244"/>
      <c r="I12" s="207"/>
      <c r="J12" s="207"/>
      <c r="K12" s="436"/>
      <c r="L12" s="436"/>
      <c r="M12" s="436"/>
      <c r="N12" s="436"/>
    </row>
    <row r="13" spans="1:14" ht="14.25" customHeight="1">
      <c r="A13" s="220"/>
      <c r="B13" s="220" t="s">
        <v>71</v>
      </c>
      <c r="C13" s="437">
        <f>440.794782+6298.963472</f>
        <v>6739.7582540000003</v>
      </c>
      <c r="D13" s="437">
        <f>437.648782+6295.358599</f>
        <v>6733.0073810000004</v>
      </c>
      <c r="E13" s="437">
        <f>131.755048+2453.394487</f>
        <v>2585.149535</v>
      </c>
      <c r="F13" s="437">
        <v>2824.7529999999997</v>
      </c>
      <c r="G13" s="64"/>
      <c r="H13" s="244"/>
      <c r="I13" s="207"/>
      <c r="J13" s="207"/>
      <c r="K13" s="436"/>
      <c r="L13" s="436"/>
      <c r="M13" s="436"/>
      <c r="N13" s="436"/>
    </row>
    <row r="14" spans="1:14">
      <c r="A14" s="856" t="s">
        <v>192</v>
      </c>
      <c r="B14" s="856"/>
      <c r="C14" s="725">
        <f>SUM(C8:C13)</f>
        <v>266875.151464</v>
      </c>
      <c r="D14" s="725">
        <f>SUM(D8:D13)</f>
        <v>259428.35793500001</v>
      </c>
      <c r="E14" s="725">
        <f>SUM(E8:E13)</f>
        <v>84803.272370999999</v>
      </c>
      <c r="F14" s="436">
        <v>81775.055999999997</v>
      </c>
      <c r="G14" s="67"/>
      <c r="H14" s="244"/>
      <c r="I14" s="857"/>
      <c r="J14" s="857"/>
      <c r="K14" s="725"/>
      <c r="L14" s="725"/>
      <c r="M14" s="725"/>
      <c r="N14" s="436"/>
    </row>
    <row r="15" spans="1:14">
      <c r="A15" s="748"/>
      <c r="B15" s="748"/>
      <c r="C15" s="820"/>
      <c r="D15" s="820"/>
      <c r="E15" s="438"/>
      <c r="F15" s="438"/>
      <c r="G15" s="68"/>
      <c r="H15" s="244"/>
      <c r="I15" s="211"/>
      <c r="J15" s="211"/>
      <c r="K15" s="727"/>
      <c r="L15" s="727"/>
      <c r="M15" s="728"/>
      <c r="N15" s="728"/>
    </row>
    <row r="16" spans="1:14" s="244" customFormat="1" ht="12" customHeight="1">
      <c r="A16" s="747" t="s">
        <v>675</v>
      </c>
      <c r="B16" s="747"/>
      <c r="C16" s="436">
        <v>5025.8209999999999</v>
      </c>
      <c r="D16" s="674"/>
      <c r="E16" s="436">
        <v>52.726999999999997</v>
      </c>
      <c r="F16" s="436">
        <v>43</v>
      </c>
      <c r="G16" s="68"/>
      <c r="I16" s="719"/>
      <c r="J16" s="719"/>
      <c r="K16" s="436"/>
      <c r="L16" s="674"/>
      <c r="M16" s="436"/>
      <c r="N16" s="436"/>
    </row>
    <row r="17" spans="1:14" ht="12" customHeight="1">
      <c r="A17" s="565" t="s">
        <v>676</v>
      </c>
      <c r="B17" s="565"/>
      <c r="C17" s="217">
        <f>1018.59011+5.225051</f>
        <v>1023.815161</v>
      </c>
      <c r="D17" s="674"/>
      <c r="E17" s="217">
        <f>222.846688+0.268573</f>
        <v>223.115261</v>
      </c>
      <c r="F17" s="217">
        <v>308.3</v>
      </c>
      <c r="G17" s="64"/>
      <c r="H17" s="69"/>
      <c r="I17" s="719"/>
      <c r="J17" s="719"/>
      <c r="K17" s="217"/>
      <c r="L17" s="674"/>
      <c r="M17" s="217"/>
      <c r="N17" s="217"/>
    </row>
    <row r="18" spans="1:14">
      <c r="A18" s="565" t="s">
        <v>22</v>
      </c>
      <c r="B18" s="565"/>
      <c r="C18" s="436">
        <v>22487.421997000001</v>
      </c>
      <c r="D18" s="674"/>
      <c r="E18" s="436">
        <v>2702.2817719999998</v>
      </c>
      <c r="F18" s="436">
        <v>1580</v>
      </c>
      <c r="G18" s="64"/>
      <c r="H18" s="69"/>
      <c r="I18" s="719"/>
      <c r="J18" s="719"/>
      <c r="K18" s="436"/>
      <c r="L18" s="674"/>
      <c r="M18" s="436"/>
      <c r="N18" s="436"/>
    </row>
    <row r="19" spans="1:14">
      <c r="A19" s="565" t="s">
        <v>17</v>
      </c>
      <c r="B19" s="565"/>
      <c r="C19" s="436">
        <f>11866.822517+42.567351</f>
        <v>11909.389868</v>
      </c>
      <c r="D19" s="674"/>
      <c r="E19" s="436">
        <f>9232.548321+45.044274</f>
        <v>9277.5925950000001</v>
      </c>
      <c r="F19" s="436">
        <v>8983.5</v>
      </c>
      <c r="G19" s="64"/>
      <c r="H19" s="69"/>
      <c r="I19" s="719"/>
      <c r="J19" s="719"/>
      <c r="K19" s="436"/>
      <c r="L19" s="674"/>
      <c r="M19" s="436"/>
      <c r="N19" s="436"/>
    </row>
    <row r="20" spans="1:14" ht="12" customHeight="1">
      <c r="A20" s="565" t="s">
        <v>18</v>
      </c>
      <c r="B20" s="565"/>
      <c r="C20" s="436">
        <f>17427.478145+1767.95076</f>
        <v>19195.428905000001</v>
      </c>
      <c r="D20" s="674"/>
      <c r="E20" s="436">
        <f>4400.750713+712.19365</f>
        <v>5112.9443630000005</v>
      </c>
      <c r="F20" s="436">
        <v>4950.5</v>
      </c>
      <c r="G20" s="64"/>
      <c r="H20" s="69"/>
      <c r="I20" s="719"/>
      <c r="J20" s="719"/>
      <c r="K20" s="436"/>
      <c r="L20" s="674"/>
      <c r="M20" s="436"/>
      <c r="N20" s="436"/>
    </row>
    <row r="21" spans="1:14" s="244" customFormat="1" ht="12" customHeight="1">
      <c r="A21" s="565" t="s">
        <v>565</v>
      </c>
      <c r="B21" s="565"/>
      <c r="C21" s="436">
        <v>25975.60284</v>
      </c>
      <c r="D21" s="674"/>
      <c r="E21" s="436">
        <v>2577.2351359999998</v>
      </c>
      <c r="F21" s="436">
        <v>2096</v>
      </c>
      <c r="G21" s="64"/>
      <c r="H21" s="69"/>
      <c r="I21" s="719"/>
      <c r="J21" s="719"/>
      <c r="K21" s="436"/>
      <c r="L21" s="674"/>
      <c r="M21" s="436"/>
      <c r="N21" s="436"/>
    </row>
    <row r="22" spans="1:14" s="244" customFormat="1" ht="12" customHeight="1">
      <c r="A22" s="565" t="s">
        <v>577</v>
      </c>
      <c r="B22" s="565"/>
      <c r="C22" s="436">
        <v>3063.7201970000001</v>
      </c>
      <c r="D22" s="674"/>
      <c r="E22" s="436">
        <v>6587.2973689999999</v>
      </c>
      <c r="F22" s="436">
        <v>6436</v>
      </c>
      <c r="G22" s="64"/>
      <c r="H22" s="69"/>
      <c r="I22" s="719"/>
      <c r="J22" s="719"/>
      <c r="K22" s="436"/>
      <c r="L22" s="674"/>
      <c r="M22" s="436"/>
      <c r="N22" s="436"/>
    </row>
    <row r="23" spans="1:14" ht="12" customHeight="1">
      <c r="A23" s="219" t="s">
        <v>44</v>
      </c>
      <c r="B23" s="219"/>
      <c r="C23" s="437">
        <f>7.804045+3667.858198</f>
        <v>3675.6622429999998</v>
      </c>
      <c r="D23" s="821"/>
      <c r="E23" s="437">
        <f>7.804045+4906.911538</f>
        <v>4914.7155830000002</v>
      </c>
      <c r="F23" s="437">
        <v>4902</v>
      </c>
      <c r="G23" s="64"/>
      <c r="H23" s="69"/>
      <c r="I23" s="719"/>
      <c r="J23" s="719"/>
      <c r="K23" s="436"/>
      <c r="L23" s="674"/>
      <c r="M23" s="436"/>
      <c r="N23" s="436"/>
    </row>
    <row r="24" spans="1:14">
      <c r="A24" s="856" t="s">
        <v>193</v>
      </c>
      <c r="B24" s="856"/>
      <c r="C24" s="731">
        <f>SUM(C16:C23)</f>
        <v>92356.862211</v>
      </c>
      <c r="D24" s="675"/>
      <c r="E24" s="725">
        <f t="shared" ref="E24" si="0">SUM(E16:E23)</f>
        <v>31447.909079000001</v>
      </c>
      <c r="F24" s="436">
        <v>29299.3</v>
      </c>
      <c r="G24" s="67"/>
      <c r="H24" s="456"/>
      <c r="I24" s="857"/>
      <c r="J24" s="857"/>
      <c r="K24" s="731"/>
      <c r="L24" s="675"/>
      <c r="M24" s="725"/>
      <c r="N24" s="436"/>
    </row>
    <row r="25" spans="1:14">
      <c r="A25" s="211"/>
      <c r="B25" s="211"/>
      <c r="C25" s="675"/>
      <c r="D25" s="675"/>
      <c r="E25" s="725"/>
      <c r="F25" s="436"/>
      <c r="G25" s="67"/>
      <c r="H25" s="456"/>
      <c r="I25" s="211"/>
      <c r="J25" s="211"/>
      <c r="K25" s="675"/>
      <c r="L25" s="675"/>
      <c r="M25" s="725"/>
      <c r="N25" s="436"/>
    </row>
    <row r="26" spans="1:14">
      <c r="A26" s="222" t="s">
        <v>194</v>
      </c>
      <c r="B26" s="223"/>
      <c r="C26" s="823"/>
      <c r="D26" s="822"/>
      <c r="E26" s="825">
        <f>E14+E24</f>
        <v>116251.18145</v>
      </c>
      <c r="F26" s="665">
        <v>111074.356</v>
      </c>
      <c r="G26" s="72"/>
      <c r="H26" s="244"/>
      <c r="I26" s="729"/>
      <c r="J26" s="88"/>
      <c r="K26" s="730"/>
      <c r="L26" s="727"/>
      <c r="M26" s="732"/>
      <c r="N26" s="728"/>
    </row>
    <row r="27" spans="1:14">
      <c r="G27" s="244"/>
      <c r="H27" s="244"/>
      <c r="I27" s="86"/>
      <c r="J27" s="86"/>
      <c r="K27" s="86"/>
      <c r="L27" s="86"/>
      <c r="M27" s="86"/>
      <c r="N27" s="86"/>
    </row>
    <row r="28" spans="1:14">
      <c r="G28" s="244"/>
      <c r="H28" s="244"/>
      <c r="I28" s="244"/>
      <c r="J28" s="244"/>
      <c r="K28" s="244"/>
    </row>
    <row r="29" spans="1:14">
      <c r="A29" s="566" t="s">
        <v>627</v>
      </c>
      <c r="B29" s="566"/>
      <c r="C29" s="566"/>
      <c r="D29" s="566"/>
      <c r="E29" s="566"/>
      <c r="F29" s="566"/>
      <c r="G29" s="566"/>
      <c r="H29" s="244"/>
      <c r="I29" s="244"/>
      <c r="J29" s="244"/>
      <c r="K29" s="244"/>
    </row>
    <row r="30" spans="1:14">
      <c r="A30" s="566" t="s">
        <v>628</v>
      </c>
      <c r="B30" s="566"/>
      <c r="C30" s="566"/>
      <c r="D30" s="566"/>
      <c r="E30" s="566"/>
      <c r="F30" s="18"/>
      <c r="G30" s="566"/>
      <c r="H30" s="244"/>
      <c r="I30" s="244"/>
      <c r="J30" s="244"/>
      <c r="K30" s="244"/>
    </row>
    <row r="31" spans="1:14">
      <c r="A31" s="566" t="s">
        <v>631</v>
      </c>
      <c r="B31" s="566"/>
      <c r="C31" s="566"/>
      <c r="D31" s="566"/>
      <c r="E31" s="566"/>
      <c r="F31" s="566"/>
      <c r="G31" s="566"/>
      <c r="H31" s="244"/>
      <c r="I31" s="244"/>
      <c r="J31" s="244"/>
      <c r="K31" s="244"/>
    </row>
    <row r="32" spans="1:14">
      <c r="A32" s="566" t="s">
        <v>629</v>
      </c>
      <c r="B32" s="566"/>
      <c r="C32" s="566"/>
      <c r="D32" s="566"/>
      <c r="E32" s="566"/>
      <c r="F32" s="566"/>
      <c r="G32" s="566"/>
      <c r="H32" s="244"/>
      <c r="I32" s="244"/>
      <c r="J32" s="244"/>
      <c r="K32" s="244"/>
    </row>
    <row r="33" spans="1:11">
      <c r="A33" s="566" t="s">
        <v>630</v>
      </c>
      <c r="B33" s="566"/>
      <c r="C33" s="566"/>
      <c r="D33" s="566"/>
      <c r="E33" s="566"/>
      <c r="F33" s="566"/>
      <c r="G33" s="566"/>
      <c r="H33" s="244"/>
      <c r="I33" s="244"/>
      <c r="J33" s="244"/>
      <c r="K33" s="244"/>
    </row>
    <row r="34" spans="1:11">
      <c r="A34" s="566" t="s">
        <v>781</v>
      </c>
      <c r="B34" s="566"/>
      <c r="C34" s="566"/>
      <c r="D34" s="566"/>
      <c r="E34" s="566"/>
      <c r="F34" s="566"/>
      <c r="G34" s="566"/>
      <c r="H34" s="244"/>
      <c r="I34" s="244"/>
      <c r="J34" s="244"/>
      <c r="K34" s="244"/>
    </row>
    <row r="35" spans="1:11">
      <c r="A35" s="355"/>
      <c r="B35" s="355"/>
      <c r="C35" s="355"/>
      <c r="D35" s="355"/>
      <c r="E35" s="355"/>
      <c r="F35" s="355"/>
      <c r="G35" s="19"/>
    </row>
    <row r="36" spans="1:11">
      <c r="A36" s="355"/>
      <c r="B36" s="355"/>
      <c r="C36" s="355"/>
      <c r="D36" s="355"/>
      <c r="E36" s="722"/>
      <c r="F36" s="355"/>
      <c r="G36" s="19"/>
    </row>
    <row r="37" spans="1:11">
      <c r="A37" s="510"/>
      <c r="B37" s="355"/>
      <c r="C37" s="355"/>
      <c r="D37" s="355"/>
      <c r="E37" s="722"/>
      <c r="F37" s="355"/>
      <c r="G37" s="19"/>
    </row>
    <row r="38" spans="1:11">
      <c r="A38" s="355"/>
      <c r="B38" s="355"/>
      <c r="C38" s="355"/>
      <c r="D38" s="355"/>
      <c r="E38" s="722"/>
      <c r="F38" s="355"/>
      <c r="G38" s="19"/>
    </row>
    <row r="39" spans="1:11">
      <c r="A39" s="355"/>
      <c r="B39" s="355"/>
      <c r="C39" s="355"/>
      <c r="D39" s="355"/>
      <c r="E39" s="722"/>
      <c r="F39" s="355"/>
      <c r="G39" s="19"/>
    </row>
    <row r="40" spans="1:11">
      <c r="A40" s="355"/>
      <c r="B40" s="355"/>
      <c r="C40" s="355"/>
      <c r="D40" s="355"/>
      <c r="E40" s="722"/>
      <c r="F40" s="355"/>
      <c r="G40" s="19"/>
    </row>
    <row r="41" spans="1:11">
      <c r="A41" s="355"/>
      <c r="B41" s="355"/>
      <c r="C41" s="355"/>
      <c r="D41" s="355"/>
      <c r="E41" s="722"/>
      <c r="F41" s="355"/>
      <c r="G41" s="19"/>
    </row>
    <row r="42" spans="1:11">
      <c r="E42" s="722"/>
    </row>
    <row r="50" spans="2:2">
      <c r="B50" s="573"/>
    </row>
  </sheetData>
  <mergeCells count="4">
    <mergeCell ref="A14:B14"/>
    <mergeCell ref="A24:B24"/>
    <mergeCell ref="I14:J14"/>
    <mergeCell ref="I24:J2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pageSetUpPr fitToPage="1"/>
  </sheetPr>
  <dimension ref="A1:H53"/>
  <sheetViews>
    <sheetView workbookViewId="0"/>
  </sheetViews>
  <sheetFormatPr baseColWidth="10" defaultColWidth="11" defaultRowHeight="12"/>
  <cols>
    <col min="1" max="1" width="35" style="244" customWidth="1"/>
    <col min="2" max="2" width="1" style="244" customWidth="1"/>
    <col min="3" max="6" width="12.625" style="244" customWidth="1"/>
    <col min="7" max="7" width="12.625" style="17" customWidth="1"/>
    <col min="8" max="8" width="11" style="17"/>
    <col min="9" max="9" width="31.25" style="17" customWidth="1"/>
    <col min="10" max="16384" width="11" style="17"/>
  </cols>
  <sheetData>
    <row r="1" spans="1:8" ht="21">
      <c r="A1" s="549" t="s">
        <v>211</v>
      </c>
      <c r="B1" s="566"/>
      <c r="C1" s="566"/>
      <c r="D1" s="566"/>
      <c r="E1" s="566"/>
      <c r="F1" s="566"/>
      <c r="G1" s="566"/>
      <c r="H1" s="244"/>
    </row>
    <row r="2" spans="1:8">
      <c r="A2" s="566" t="s">
        <v>110</v>
      </c>
      <c r="B2" s="566"/>
      <c r="C2" s="566"/>
      <c r="D2" s="566"/>
      <c r="E2" s="566"/>
      <c r="F2" s="566"/>
      <c r="G2" s="566"/>
      <c r="H2" s="244"/>
    </row>
    <row r="3" spans="1:8">
      <c r="A3" s="88"/>
      <c r="B3" s="88"/>
      <c r="C3" s="212"/>
      <c r="E3" s="212"/>
      <c r="F3" s="212"/>
      <c r="G3" s="212"/>
      <c r="H3" s="244"/>
    </row>
    <row r="4" spans="1:8" ht="24.75" thickBot="1">
      <c r="A4" s="556">
        <v>44469</v>
      </c>
      <c r="B4" s="673"/>
      <c r="C4" s="422" t="s">
        <v>40</v>
      </c>
      <c r="D4" s="422" t="s">
        <v>540</v>
      </c>
      <c r="E4" s="422" t="s">
        <v>178</v>
      </c>
      <c r="F4" s="422" t="s">
        <v>863</v>
      </c>
      <c r="G4" s="422" t="s">
        <v>865</v>
      </c>
      <c r="H4" s="244"/>
    </row>
    <row r="5" spans="1:8">
      <c r="A5" s="859" t="s">
        <v>58</v>
      </c>
      <c r="B5" s="859"/>
      <c r="C5" s="175">
        <v>4281</v>
      </c>
      <c r="D5" s="423"/>
      <c r="E5" s="423"/>
      <c r="F5" s="423"/>
      <c r="G5" s="423"/>
      <c r="H5" s="99"/>
    </row>
    <row r="6" spans="1:8">
      <c r="A6" s="859" t="s">
        <v>59</v>
      </c>
      <c r="B6" s="859"/>
      <c r="C6" s="175">
        <v>4732</v>
      </c>
      <c r="D6" s="423"/>
      <c r="E6" s="423"/>
      <c r="F6" s="423"/>
      <c r="G6" s="423"/>
      <c r="H6" s="99"/>
    </row>
    <row r="7" spans="1:8">
      <c r="A7" s="859" t="s">
        <v>60</v>
      </c>
      <c r="B7" s="859"/>
      <c r="C7" s="175">
        <v>115</v>
      </c>
      <c r="D7" s="423"/>
      <c r="E7" s="423"/>
      <c r="F7" s="423"/>
      <c r="G7" s="423"/>
      <c r="H7" s="99"/>
    </row>
    <row r="8" spans="1:8" s="244" customFormat="1">
      <c r="A8" s="859" t="s">
        <v>179</v>
      </c>
      <c r="B8" s="859"/>
      <c r="C8" s="175">
        <f>SUM(D8:G8)</f>
        <v>879</v>
      </c>
      <c r="D8" s="175">
        <v>0</v>
      </c>
      <c r="E8" s="175">
        <v>554</v>
      </c>
      <c r="F8" s="175">
        <v>165</v>
      </c>
      <c r="G8" s="175">
        <v>160</v>
      </c>
      <c r="H8" s="99"/>
    </row>
    <row r="9" spans="1:8">
      <c r="A9" s="222" t="s">
        <v>61</v>
      </c>
      <c r="B9" s="222"/>
      <c r="C9" s="246">
        <f>SUM(C5:C8)</f>
        <v>10007</v>
      </c>
      <c r="D9" s="246">
        <f>SUM(D5:D8)</f>
        <v>0</v>
      </c>
      <c r="E9" s="246">
        <f>SUM(E5:E8)</f>
        <v>554</v>
      </c>
      <c r="F9" s="246">
        <f>SUM(F5:F8)</f>
        <v>165</v>
      </c>
      <c r="G9" s="246">
        <f>SUM(G5:G8)</f>
        <v>160</v>
      </c>
      <c r="H9" s="99"/>
    </row>
    <row r="10" spans="1:8">
      <c r="A10" s="749"/>
      <c r="B10" s="749"/>
      <c r="C10" s="247"/>
      <c r="D10" s="247"/>
      <c r="E10" s="247"/>
      <c r="F10" s="247"/>
      <c r="G10" s="247"/>
      <c r="H10" s="99"/>
    </row>
    <row r="11" spans="1:8" s="244" customFormat="1" ht="12" customHeight="1">
      <c r="A11" s="88"/>
      <c r="B11" s="88"/>
      <c r="C11" s="212"/>
      <c r="D11" s="212"/>
      <c r="E11" s="212"/>
      <c r="F11" s="247"/>
      <c r="G11" s="247"/>
      <c r="H11" s="99"/>
    </row>
    <row r="12" spans="1:8" s="244" customFormat="1" ht="24.75" thickBot="1">
      <c r="A12" s="556">
        <v>44196</v>
      </c>
      <c r="B12" s="464"/>
      <c r="C12" s="422" t="s">
        <v>40</v>
      </c>
      <c r="D12" s="422" t="s">
        <v>540</v>
      </c>
      <c r="E12" s="422" t="s">
        <v>178</v>
      </c>
      <c r="F12" s="422" t="s">
        <v>863</v>
      </c>
      <c r="G12" s="422" t="s">
        <v>865</v>
      </c>
      <c r="H12" s="99"/>
    </row>
    <row r="13" spans="1:8" s="244" customFormat="1">
      <c r="A13" s="859" t="s">
        <v>58</v>
      </c>
      <c r="B13" s="859"/>
      <c r="C13" s="175">
        <v>4281</v>
      </c>
      <c r="D13" s="423"/>
      <c r="E13" s="423"/>
      <c r="F13" s="423"/>
      <c r="G13" s="423"/>
      <c r="H13" s="99"/>
    </row>
    <row r="14" spans="1:8" s="244" customFormat="1">
      <c r="A14" s="859" t="s">
        <v>59</v>
      </c>
      <c r="B14" s="859"/>
      <c r="C14" s="175">
        <v>4732</v>
      </c>
      <c r="D14" s="423"/>
      <c r="E14" s="423"/>
      <c r="F14" s="423"/>
      <c r="G14" s="423"/>
      <c r="H14" s="99"/>
    </row>
    <row r="15" spans="1:8" s="244" customFormat="1">
      <c r="A15" s="859" t="s">
        <v>60</v>
      </c>
      <c r="B15" s="859"/>
      <c r="C15" s="175">
        <v>115</v>
      </c>
      <c r="D15" s="423"/>
      <c r="E15" s="423"/>
      <c r="F15" s="423"/>
      <c r="G15" s="423"/>
      <c r="H15" s="99"/>
    </row>
    <row r="16" spans="1:8" s="244" customFormat="1">
      <c r="A16" s="859" t="s">
        <v>179</v>
      </c>
      <c r="B16" s="859"/>
      <c r="C16" s="175">
        <v>726.3309999999999</v>
      </c>
      <c r="D16" s="175">
        <v>26.27</v>
      </c>
      <c r="E16" s="175">
        <v>528.75199999999995</v>
      </c>
      <c r="F16" s="175">
        <v>171.309</v>
      </c>
      <c r="G16" s="175" t="s">
        <v>265</v>
      </c>
      <c r="H16" s="99"/>
    </row>
    <row r="17" spans="1:8">
      <c r="A17" s="222" t="s">
        <v>61</v>
      </c>
      <c r="B17" s="222"/>
      <c r="C17" s="246">
        <v>9854.3310000000001</v>
      </c>
      <c r="D17" s="246">
        <v>26.27</v>
      </c>
      <c r="E17" s="246">
        <v>528.75199999999995</v>
      </c>
      <c r="F17" s="246">
        <v>171.309</v>
      </c>
      <c r="G17" s="246" t="s">
        <v>265</v>
      </c>
      <c r="H17" s="99"/>
    </row>
    <row r="18" spans="1:8">
      <c r="A18" s="566"/>
      <c r="B18" s="566"/>
      <c r="C18" s="247"/>
      <c r="D18" s="247"/>
      <c r="E18" s="247"/>
      <c r="F18" s="247"/>
      <c r="G18" s="247"/>
      <c r="H18" s="99"/>
    </row>
    <row r="19" spans="1:8">
      <c r="A19" s="566"/>
      <c r="B19" s="566"/>
      <c r="C19" s="247"/>
      <c r="D19" s="247"/>
      <c r="E19" s="247"/>
      <c r="F19" s="247"/>
      <c r="G19" s="247"/>
      <c r="H19" s="99"/>
    </row>
    <row r="20" spans="1:8">
      <c r="A20" s="858" t="s">
        <v>881</v>
      </c>
      <c r="B20" s="858"/>
      <c r="C20" s="858"/>
      <c r="D20" s="858"/>
      <c r="E20" s="858"/>
      <c r="F20" s="858"/>
      <c r="G20" s="858"/>
      <c r="H20" s="244"/>
    </row>
    <row r="21" spans="1:8">
      <c r="A21" s="858" t="s">
        <v>882</v>
      </c>
      <c r="B21" s="858"/>
      <c r="C21" s="858"/>
      <c r="D21" s="858"/>
      <c r="E21" s="858"/>
      <c r="F21" s="858"/>
      <c r="G21" s="858"/>
      <c r="H21" s="244"/>
    </row>
    <row r="22" spans="1:8">
      <c r="A22" s="566"/>
      <c r="B22" s="566"/>
      <c r="C22" s="566"/>
      <c r="D22" s="566"/>
      <c r="E22" s="566"/>
      <c r="F22" s="566"/>
      <c r="G22" s="566"/>
      <c r="H22" s="244"/>
    </row>
    <row r="23" spans="1:8">
      <c r="A23" s="566"/>
      <c r="B23" s="566"/>
      <c r="C23" s="566"/>
      <c r="D23" s="566"/>
      <c r="E23" s="566"/>
      <c r="F23" s="566"/>
      <c r="G23" s="566"/>
      <c r="H23" s="244"/>
    </row>
    <row r="24" spans="1:8" ht="14.25">
      <c r="A24" s="260" t="s">
        <v>212</v>
      </c>
      <c r="B24" s="566"/>
      <c r="C24" s="566"/>
      <c r="D24" s="566"/>
      <c r="E24" s="566"/>
      <c r="F24" s="566"/>
      <c r="G24" s="566"/>
    </row>
    <row r="50" spans="2:2">
      <c r="B50" s="573">
        <v>43646</v>
      </c>
    </row>
    <row r="51" spans="2:2">
      <c r="B51" s="244">
        <v>5903</v>
      </c>
    </row>
    <row r="52" spans="2:2">
      <c r="B52" s="244">
        <v>26293</v>
      </c>
    </row>
    <row r="53" spans="2:2">
      <c r="B53" s="244">
        <v>22.45</v>
      </c>
    </row>
  </sheetData>
  <mergeCells count="10">
    <mergeCell ref="A20:G20"/>
    <mergeCell ref="A21:G21"/>
    <mergeCell ref="A5:B5"/>
    <mergeCell ref="A6:B6"/>
    <mergeCell ref="A7:B7"/>
    <mergeCell ref="A13:B13"/>
    <mergeCell ref="A14:B14"/>
    <mergeCell ref="A15:B15"/>
    <mergeCell ref="A8:B8"/>
    <mergeCell ref="A16:B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7"/>
  <sheetViews>
    <sheetView showGridLines="0" zoomScaleNormal="100" workbookViewId="0">
      <selection activeCell="D7" sqref="D7:G11"/>
    </sheetView>
  </sheetViews>
  <sheetFormatPr baseColWidth="10" defaultColWidth="11" defaultRowHeight="12"/>
  <cols>
    <col min="1" max="1" width="20.375" style="17" customWidth="1"/>
    <col min="2" max="2" width="2.75" style="17" customWidth="1"/>
    <col min="3" max="3" width="40.875" style="17" customWidth="1"/>
    <col min="4" max="4" width="12" style="17" customWidth="1"/>
    <col min="5" max="5" width="10.625" style="17" customWidth="1"/>
    <col min="6" max="6" width="9.875" style="17" customWidth="1"/>
    <col min="7" max="9" width="11" style="17"/>
    <col min="10" max="10" width="9.875" style="17" bestFit="1" customWidth="1"/>
    <col min="11" max="11" width="19.75" style="17" bestFit="1" customWidth="1"/>
    <col min="12" max="16384" width="11" style="17"/>
  </cols>
  <sheetData>
    <row r="1" spans="1:9" ht="21">
      <c r="A1" s="549" t="s">
        <v>568</v>
      </c>
      <c r="B1" s="26"/>
      <c r="C1" s="26"/>
      <c r="D1" s="101"/>
      <c r="E1" s="101"/>
    </row>
    <row r="2" spans="1:9">
      <c r="C2" s="26"/>
      <c r="D2" s="30"/>
      <c r="E2" s="26"/>
    </row>
    <row r="3" spans="1:9">
      <c r="A3" s="53"/>
      <c r="B3" s="53"/>
      <c r="C3" s="53"/>
      <c r="D3" s="102"/>
      <c r="E3" s="30" t="s">
        <v>99</v>
      </c>
      <c r="F3" s="53"/>
      <c r="G3" s="53"/>
    </row>
    <row r="4" spans="1:9">
      <c r="A4" s="860" t="s">
        <v>75</v>
      </c>
      <c r="B4" s="860"/>
      <c r="C4" s="103" t="s">
        <v>78</v>
      </c>
      <c r="D4" s="104" t="s">
        <v>76</v>
      </c>
      <c r="E4" s="104" t="s">
        <v>93</v>
      </c>
      <c r="F4" s="425">
        <v>2020</v>
      </c>
      <c r="G4" s="105">
        <v>2019</v>
      </c>
    </row>
    <row r="5" spans="1:9">
      <c r="A5" s="35"/>
      <c r="B5" s="106"/>
      <c r="C5" s="34"/>
      <c r="D5" s="30"/>
      <c r="E5" s="30"/>
      <c r="F5" s="35"/>
      <c r="G5" s="36"/>
    </row>
    <row r="6" spans="1:9">
      <c r="A6" s="861" t="s">
        <v>94</v>
      </c>
      <c r="B6" s="861"/>
      <c r="C6" s="4"/>
      <c r="D6" s="107"/>
      <c r="E6" s="107"/>
      <c r="F6" s="426"/>
      <c r="G6" s="108"/>
    </row>
    <row r="7" spans="1:9" s="244" customFormat="1">
      <c r="A7" s="109" t="s">
        <v>710</v>
      </c>
      <c r="B7" s="110"/>
      <c r="C7" s="4" t="s">
        <v>689</v>
      </c>
      <c r="D7" s="107">
        <v>2029</v>
      </c>
      <c r="E7" s="107">
        <v>2024</v>
      </c>
      <c r="F7" s="446">
        <v>702</v>
      </c>
      <c r="G7" s="439">
        <v>703</v>
      </c>
    </row>
    <row r="8" spans="1:9" s="244" customFormat="1" ht="12.75">
      <c r="A8" s="109" t="s">
        <v>688</v>
      </c>
      <c r="B8" s="110"/>
      <c r="C8" s="4" t="s">
        <v>690</v>
      </c>
      <c r="D8" s="107">
        <v>2028</v>
      </c>
      <c r="E8" s="420">
        <v>0</v>
      </c>
      <c r="F8" s="446">
        <v>627</v>
      </c>
      <c r="G8" s="439">
        <v>629</v>
      </c>
    </row>
    <row r="9" spans="1:9" s="244" customFormat="1">
      <c r="A9" s="109" t="s">
        <v>687</v>
      </c>
      <c r="B9" s="110"/>
      <c r="C9" s="4" t="s">
        <v>689</v>
      </c>
      <c r="D9" s="107">
        <v>2028</v>
      </c>
      <c r="E9" s="107">
        <v>2023</v>
      </c>
      <c r="F9" s="446">
        <v>300</v>
      </c>
      <c r="G9" s="439">
        <v>300</v>
      </c>
    </row>
    <row r="10" spans="1:9" ht="12.75">
      <c r="A10" s="109" t="s">
        <v>563</v>
      </c>
      <c r="B10" s="110"/>
      <c r="C10" s="4" t="s">
        <v>691</v>
      </c>
      <c r="D10" s="107">
        <v>2030</v>
      </c>
      <c r="E10" s="420">
        <v>0</v>
      </c>
      <c r="F10" s="446">
        <v>525</v>
      </c>
      <c r="G10" s="439">
        <v>493</v>
      </c>
    </row>
    <row r="11" spans="1:9">
      <c r="A11" s="111" t="s">
        <v>16</v>
      </c>
      <c r="B11" s="112"/>
      <c r="C11" s="113"/>
      <c r="D11" s="114"/>
      <c r="E11" s="114"/>
      <c r="F11" s="445">
        <f>SUM(F7:F10)</f>
        <v>2154</v>
      </c>
      <c r="G11" s="440">
        <f>SUM(G7:G10)</f>
        <v>2125</v>
      </c>
    </row>
    <row r="12" spans="1:9">
      <c r="A12" s="109"/>
      <c r="B12" s="110"/>
      <c r="C12" s="4"/>
      <c r="D12" s="115"/>
      <c r="E12" s="115"/>
      <c r="F12" s="447"/>
      <c r="G12" s="441"/>
    </row>
    <row r="14" spans="1:9">
      <c r="A14" s="116" t="s">
        <v>849</v>
      </c>
      <c r="B14" s="53"/>
      <c r="C14" s="116"/>
      <c r="D14" s="116"/>
      <c r="E14" s="116"/>
      <c r="F14" s="116"/>
      <c r="G14" s="116"/>
      <c r="H14" s="53"/>
      <c r="I14" s="53"/>
    </row>
    <row r="15" spans="1:9">
      <c r="A15" s="444" t="s">
        <v>850</v>
      </c>
      <c r="B15" s="53"/>
      <c r="C15" s="444"/>
      <c r="D15" s="444"/>
      <c r="E15" s="444"/>
      <c r="F15" s="444"/>
      <c r="G15" s="444"/>
      <c r="H15" s="53"/>
      <c r="I15" s="53"/>
    </row>
    <row r="16" spans="1:9">
      <c r="A16" s="116" t="s">
        <v>851</v>
      </c>
      <c r="B16" s="53"/>
      <c r="C16" s="116"/>
      <c r="D16" s="116"/>
      <c r="E16" s="116"/>
      <c r="F16" s="116"/>
      <c r="G16" s="116"/>
      <c r="H16" s="53"/>
      <c r="I16" s="53"/>
    </row>
    <row r="17" spans="1:12">
      <c r="A17" s="863"/>
      <c r="B17" s="863"/>
      <c r="C17" s="863"/>
      <c r="D17" s="863"/>
      <c r="E17" s="863"/>
      <c r="F17" s="863"/>
      <c r="G17" s="53"/>
      <c r="H17" s="53"/>
      <c r="I17" s="53"/>
      <c r="J17" s="53"/>
      <c r="K17" s="53"/>
      <c r="L17" s="53"/>
    </row>
    <row r="18" spans="1:12">
      <c r="A18" s="863"/>
      <c r="B18" s="863"/>
      <c r="C18" s="863"/>
      <c r="D18" s="863"/>
      <c r="E18" s="863"/>
      <c r="F18" s="863"/>
      <c r="G18" s="53"/>
      <c r="H18" s="53"/>
      <c r="I18" s="53"/>
      <c r="J18" s="53"/>
      <c r="K18" s="53"/>
      <c r="L18" s="53"/>
    </row>
    <row r="19" spans="1:12">
      <c r="A19" s="116"/>
      <c r="B19" s="116"/>
      <c r="C19" s="116"/>
      <c r="D19" s="116"/>
      <c r="E19" s="116"/>
      <c r="F19" s="116"/>
      <c r="G19" s="53"/>
      <c r="H19" s="53"/>
      <c r="I19" s="53"/>
      <c r="J19" s="53"/>
      <c r="K19" s="53"/>
      <c r="L19" s="53"/>
    </row>
    <row r="20" spans="1:12">
      <c r="A20" s="863"/>
      <c r="B20" s="863"/>
      <c r="C20" s="863"/>
      <c r="D20" s="863"/>
      <c r="E20" s="863"/>
      <c r="F20" s="863"/>
      <c r="G20" s="53"/>
      <c r="H20" s="53"/>
      <c r="I20" s="53"/>
      <c r="J20" s="53"/>
      <c r="K20" s="53"/>
      <c r="L20" s="53"/>
    </row>
    <row r="26" spans="1:12" ht="12.75">
      <c r="A26" s="117"/>
      <c r="B26" s="117"/>
      <c r="C26" s="117"/>
      <c r="D26" s="117"/>
      <c r="E26" s="117"/>
      <c r="F26" s="117"/>
      <c r="G26" s="117"/>
    </row>
    <row r="27" spans="1:12">
      <c r="A27" s="118"/>
      <c r="B27" s="119"/>
      <c r="C27" s="119"/>
      <c r="D27" s="119"/>
      <c r="E27" s="119"/>
      <c r="F27" s="862"/>
      <c r="G27" s="862"/>
    </row>
    <row r="53" spans="10:12" ht="12.75">
      <c r="J53" s="53"/>
      <c r="K53" s="117"/>
      <c r="L53" s="117"/>
    </row>
    <row r="54" spans="10:12" ht="12.75">
      <c r="J54" s="53"/>
      <c r="K54" s="117"/>
      <c r="L54" s="117"/>
    </row>
    <row r="55" spans="10:12" ht="12.75">
      <c r="J55" s="53"/>
      <c r="K55" s="117"/>
      <c r="L55" s="117"/>
    </row>
    <row r="56" spans="10:12" ht="12.75">
      <c r="J56" s="53"/>
      <c r="K56" s="117"/>
      <c r="L56" s="117"/>
    </row>
    <row r="57" spans="10:12" ht="12.75">
      <c r="J57" s="53"/>
      <c r="K57" s="117"/>
      <c r="L57" s="117"/>
    </row>
  </sheetData>
  <mergeCells count="6">
    <mergeCell ref="A4:B4"/>
    <mergeCell ref="A6:B6"/>
    <mergeCell ref="F27:G27"/>
    <mergeCell ref="A17:F17"/>
    <mergeCell ref="A18:F18"/>
    <mergeCell ref="A20:F20"/>
  </mergeCell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pageSetUpPr fitToPage="1"/>
  </sheetPr>
  <dimension ref="A1:N27"/>
  <sheetViews>
    <sheetView zoomScaleNormal="100" workbookViewId="0">
      <selection activeCell="H19" sqref="H19"/>
    </sheetView>
  </sheetViews>
  <sheetFormatPr baseColWidth="10" defaultColWidth="11" defaultRowHeight="12"/>
  <cols>
    <col min="1" max="1" width="22.75" style="225" customWidth="1"/>
    <col min="2" max="2" width="14.25" style="225" customWidth="1"/>
    <col min="3" max="3" width="12.875" style="225" customWidth="1"/>
    <col min="4" max="4" width="11.5" style="225" customWidth="1"/>
    <col min="5" max="5" width="10.375" style="225" customWidth="1"/>
    <col min="6" max="6" width="10.375" style="17" customWidth="1"/>
    <col min="7" max="16384" width="11" style="17"/>
  </cols>
  <sheetData>
    <row r="1" spans="1:11" ht="21">
      <c r="A1" s="549" t="s">
        <v>782</v>
      </c>
      <c r="B1" s="70"/>
    </row>
    <row r="2" spans="1:11">
      <c r="A2" s="66" t="s">
        <v>110</v>
      </c>
      <c r="B2" s="70"/>
      <c r="H2" s="192"/>
      <c r="I2" s="192"/>
      <c r="J2" s="192"/>
      <c r="K2" s="192"/>
    </row>
    <row r="3" spans="1:11">
      <c r="A3" s="74"/>
      <c r="B3" s="70"/>
      <c r="H3" s="192"/>
      <c r="I3" s="192"/>
      <c r="J3" s="192"/>
      <c r="K3" s="192"/>
    </row>
    <row r="4" spans="1:11" s="244" customFormat="1" ht="12.75" thickBot="1">
      <c r="A4" s="362">
        <v>2020</v>
      </c>
      <c r="B4" s="241" t="s">
        <v>122</v>
      </c>
      <c r="C4" s="120" t="s">
        <v>26</v>
      </c>
      <c r="D4" s="120" t="s">
        <v>27</v>
      </c>
      <c r="E4" s="120" t="s">
        <v>69</v>
      </c>
    </row>
    <row r="5" spans="1:11" s="244" customFormat="1">
      <c r="A5" s="70" t="s">
        <v>24</v>
      </c>
      <c r="B5" s="81">
        <v>133239</v>
      </c>
      <c r="C5" s="81">
        <v>15174</v>
      </c>
      <c r="D5" s="81">
        <v>5359</v>
      </c>
      <c r="E5" s="81">
        <f>SUM(B5:D5)</f>
        <v>153772</v>
      </c>
    </row>
    <row r="6" spans="1:11" s="244" customFormat="1">
      <c r="A6" s="70" t="s">
        <v>814</v>
      </c>
      <c r="B6" s="81">
        <v>21079</v>
      </c>
      <c r="C6" s="81">
        <v>2401</v>
      </c>
      <c r="D6" s="81">
        <v>848</v>
      </c>
      <c r="E6" s="81">
        <f t="shared" ref="E6:E9" si="0">SUM(B6:D6)</f>
        <v>24328</v>
      </c>
    </row>
    <row r="7" spans="1:11" s="244" customFormat="1">
      <c r="A7" s="14" t="s">
        <v>815</v>
      </c>
      <c r="B7" s="81">
        <v>34776</v>
      </c>
      <c r="C7" s="81">
        <v>3961</v>
      </c>
      <c r="D7" s="81">
        <v>1398</v>
      </c>
      <c r="E7" s="81">
        <f t="shared" si="0"/>
        <v>40135</v>
      </c>
    </row>
    <row r="8" spans="1:11" s="244" customFormat="1">
      <c r="A8" s="14" t="s">
        <v>816</v>
      </c>
      <c r="B8" s="81">
        <v>21985</v>
      </c>
      <c r="C8" s="81">
        <v>2504</v>
      </c>
      <c r="D8" s="81">
        <v>884</v>
      </c>
      <c r="E8" s="81">
        <f t="shared" si="0"/>
        <v>25373</v>
      </c>
    </row>
    <row r="9" spans="1:11" s="244" customFormat="1">
      <c r="A9" s="14" t="s">
        <v>25</v>
      </c>
      <c r="B9" s="81">
        <v>8102</v>
      </c>
      <c r="C9" s="81">
        <v>922</v>
      </c>
      <c r="D9" s="81">
        <v>325</v>
      </c>
      <c r="E9" s="81">
        <f t="shared" si="0"/>
        <v>9349</v>
      </c>
    </row>
    <row r="10" spans="1:11" s="244" customFormat="1">
      <c r="A10" s="82" t="s">
        <v>28</v>
      </c>
      <c r="B10" s="122">
        <f>SUM(B5:B9)</f>
        <v>219181</v>
      </c>
      <c r="C10" s="122">
        <f t="shared" ref="C10:D10" si="1">SUM(C5:C9)</f>
        <v>24962</v>
      </c>
      <c r="D10" s="122">
        <f t="shared" si="1"/>
        <v>8814</v>
      </c>
      <c r="E10" s="122">
        <f>SUM(E5:E9)</f>
        <v>252957</v>
      </c>
    </row>
    <row r="11" spans="1:11" s="244" customFormat="1">
      <c r="A11" s="74"/>
      <c r="B11" s="70"/>
    </row>
    <row r="12" spans="1:11" s="244" customFormat="1">
      <c r="A12" s="74"/>
      <c r="B12" s="70"/>
    </row>
    <row r="13" spans="1:11" ht="12.75" thickBot="1">
      <c r="A13" s="677">
        <v>2019</v>
      </c>
      <c r="B13" s="241" t="s">
        <v>122</v>
      </c>
      <c r="C13" s="120" t="s">
        <v>26</v>
      </c>
      <c r="D13" s="120" t="s">
        <v>27</v>
      </c>
      <c r="E13" s="120" t="s">
        <v>69</v>
      </c>
      <c r="F13" s="59"/>
      <c r="H13" s="192"/>
      <c r="I13" s="192"/>
      <c r="J13" s="192"/>
      <c r="K13" s="192"/>
    </row>
    <row r="14" spans="1:11">
      <c r="A14" s="70" t="s">
        <v>24</v>
      </c>
      <c r="B14" s="81">
        <v>129686</v>
      </c>
      <c r="C14" s="81">
        <v>13977</v>
      </c>
      <c r="D14" s="81">
        <v>6136</v>
      </c>
      <c r="E14" s="81">
        <f>SUM(B14:D14)</f>
        <v>149799</v>
      </c>
      <c r="F14" s="121"/>
    </row>
    <row r="15" spans="1:11">
      <c r="A15" s="70" t="s">
        <v>814</v>
      </c>
      <c r="B15" s="81">
        <v>19271</v>
      </c>
      <c r="C15" s="81">
        <v>2077</v>
      </c>
      <c r="D15" s="81">
        <v>912</v>
      </c>
      <c r="E15" s="81">
        <f>SUM(B15:D15)</f>
        <v>22260</v>
      </c>
      <c r="F15" s="121"/>
    </row>
    <row r="16" spans="1:11">
      <c r="A16" s="14" t="s">
        <v>815</v>
      </c>
      <c r="B16" s="81">
        <v>31567</v>
      </c>
      <c r="C16" s="81">
        <v>3402</v>
      </c>
      <c r="D16" s="81">
        <v>1494</v>
      </c>
      <c r="E16" s="81">
        <f>SUM(B16:D16)</f>
        <v>36463</v>
      </c>
      <c r="F16" s="121"/>
    </row>
    <row r="17" spans="1:14">
      <c r="A17" s="14" t="s">
        <v>816</v>
      </c>
      <c r="B17" s="81">
        <v>18043</v>
      </c>
      <c r="C17" s="81">
        <v>1945</v>
      </c>
      <c r="D17" s="81">
        <v>854</v>
      </c>
      <c r="E17" s="81">
        <f>SUM(B17:D17)</f>
        <v>20842</v>
      </c>
      <c r="F17" s="121"/>
    </row>
    <row r="18" spans="1:14">
      <c r="A18" s="244" t="s">
        <v>25</v>
      </c>
      <c r="B18" s="681">
        <v>8547</v>
      </c>
      <c r="C18" s="681">
        <v>921</v>
      </c>
      <c r="D18" s="681">
        <v>404</v>
      </c>
      <c r="E18" s="681">
        <f>SUM(B18:D18)</f>
        <v>9872</v>
      </c>
      <c r="F18" s="121"/>
      <c r="I18" s="21"/>
    </row>
    <row r="19" spans="1:14">
      <c r="A19" s="82" t="s">
        <v>28</v>
      </c>
      <c r="B19" s="122">
        <f>SUM(B14:B18)</f>
        <v>207114</v>
      </c>
      <c r="C19" s="122">
        <f>SUM(C14:C18)</f>
        <v>22322</v>
      </c>
      <c r="D19" s="122">
        <f>SUM(D14:D18)</f>
        <v>9800</v>
      </c>
      <c r="E19" s="122">
        <f>SUM(E14:E18)</f>
        <v>239236</v>
      </c>
      <c r="F19" s="14"/>
      <c r="I19" s="21"/>
    </row>
    <row r="20" spans="1:14">
      <c r="A20" s="244"/>
      <c r="B20" s="244"/>
      <c r="C20" s="244"/>
      <c r="D20" s="244"/>
      <c r="E20" s="244"/>
      <c r="F20" s="59"/>
    </row>
    <row r="22" spans="1:14">
      <c r="J22" s="123"/>
      <c r="K22" s="124"/>
      <c r="L22" s="192"/>
      <c r="M22" s="192"/>
      <c r="N22" s="192"/>
    </row>
    <row r="23" spans="1:14">
      <c r="K23" s="124"/>
      <c r="L23" s="192"/>
      <c r="M23" s="192"/>
      <c r="N23" s="192"/>
    </row>
    <row r="24" spans="1:14">
      <c r="L24" s="192"/>
      <c r="M24" s="192"/>
      <c r="N24" s="192"/>
    </row>
    <row r="25" spans="1:14">
      <c r="L25" s="124"/>
      <c r="M25" s="192"/>
      <c r="N25" s="124"/>
    </row>
    <row r="26" spans="1:14">
      <c r="L26" s="192"/>
      <c r="M26" s="192"/>
      <c r="N26" s="192"/>
    </row>
    <row r="27" spans="1:14">
      <c r="L27" s="192"/>
      <c r="M27" s="192"/>
      <c r="N27" s="19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d310ad-ff41-4ac4-b61e-e7dd1401a4ef">
      <UserInfo>
        <DisplayName>Linda Hapnes</DisplayName>
        <AccountId>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332A98868D64AB87E6EBE8F574B19" ma:contentTypeVersion="6" ma:contentTypeDescription="Create a new document." ma:contentTypeScope="" ma:versionID="26a31044d3ddd2cb8f1c3bcf62a75c8a">
  <xsd:schema xmlns:xsd="http://www.w3.org/2001/XMLSchema" xmlns:xs="http://www.w3.org/2001/XMLSchema" xmlns:p="http://schemas.microsoft.com/office/2006/metadata/properties" xmlns:ns2="7cc122f8-3763-40cc-a9c8-dc765f10630d" xmlns:ns3="a3d310ad-ff41-4ac4-b61e-e7dd1401a4ef" targetNamespace="http://schemas.microsoft.com/office/2006/metadata/properties" ma:root="true" ma:fieldsID="82e87f98960b29c8e9b9fd051ea0bddf" ns2:_="" ns3:_="">
    <xsd:import namespace="7cc122f8-3763-40cc-a9c8-dc765f10630d"/>
    <xsd:import namespace="a3d310ad-ff41-4ac4-b61e-e7dd1401a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122f8-3763-40cc-a9c8-dc765f106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310ad-ff41-4ac4-b61e-e7dd1401a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F6527-8AAB-4CED-81E0-CD90D5EAB252}">
  <ds:schemaRefs>
    <ds:schemaRef ds:uri="http://schemas.microsoft.com/office/2006/documentManagement/types"/>
    <ds:schemaRef ds:uri="http://purl.org/dc/elements/1.1/"/>
    <ds:schemaRef ds:uri="http://www.w3.org/XML/1998/namespace"/>
    <ds:schemaRef ds:uri="a3d310ad-ff41-4ac4-b61e-e7dd1401a4e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cc122f8-3763-40cc-a9c8-dc765f10630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E95080E-4002-4687-886B-A4E992FBC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122f8-3763-40cc-a9c8-dc765f10630d"/>
    <ds:schemaRef ds:uri="a3d310ad-ff41-4ac4-b61e-e7dd1401a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99AD5-F215-4FA7-B7FC-D349EFB71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Navngitte områder</vt:lpstr>
      </vt:variant>
      <vt:variant>
        <vt:i4>26</vt:i4>
      </vt:variant>
    </vt:vector>
  </HeadingPairs>
  <TitlesOfParts>
    <vt:vector size="60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'17'!Utskriftsområde</vt:lpstr>
      <vt:lpstr>'18'!Utskriftsområde</vt:lpstr>
      <vt:lpstr>'19'!Utskriftsområde</vt:lpstr>
      <vt:lpstr>'2'!Utskriftsområde</vt:lpstr>
      <vt:lpstr>'21'!Utskriftsområde</vt:lpstr>
      <vt:lpstr>'22'!Utskriftsområde</vt:lpstr>
      <vt:lpstr>'23'!Utskriftsområde</vt:lpstr>
      <vt:lpstr>'24'!Utskriftsområde</vt:lpstr>
      <vt:lpstr>'25'!Utskriftsområde</vt:lpstr>
      <vt:lpstr>'26'!Utskriftsområde</vt:lpstr>
      <vt:lpstr>'27'!Utskriftsområde</vt:lpstr>
      <vt:lpstr>'28'!Utskriftsområde</vt:lpstr>
      <vt:lpstr>'3'!Utskriftsområde</vt:lpstr>
      <vt:lpstr>'4'!Utskriftsområde</vt:lpstr>
      <vt:lpstr>'5'!Utskriftsområde</vt:lpstr>
      <vt:lpstr>'7'!Utskriftsområde</vt:lpstr>
      <vt:lpstr>'8'!Utskriftsområde</vt:lpstr>
      <vt:lpstr>'9'!Utskriftsområde</vt:lpstr>
    </vt:vector>
  </TitlesOfParts>
  <Company>SR-Bank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hjustnes</dc:creator>
  <cp:lastModifiedBy>Hanne Kathrin Westgård Østråt</cp:lastModifiedBy>
  <cp:lastPrinted>2020-02-18T14:26:40Z</cp:lastPrinted>
  <dcterms:created xsi:type="dcterms:W3CDTF">2008-04-01T14:46:24Z</dcterms:created>
  <dcterms:modified xsi:type="dcterms:W3CDTF">2021-10-27T14:23:34Z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0x0101001CF332A98868D64AB87E6EBE8F574B19</vt:lpwstr>
  </property>
  <property fmtid="{D5CDD505-2E9C-101B-9397-08002B2CF9AE}" pid="3" name="SharedWithUsers">
    <vt:lpwstr>6;#Linda Hapnes</vt:lpwstr>
  </property>
  <property fmtid="{D5CDD505-2E9C-101B-9397-08002B2CF9AE}" pid="4" name="MSIP_Label_6b5809a7-3794-4347-8703-acc6c58e2a7b_Enabled">
    <vt:lpwstr>true</vt:lpwstr>
  </property>
  <property fmtid="{D5CDD505-2E9C-101B-9397-08002B2CF9AE}" pid="5" name="MSIP_Label_6b5809a7-3794-4347-8703-acc6c58e2a7b_SetDate">
    <vt:lpwstr>2021-10-27T14:23:33Z</vt:lpwstr>
  </property>
  <property fmtid="{D5CDD505-2E9C-101B-9397-08002B2CF9AE}" pid="6" name="MSIP_Label_6b5809a7-3794-4347-8703-acc6c58e2a7b_Method">
    <vt:lpwstr>Privileged</vt:lpwstr>
  </property>
  <property fmtid="{D5CDD505-2E9C-101B-9397-08002B2CF9AE}" pid="7" name="MSIP_Label_6b5809a7-3794-4347-8703-acc6c58e2a7b_Name">
    <vt:lpwstr>6b5809a7-3794-4347-8703-acc6c58e2a7b</vt:lpwstr>
  </property>
  <property fmtid="{D5CDD505-2E9C-101B-9397-08002B2CF9AE}" pid="8" name="MSIP_Label_6b5809a7-3794-4347-8703-acc6c58e2a7b_SiteId">
    <vt:lpwstr>aa041025-ad66-491f-b117-929458960abd</vt:lpwstr>
  </property>
  <property fmtid="{D5CDD505-2E9C-101B-9397-08002B2CF9AE}" pid="9" name="MSIP_Label_6b5809a7-3794-4347-8703-acc6c58e2a7b_ActionId">
    <vt:lpwstr>72a4d0b5-c8b8-46ef-b985-2e155b7d8b8e</vt:lpwstr>
  </property>
  <property fmtid="{D5CDD505-2E9C-101B-9397-08002B2CF9AE}" pid="10" name="MSIP_Label_6b5809a7-3794-4347-8703-acc6c58e2a7b_ContentBits">
    <vt:lpwstr>3</vt:lpwstr>
  </property>
</Properties>
</file>