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srbank.sharepoint.com/sites/Offentligkvartalsrapportering/APM2/2022/Q1 2022 APM/"/>
    </mc:Choice>
  </mc:AlternateContent>
  <xr:revisionPtr revIDLastSave="745" documentId="8_{EF0CCF0A-EFFA-45A1-97CE-DFB5E5AAA226}" xr6:coauthVersionLast="47" xr6:coauthVersionMax="47" xr10:uidLastSave="{19A35EE4-1858-40E4-90CD-E91E1F79EBD9}"/>
  <bookViews>
    <workbookView xWindow="28680" yWindow="-120" windowWidth="51840" windowHeight="21240" activeTab="3" xr2:uid="{00000000-000D-0000-FFFF-FFFF00000000}"/>
  </bookViews>
  <sheets>
    <sheet name="APM definisjoner" sheetId="3" r:id="rId1"/>
    <sheet name="APM utregning" sheetId="4" r:id="rId2"/>
    <sheet name="APM definitions" sheetId="1" r:id="rId3"/>
    <sheet name="APM calculations" sheetId="2" r:id="rId4"/>
  </sheets>
  <definedNames>
    <definedName name="_AMO_UniqueIdentifier" hidden="1">"'ea146410-0ba0-4315-a76f-efd61b1e6fa7'"</definedName>
    <definedName name="_xlnm.Print_Area" localSheetId="3">'APM calculations'!$A$1:$AQ$142</definedName>
    <definedName name="_xlnm.Print_Area" localSheetId="0">'APM definisjoner'!$A$1:$B$27</definedName>
    <definedName name="_xlnm.Print_Area" localSheetId="2">'APM definitions'!$A$1:$B$27</definedName>
    <definedName name="_xlnm.Print_Area" localSheetId="1">'APM utregning'!$A$1:$AQ$142</definedName>
    <definedName name="_xlnm.Print_Titles" localSheetId="3">'APM calculations'!$A:$A,'APM calculations'!$1:$1</definedName>
    <definedName name="_xlnm.Print_Titles" localSheetId="0">'APM definisjoner'!$4:$4</definedName>
    <definedName name="_xlnm.Print_Titles" localSheetId="2">'APM definitions'!$4:$4</definedName>
    <definedName name="_xlnm.Print_Titles" localSheetId="1">'APM utregning'!$A:$A,'APM utregning'!$1:$1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7" i="4" l="1"/>
  <c r="J132" i="4"/>
  <c r="C11" i="2"/>
  <c r="C11" i="4"/>
  <c r="D98" i="4" l="1"/>
  <c r="B24" i="4" l="1"/>
  <c r="K11" i="4"/>
  <c r="B11" i="4"/>
  <c r="C14" i="4"/>
  <c r="B14" i="4"/>
  <c r="B71" i="4" l="1"/>
  <c r="B7" i="4" l="1"/>
  <c r="B140" i="4"/>
  <c r="B132" i="4"/>
  <c r="B124" i="4"/>
  <c r="B120" i="4"/>
  <c r="B114" i="4"/>
  <c r="B110" i="4"/>
  <c r="B100" i="4"/>
  <c r="C100" i="4" s="1"/>
  <c r="C98" i="4"/>
  <c r="B97" i="4"/>
  <c r="B98" i="4" s="1"/>
  <c r="B101" i="4" s="1"/>
  <c r="B92" i="4"/>
  <c r="B89" i="4"/>
  <c r="B88" i="4"/>
  <c r="B90" i="4" s="1"/>
  <c r="B83" i="4"/>
  <c r="B84" i="4" s="1"/>
  <c r="B86" i="4" s="1"/>
  <c r="B74" i="4"/>
  <c r="B77" i="4"/>
  <c r="B70" i="4"/>
  <c r="B69" i="4"/>
  <c r="B67" i="4"/>
  <c r="B112" i="4" s="1"/>
  <c r="B61" i="4"/>
  <c r="C60" i="4"/>
  <c r="C62" i="4" s="1"/>
  <c r="B60" i="4"/>
  <c r="B62" i="4" s="1"/>
  <c r="B59" i="4"/>
  <c r="B58" i="4"/>
  <c r="B55" i="4"/>
  <c r="C54" i="4"/>
  <c r="C56" i="4" s="1"/>
  <c r="B53" i="4"/>
  <c r="B52" i="4"/>
  <c r="C50" i="4"/>
  <c r="B49" i="4"/>
  <c r="C48" i="4"/>
  <c r="B47" i="4"/>
  <c r="B46" i="4"/>
  <c r="B43" i="4"/>
  <c r="C42" i="4"/>
  <c r="C44" i="4" s="1"/>
  <c r="B41" i="4"/>
  <c r="B40" i="4"/>
  <c r="B42" i="4" s="1"/>
  <c r="B44" i="4" s="1"/>
  <c r="B37" i="4"/>
  <c r="C38" i="4"/>
  <c r="B35" i="4"/>
  <c r="B34" i="4"/>
  <c r="B31" i="4"/>
  <c r="C30" i="4"/>
  <c r="C32" i="4" s="1"/>
  <c r="B29" i="4"/>
  <c r="B28" i="4"/>
  <c r="B30" i="4" s="1"/>
  <c r="B32" i="4" s="1"/>
  <c r="C26" i="4"/>
  <c r="B23" i="4"/>
  <c r="B21" i="4"/>
  <c r="B26" i="4" s="1"/>
  <c r="C19" i="4"/>
  <c r="B18" i="4"/>
  <c r="B17" i="4"/>
  <c r="C9" i="4"/>
  <c r="B8" i="4"/>
  <c r="C5" i="4"/>
  <c r="C13" i="4" s="1"/>
  <c r="B4" i="4"/>
  <c r="B3" i="4"/>
  <c r="B5" i="4" s="1"/>
  <c r="B13" i="4" s="1"/>
  <c r="B100" i="2"/>
  <c r="C100" i="2" s="1"/>
  <c r="C98" i="2"/>
  <c r="B97" i="2"/>
  <c r="B98" i="2" s="1"/>
  <c r="B83" i="2"/>
  <c r="J70" i="2"/>
  <c r="B70" i="2"/>
  <c r="B140" i="2"/>
  <c r="B130" i="2"/>
  <c r="B124" i="2"/>
  <c r="B120" i="2"/>
  <c r="B114" i="2"/>
  <c r="B110" i="2"/>
  <c r="B92" i="2"/>
  <c r="B89" i="2"/>
  <c r="B88" i="2"/>
  <c r="B90" i="2" s="1"/>
  <c r="B84" i="2"/>
  <c r="B86" i="2" s="1"/>
  <c r="B74" i="2"/>
  <c r="B73" i="2"/>
  <c r="B75" i="2" s="1"/>
  <c r="B79" i="2" s="1"/>
  <c r="B69" i="2"/>
  <c r="B71" i="2" s="1"/>
  <c r="B77" i="2" s="1"/>
  <c r="B67" i="2"/>
  <c r="B103" i="2" s="1"/>
  <c r="B61" i="2"/>
  <c r="C60" i="2"/>
  <c r="C62" i="2" s="1"/>
  <c r="B59" i="2"/>
  <c r="B58" i="2"/>
  <c r="B55" i="2"/>
  <c r="C54" i="2"/>
  <c r="C56" i="2" s="1"/>
  <c r="B53" i="2"/>
  <c r="B52" i="2"/>
  <c r="B49" i="2"/>
  <c r="C48" i="2"/>
  <c r="C50" i="2" s="1"/>
  <c r="B47" i="2"/>
  <c r="B46" i="2"/>
  <c r="B43" i="2"/>
  <c r="C42" i="2"/>
  <c r="C44" i="2" s="1"/>
  <c r="B41" i="2"/>
  <c r="B40" i="2"/>
  <c r="B37" i="2"/>
  <c r="C36" i="2"/>
  <c r="C38" i="2" s="1"/>
  <c r="B35" i="2"/>
  <c r="B34" i="2"/>
  <c r="B31" i="2"/>
  <c r="C30" i="2"/>
  <c r="C32" i="2" s="1"/>
  <c r="B29" i="2"/>
  <c r="B28" i="2"/>
  <c r="C26" i="2"/>
  <c r="B24" i="2"/>
  <c r="B23" i="2"/>
  <c r="B21" i="2"/>
  <c r="C19" i="2"/>
  <c r="B18" i="2"/>
  <c r="B17" i="2"/>
  <c r="C9" i="2"/>
  <c r="B8" i="2"/>
  <c r="B7" i="2"/>
  <c r="C5" i="2"/>
  <c r="B4" i="2"/>
  <c r="B3" i="2"/>
  <c r="D3" i="4"/>
  <c r="D140" i="2"/>
  <c r="E136" i="2"/>
  <c r="D130" i="2"/>
  <c r="D124" i="2"/>
  <c r="D120" i="2"/>
  <c r="D114" i="2"/>
  <c r="D110" i="2"/>
  <c r="E100" i="2"/>
  <c r="D100" i="2"/>
  <c r="E98" i="2"/>
  <c r="D97" i="2"/>
  <c r="D98" i="2" s="1"/>
  <c r="D92" i="2"/>
  <c r="D89" i="2"/>
  <c r="D88" i="2"/>
  <c r="D90" i="2" s="1"/>
  <c r="D83" i="2"/>
  <c r="D84" i="2" s="1"/>
  <c r="D86" i="2" s="1"/>
  <c r="D70" i="2"/>
  <c r="D71" i="2" s="1"/>
  <c r="D77" i="2" s="1"/>
  <c r="D69" i="2"/>
  <c r="D67" i="2"/>
  <c r="E60" i="2"/>
  <c r="E62" i="2" s="1"/>
  <c r="D59" i="2"/>
  <c r="D58" i="2"/>
  <c r="E54" i="2"/>
  <c r="E56" i="2" s="1"/>
  <c r="D53" i="2"/>
  <c r="D52" i="2"/>
  <c r="E48" i="2"/>
  <c r="E50" i="2" s="1"/>
  <c r="D47" i="2"/>
  <c r="D46" i="2"/>
  <c r="E42" i="2"/>
  <c r="E44" i="2" s="1"/>
  <c r="D41" i="2"/>
  <c r="D40" i="2"/>
  <c r="D42" i="2" s="1"/>
  <c r="D44" i="2" s="1"/>
  <c r="E36" i="2"/>
  <c r="E38" i="2" s="1"/>
  <c r="D35" i="2"/>
  <c r="D34" i="2"/>
  <c r="E30" i="2"/>
  <c r="E32" i="2" s="1"/>
  <c r="D29" i="2"/>
  <c r="D28" i="2"/>
  <c r="E26" i="2"/>
  <c r="D23" i="2"/>
  <c r="D21" i="2"/>
  <c r="D26" i="2" s="1"/>
  <c r="E19" i="2"/>
  <c r="D18" i="2"/>
  <c r="D17" i="2"/>
  <c r="E9" i="2"/>
  <c r="D8" i="2"/>
  <c r="D7" i="2"/>
  <c r="D9" i="2" s="1"/>
  <c r="E5" i="2"/>
  <c r="D3" i="2"/>
  <c r="C103" i="2" l="1"/>
  <c r="B60" i="2"/>
  <c r="B62" i="2" s="1"/>
  <c r="C101" i="4"/>
  <c r="B54" i="4"/>
  <c r="B56" i="4" s="1"/>
  <c r="B48" i="4"/>
  <c r="B50" i="4" s="1"/>
  <c r="B36" i="4"/>
  <c r="B38" i="4" s="1"/>
  <c r="B19" i="4"/>
  <c r="C15" i="4"/>
  <c r="B9" i="4"/>
  <c r="C134" i="4"/>
  <c r="B134" i="4"/>
  <c r="B141" i="4"/>
  <c r="B142" i="4" s="1"/>
  <c r="B103" i="4"/>
  <c r="C103" i="4" s="1"/>
  <c r="C104" i="4" s="1"/>
  <c r="B122" i="4"/>
  <c r="B116" i="4"/>
  <c r="B73" i="4"/>
  <c r="B75" i="4" s="1"/>
  <c r="B79" i="4" s="1"/>
  <c r="B93" i="4"/>
  <c r="B94" i="4" s="1"/>
  <c r="B126" i="4"/>
  <c r="C134" i="2"/>
  <c r="B122" i="2"/>
  <c r="B54" i="2"/>
  <c r="B56" i="2" s="1"/>
  <c r="B48" i="2"/>
  <c r="B50" i="2" s="1"/>
  <c r="B42" i="2"/>
  <c r="B44" i="2" s="1"/>
  <c r="B36" i="2"/>
  <c r="B38" i="2" s="1"/>
  <c r="B30" i="2"/>
  <c r="B32" i="2" s="1"/>
  <c r="B26" i="2"/>
  <c r="B19" i="2"/>
  <c r="B9" i="2"/>
  <c r="B5" i="2"/>
  <c r="B134" i="2" s="1"/>
  <c r="B137" i="2" s="1"/>
  <c r="C137" i="2" s="1"/>
  <c r="C138" i="2" s="1"/>
  <c r="B101" i="2"/>
  <c r="B104" i="2"/>
  <c r="C101" i="2"/>
  <c r="C104" i="2"/>
  <c r="B126" i="2"/>
  <c r="B112" i="2"/>
  <c r="C13" i="2"/>
  <c r="B93" i="2"/>
  <c r="B94" i="2" s="1"/>
  <c r="B116" i="2"/>
  <c r="E134" i="2"/>
  <c r="D60" i="2"/>
  <c r="D62" i="2" s="1"/>
  <c r="D30" i="2"/>
  <c r="D32" i="2" s="1"/>
  <c r="E101" i="2"/>
  <c r="D36" i="2"/>
  <c r="D38" i="2" s="1"/>
  <c r="D132" i="2"/>
  <c r="D141" i="2" s="1"/>
  <c r="D73" i="2"/>
  <c r="D122" i="2"/>
  <c r="D48" i="2"/>
  <c r="D50" i="2" s="1"/>
  <c r="D126" i="2"/>
  <c r="D112" i="2"/>
  <c r="D19" i="2"/>
  <c r="D54" i="2"/>
  <c r="D56" i="2" s="1"/>
  <c r="E137" i="2"/>
  <c r="E138" i="2" s="1"/>
  <c r="D142" i="2"/>
  <c r="D101" i="2"/>
  <c r="E13" i="2"/>
  <c r="D93" i="2"/>
  <c r="D94" i="2" s="1"/>
  <c r="D116" i="2"/>
  <c r="C137" i="4" l="1"/>
  <c r="C138" i="4" s="1"/>
  <c r="B132" i="2"/>
  <c r="B141" i="2" s="1"/>
  <c r="B142" i="2" s="1"/>
  <c r="B11" i="2"/>
  <c r="B13" i="2"/>
  <c r="B15" i="4"/>
  <c r="B104" i="4"/>
  <c r="B14" i="2"/>
  <c r="B15" i="2" s="1"/>
  <c r="C14" i="2"/>
  <c r="C15" i="2" s="1"/>
  <c r="B138" i="2"/>
  <c r="L120" i="4"/>
  <c r="H140" i="2"/>
  <c r="F140" i="2"/>
  <c r="J136" i="2"/>
  <c r="J140" i="2" s="1"/>
  <c r="H136" i="2"/>
  <c r="G136" i="2"/>
  <c r="J129" i="2"/>
  <c r="J130" i="2" s="1"/>
  <c r="H129" i="2"/>
  <c r="H130" i="2" s="1"/>
  <c r="F129" i="2"/>
  <c r="F130" i="2" s="1"/>
  <c r="J124" i="2"/>
  <c r="H124" i="2"/>
  <c r="F124" i="2"/>
  <c r="J120" i="2"/>
  <c r="H120" i="2"/>
  <c r="F120" i="2"/>
  <c r="J114" i="2"/>
  <c r="H114" i="2"/>
  <c r="F114" i="2"/>
  <c r="J110" i="2"/>
  <c r="H110" i="2"/>
  <c r="F110" i="2"/>
  <c r="J100" i="2"/>
  <c r="K100" i="2" s="1"/>
  <c r="I100" i="2"/>
  <c r="H100" i="2"/>
  <c r="G100" i="2"/>
  <c r="F100" i="2"/>
  <c r="K98" i="2"/>
  <c r="I98" i="2"/>
  <c r="G98" i="2"/>
  <c r="J97" i="2"/>
  <c r="J98" i="2" s="1"/>
  <c r="H97" i="2"/>
  <c r="H98" i="2" s="1"/>
  <c r="F97" i="2"/>
  <c r="F98" i="2" s="1"/>
  <c r="J92" i="2"/>
  <c r="H92" i="2"/>
  <c r="F92" i="2"/>
  <c r="J89" i="2"/>
  <c r="H89" i="2"/>
  <c r="F89" i="2"/>
  <c r="J88" i="2"/>
  <c r="J90" i="2" s="1"/>
  <c r="H88" i="2"/>
  <c r="H90" i="2" s="1"/>
  <c r="F88" i="2"/>
  <c r="J83" i="2"/>
  <c r="J84" i="2" s="1"/>
  <c r="J86" i="2" s="1"/>
  <c r="H83" i="2"/>
  <c r="H84" i="2" s="1"/>
  <c r="H86" i="2" s="1"/>
  <c r="F83" i="2"/>
  <c r="F84" i="2" s="1"/>
  <c r="F86" i="2" s="1"/>
  <c r="H70" i="2"/>
  <c r="F70" i="2"/>
  <c r="J69" i="2"/>
  <c r="J71" i="2" s="1"/>
  <c r="J77" i="2" s="1"/>
  <c r="H69" i="2"/>
  <c r="H71" i="2" s="1"/>
  <c r="H77" i="2" s="1"/>
  <c r="F69" i="2"/>
  <c r="J67" i="2"/>
  <c r="J126" i="2" s="1"/>
  <c r="H67" i="2"/>
  <c r="H126" i="2" s="1"/>
  <c r="F67" i="2"/>
  <c r="J61" i="2"/>
  <c r="K60" i="2"/>
  <c r="K62" i="2" s="1"/>
  <c r="I60" i="2"/>
  <c r="I62" i="2" s="1"/>
  <c r="G60" i="2"/>
  <c r="G62" i="2" s="1"/>
  <c r="J59" i="2"/>
  <c r="J60" i="2" s="1"/>
  <c r="J62" i="2" s="1"/>
  <c r="H59" i="2"/>
  <c r="F59" i="2"/>
  <c r="J58" i="2"/>
  <c r="H58" i="2"/>
  <c r="F58" i="2"/>
  <c r="I56" i="2"/>
  <c r="J55" i="2"/>
  <c r="K54" i="2"/>
  <c r="K56" i="2" s="1"/>
  <c r="I54" i="2"/>
  <c r="G54" i="2"/>
  <c r="G56" i="2" s="1"/>
  <c r="J53" i="2"/>
  <c r="H53" i="2"/>
  <c r="F53" i="2"/>
  <c r="J52" i="2"/>
  <c r="J54" i="2" s="1"/>
  <c r="J56" i="2" s="1"/>
  <c r="H52" i="2"/>
  <c r="H54" i="2" s="1"/>
  <c r="H56" i="2" s="1"/>
  <c r="F52" i="2"/>
  <c r="J49" i="2"/>
  <c r="K48" i="2"/>
  <c r="K50" i="2" s="1"/>
  <c r="I48" i="2"/>
  <c r="I50" i="2" s="1"/>
  <c r="G48" i="2"/>
  <c r="G50" i="2" s="1"/>
  <c r="J47" i="2"/>
  <c r="H47" i="2"/>
  <c r="F47" i="2"/>
  <c r="J46" i="2"/>
  <c r="H46" i="2"/>
  <c r="F46" i="2"/>
  <c r="J43" i="2"/>
  <c r="K42" i="2"/>
  <c r="K44" i="2" s="1"/>
  <c r="I42" i="2"/>
  <c r="I44" i="2" s="1"/>
  <c r="G42" i="2"/>
  <c r="G44" i="2" s="1"/>
  <c r="J41" i="2"/>
  <c r="H41" i="2"/>
  <c r="F41" i="2"/>
  <c r="J40" i="2"/>
  <c r="J42" i="2" s="1"/>
  <c r="J44" i="2" s="1"/>
  <c r="H40" i="2"/>
  <c r="F40" i="2"/>
  <c r="I38" i="2"/>
  <c r="J37" i="2"/>
  <c r="K36" i="2"/>
  <c r="K38" i="2" s="1"/>
  <c r="I36" i="2"/>
  <c r="G36" i="2"/>
  <c r="G38" i="2" s="1"/>
  <c r="J35" i="2"/>
  <c r="H35" i="2"/>
  <c r="F35" i="2"/>
  <c r="J34" i="2"/>
  <c r="J36" i="2" s="1"/>
  <c r="H34" i="2"/>
  <c r="H36" i="2" s="1"/>
  <c r="H38" i="2" s="1"/>
  <c r="F34" i="2"/>
  <c r="J31" i="2"/>
  <c r="K30" i="2"/>
  <c r="K32" i="2" s="1"/>
  <c r="I30" i="2"/>
  <c r="I32" i="2" s="1"/>
  <c r="G30" i="2"/>
  <c r="G32" i="2" s="1"/>
  <c r="J29" i="2"/>
  <c r="H29" i="2"/>
  <c r="F29" i="2"/>
  <c r="J28" i="2"/>
  <c r="H28" i="2"/>
  <c r="F28" i="2"/>
  <c r="K26" i="2"/>
  <c r="I26" i="2"/>
  <c r="H26" i="2"/>
  <c r="G26" i="2"/>
  <c r="J24" i="2"/>
  <c r="J23" i="2"/>
  <c r="H23" i="2"/>
  <c r="F23" i="2"/>
  <c r="J21" i="2"/>
  <c r="H21" i="2"/>
  <c r="F21" i="2"/>
  <c r="F26" i="2" s="1"/>
  <c r="K19" i="2"/>
  <c r="I19" i="2"/>
  <c r="G19" i="2"/>
  <c r="J18" i="2"/>
  <c r="H18" i="2"/>
  <c r="F18" i="2"/>
  <c r="J17" i="2"/>
  <c r="J19" i="2" s="1"/>
  <c r="H17" i="2"/>
  <c r="H19" i="2" s="1"/>
  <c r="F17" i="2"/>
  <c r="K9" i="2"/>
  <c r="I9" i="2"/>
  <c r="G9" i="2"/>
  <c r="E11" i="2" s="1"/>
  <c r="E14" i="2" s="1"/>
  <c r="E15" i="2" s="1"/>
  <c r="J8" i="2"/>
  <c r="H8" i="2"/>
  <c r="F8" i="2"/>
  <c r="J7" i="2"/>
  <c r="H7" i="2"/>
  <c r="H9" i="2" s="1"/>
  <c r="F7" i="2"/>
  <c r="K5" i="2"/>
  <c r="K13" i="2" s="1"/>
  <c r="H5" i="2"/>
  <c r="H134" i="2" s="1"/>
  <c r="H137" i="2" s="1"/>
  <c r="G5" i="2"/>
  <c r="G13" i="2" s="1"/>
  <c r="J4" i="2"/>
  <c r="I4" i="2"/>
  <c r="D4" i="2" s="1"/>
  <c r="D5" i="2" s="1"/>
  <c r="J3" i="2"/>
  <c r="J5" i="2" s="1"/>
  <c r="H3" i="2"/>
  <c r="F3" i="2"/>
  <c r="B138" i="4" l="1"/>
  <c r="F19" i="2"/>
  <c r="H42" i="2"/>
  <c r="H44" i="2" s="1"/>
  <c r="J26" i="2"/>
  <c r="I5" i="2"/>
  <c r="I13" i="2" s="1"/>
  <c r="F30" i="2"/>
  <c r="F32" i="2" s="1"/>
  <c r="I11" i="2"/>
  <c r="I14" i="2" s="1"/>
  <c r="I15" i="2" s="1"/>
  <c r="F36" i="2"/>
  <c r="F38" i="2" s="1"/>
  <c r="J48" i="2"/>
  <c r="J50" i="2" s="1"/>
  <c r="F54" i="2"/>
  <c r="F56" i="2" s="1"/>
  <c r="F104" i="2"/>
  <c r="J38" i="2"/>
  <c r="F9" i="2"/>
  <c r="J30" i="2"/>
  <c r="J32" i="2" s="1"/>
  <c r="H48" i="2"/>
  <c r="H50" i="2" s="1"/>
  <c r="F90" i="2"/>
  <c r="F60" i="2"/>
  <c r="F62" i="2" s="1"/>
  <c r="F126" i="2"/>
  <c r="E103" i="2"/>
  <c r="E104" i="2" s="1"/>
  <c r="F42" i="2"/>
  <c r="F44" i="2" s="1"/>
  <c r="F71" i="2"/>
  <c r="F77" i="2" s="1"/>
  <c r="I134" i="2"/>
  <c r="I137" i="2" s="1"/>
  <c r="I138" i="2" s="1"/>
  <c r="F4" i="2"/>
  <c r="F5" i="2" s="1"/>
  <c r="F13" i="2" s="1"/>
  <c r="F103" i="2"/>
  <c r="K134" i="2"/>
  <c r="D13" i="2"/>
  <c r="D134" i="2"/>
  <c r="D137" i="2" s="1"/>
  <c r="D138" i="2" s="1"/>
  <c r="J9" i="2"/>
  <c r="J132" i="2" s="1"/>
  <c r="J141" i="2" s="1"/>
  <c r="J142" i="2" s="1"/>
  <c r="G11" i="2"/>
  <c r="G14" i="2" s="1"/>
  <c r="G15" i="2" s="1"/>
  <c r="H30" i="2"/>
  <c r="H32" i="2" s="1"/>
  <c r="F48" i="2"/>
  <c r="F50" i="2" s="1"/>
  <c r="H60" i="2"/>
  <c r="H62" i="2" s="1"/>
  <c r="I103" i="2"/>
  <c r="I104" i="2" s="1"/>
  <c r="H101" i="2"/>
  <c r="F132" i="2"/>
  <c r="F141" i="2" s="1"/>
  <c r="F142" i="2" s="1"/>
  <c r="J134" i="2"/>
  <c r="J137" i="2" s="1"/>
  <c r="J13" i="2"/>
  <c r="H138" i="2"/>
  <c r="G101" i="2"/>
  <c r="G103" i="2"/>
  <c r="G104" i="2" s="1"/>
  <c r="F116" i="2"/>
  <c r="H13" i="2"/>
  <c r="H132" i="2"/>
  <c r="H141" i="2" s="1"/>
  <c r="H142" i="2" s="1"/>
  <c r="F93" i="2"/>
  <c r="F94" i="2" s="1"/>
  <c r="I101" i="2"/>
  <c r="F112" i="2"/>
  <c r="F122" i="2"/>
  <c r="H73" i="2"/>
  <c r="H93" i="2"/>
  <c r="H94" i="2" s="1"/>
  <c r="J101" i="2"/>
  <c r="H112" i="2"/>
  <c r="H116" i="2"/>
  <c r="H122" i="2"/>
  <c r="G134" i="2"/>
  <c r="G137" i="2" s="1"/>
  <c r="G138" i="2" s="1"/>
  <c r="F73" i="2"/>
  <c r="J73" i="2"/>
  <c r="J93" i="2"/>
  <c r="J94" i="2" s="1"/>
  <c r="K101" i="2"/>
  <c r="J112" i="2"/>
  <c r="J116" i="2"/>
  <c r="J122" i="2"/>
  <c r="F101" i="2"/>
  <c r="F134" i="2" l="1"/>
  <c r="F137" i="2" s="1"/>
  <c r="F138" i="2" s="1"/>
  <c r="K137" i="2"/>
  <c r="K138" i="2" s="1"/>
  <c r="J138" i="2"/>
  <c r="I26" i="4" l="1"/>
  <c r="G26" i="4"/>
  <c r="E26" i="4"/>
  <c r="D130" i="4" l="1"/>
  <c r="D140" i="4" l="1"/>
  <c r="E136" i="4"/>
  <c r="D124" i="4"/>
  <c r="D120" i="4"/>
  <c r="D114" i="4"/>
  <c r="D110" i="4"/>
  <c r="E100" i="4"/>
  <c r="D100" i="4"/>
  <c r="E98" i="4"/>
  <c r="D97" i="4"/>
  <c r="D92" i="4"/>
  <c r="D89" i="4"/>
  <c r="D88" i="4"/>
  <c r="D83" i="4"/>
  <c r="D84" i="4" s="1"/>
  <c r="D86" i="4" s="1"/>
  <c r="D70" i="4"/>
  <c r="D69" i="4"/>
  <c r="D71" i="4" s="1"/>
  <c r="D77" i="4" s="1"/>
  <c r="D67" i="4"/>
  <c r="D116" i="4" s="1"/>
  <c r="E60" i="4"/>
  <c r="E62" i="4" s="1"/>
  <c r="D59" i="4"/>
  <c r="D58" i="4"/>
  <c r="D60" i="4" s="1"/>
  <c r="D62" i="4" s="1"/>
  <c r="E54" i="4"/>
  <c r="E56" i="4" s="1"/>
  <c r="D53" i="4"/>
  <c r="D52" i="4"/>
  <c r="E48" i="4"/>
  <c r="E50" i="4" s="1"/>
  <c r="D47" i="4"/>
  <c r="D46" i="4"/>
  <c r="E42" i="4"/>
  <c r="E44" i="4" s="1"/>
  <c r="D41" i="4"/>
  <c r="D40" i="4"/>
  <c r="D42" i="4" s="1"/>
  <c r="D44" i="4" s="1"/>
  <c r="E36" i="4"/>
  <c r="E38" i="4" s="1"/>
  <c r="D35" i="4"/>
  <c r="D34" i="4"/>
  <c r="E30" i="4"/>
  <c r="E32" i="4" s="1"/>
  <c r="D29" i="4"/>
  <c r="D28" i="4"/>
  <c r="D23" i="4"/>
  <c r="D21" i="4"/>
  <c r="D26" i="4" s="1"/>
  <c r="E19" i="4"/>
  <c r="D18" i="4"/>
  <c r="D17" i="4"/>
  <c r="E9" i="4"/>
  <c r="D8" i="4"/>
  <c r="D7" i="4"/>
  <c r="E5" i="4"/>
  <c r="E134" i="4" s="1"/>
  <c r="J52" i="4"/>
  <c r="J58" i="4"/>
  <c r="J61" i="4"/>
  <c r="J55" i="4"/>
  <c r="Z55" i="4"/>
  <c r="R55" i="4"/>
  <c r="AA54" i="4"/>
  <c r="AA56" i="4" s="1"/>
  <c r="Y54" i="4"/>
  <c r="Y56" i="4" s="1"/>
  <c r="W54" i="4"/>
  <c r="W56" i="4" s="1"/>
  <c r="U54" i="4"/>
  <c r="U56" i="4" s="1"/>
  <c r="S54" i="4"/>
  <c r="S56" i="4" s="1"/>
  <c r="Q54" i="4"/>
  <c r="Q56" i="4" s="1"/>
  <c r="O54" i="4"/>
  <c r="O56" i="4" s="1"/>
  <c r="M54" i="4"/>
  <c r="M56" i="4" s="1"/>
  <c r="K54" i="4"/>
  <c r="K56" i="4" s="1"/>
  <c r="I54" i="4"/>
  <c r="I56" i="4" s="1"/>
  <c r="G54" i="4"/>
  <c r="G56" i="4" s="1"/>
  <c r="Z53" i="4"/>
  <c r="X53" i="4"/>
  <c r="V53" i="4"/>
  <c r="T53" i="4"/>
  <c r="R53" i="4"/>
  <c r="P53" i="4"/>
  <c r="N53" i="4"/>
  <c r="L53" i="4"/>
  <c r="J53" i="4"/>
  <c r="H53" i="4"/>
  <c r="F53" i="4"/>
  <c r="Z52" i="4"/>
  <c r="X52" i="4"/>
  <c r="V52" i="4"/>
  <c r="T52" i="4"/>
  <c r="R52" i="4"/>
  <c r="P52" i="4"/>
  <c r="N52" i="4"/>
  <c r="L52" i="4"/>
  <c r="H52" i="4"/>
  <c r="F52" i="4"/>
  <c r="H59" i="4"/>
  <c r="J59" i="4"/>
  <c r="L59" i="4"/>
  <c r="N59" i="4"/>
  <c r="R59" i="4"/>
  <c r="T59" i="4"/>
  <c r="V59" i="4"/>
  <c r="X59" i="4"/>
  <c r="Z59" i="4"/>
  <c r="J49" i="4"/>
  <c r="J46" i="4"/>
  <c r="J47" i="4"/>
  <c r="L47" i="4"/>
  <c r="N47" i="4"/>
  <c r="R47" i="4"/>
  <c r="T47" i="4"/>
  <c r="V47" i="4"/>
  <c r="X47" i="4"/>
  <c r="Z47" i="4"/>
  <c r="J43" i="4"/>
  <c r="J41" i="4"/>
  <c r="J40" i="4"/>
  <c r="L41" i="4"/>
  <c r="N41" i="4"/>
  <c r="R41" i="4"/>
  <c r="T41" i="4"/>
  <c r="V41" i="4"/>
  <c r="X41" i="4"/>
  <c r="Z41" i="4"/>
  <c r="Z37" i="4"/>
  <c r="R37" i="4"/>
  <c r="J37" i="4"/>
  <c r="AA36" i="4"/>
  <c r="AA38" i="4" s="1"/>
  <c r="Y36" i="4"/>
  <c r="Y38" i="4" s="1"/>
  <c r="W36" i="4"/>
  <c r="W38" i="4" s="1"/>
  <c r="U36" i="4"/>
  <c r="U38" i="4" s="1"/>
  <c r="S36" i="4"/>
  <c r="S38" i="4" s="1"/>
  <c r="Q36" i="4"/>
  <c r="Q38" i="4" s="1"/>
  <c r="O36" i="4"/>
  <c r="O38" i="4" s="1"/>
  <c r="M36" i="4"/>
  <c r="M38" i="4" s="1"/>
  <c r="K36" i="4"/>
  <c r="K38" i="4" s="1"/>
  <c r="I36" i="4"/>
  <c r="I38" i="4" s="1"/>
  <c r="G36" i="4"/>
  <c r="G38" i="4" s="1"/>
  <c r="Z35" i="4"/>
  <c r="X35" i="4"/>
  <c r="V35" i="4"/>
  <c r="T35" i="4"/>
  <c r="R35" i="4"/>
  <c r="P35" i="4"/>
  <c r="N35" i="4"/>
  <c r="L35" i="4"/>
  <c r="J35" i="4"/>
  <c r="H35" i="4"/>
  <c r="F35" i="4"/>
  <c r="Z34" i="4"/>
  <c r="X34" i="4"/>
  <c r="V34" i="4"/>
  <c r="T34" i="4"/>
  <c r="R34" i="4"/>
  <c r="P34" i="4"/>
  <c r="N34" i="4"/>
  <c r="N36" i="4" s="1"/>
  <c r="N38" i="4" s="1"/>
  <c r="L34" i="4"/>
  <c r="J34" i="4"/>
  <c r="H34" i="4"/>
  <c r="F34" i="4"/>
  <c r="J28" i="4"/>
  <c r="J29" i="4"/>
  <c r="J31" i="4"/>
  <c r="L29" i="4"/>
  <c r="N29" i="4"/>
  <c r="R29" i="4"/>
  <c r="T29" i="4"/>
  <c r="V29" i="4"/>
  <c r="X29" i="4"/>
  <c r="Z29" i="4"/>
  <c r="J36" i="4" l="1"/>
  <c r="D9" i="4"/>
  <c r="D126" i="4"/>
  <c r="D90" i="4"/>
  <c r="D73" i="4"/>
  <c r="E101" i="4"/>
  <c r="D122" i="4"/>
  <c r="D54" i="4"/>
  <c r="D56" i="4" s="1"/>
  <c r="D48" i="4"/>
  <c r="D50" i="4" s="1"/>
  <c r="D36" i="4"/>
  <c r="D38" i="4" s="1"/>
  <c r="D30" i="4"/>
  <c r="D32" i="4" s="1"/>
  <c r="D19" i="4"/>
  <c r="E137" i="4"/>
  <c r="E138" i="4" s="1"/>
  <c r="E13" i="4"/>
  <c r="D101" i="4"/>
  <c r="D112" i="4"/>
  <c r="D93" i="4"/>
  <c r="D94" i="4" s="1"/>
  <c r="H36" i="4"/>
  <c r="H38" i="4" s="1"/>
  <c r="L54" i="4"/>
  <c r="L56" i="4" s="1"/>
  <c r="N54" i="4"/>
  <c r="N56" i="4" s="1"/>
  <c r="R36" i="4"/>
  <c r="R38" i="4" s="1"/>
  <c r="P54" i="4"/>
  <c r="P56" i="4" s="1"/>
  <c r="J54" i="4"/>
  <c r="J56" i="4" s="1"/>
  <c r="F54" i="4"/>
  <c r="F56" i="4" s="1"/>
  <c r="H54" i="4"/>
  <c r="H56" i="4" s="1"/>
  <c r="R54" i="4"/>
  <c r="R56" i="4" s="1"/>
  <c r="T54" i="4"/>
  <c r="T56" i="4" s="1"/>
  <c r="X54" i="4"/>
  <c r="X56" i="4" s="1"/>
  <c r="V54" i="4"/>
  <c r="V56" i="4" s="1"/>
  <c r="Z54" i="4"/>
  <c r="Z56" i="4" s="1"/>
  <c r="F36" i="4"/>
  <c r="F38" i="4" s="1"/>
  <c r="J38" i="4"/>
  <c r="L36" i="4"/>
  <c r="L38" i="4" s="1"/>
  <c r="P36" i="4"/>
  <c r="P38" i="4" s="1"/>
  <c r="X36" i="4"/>
  <c r="X38" i="4" s="1"/>
  <c r="V36" i="4"/>
  <c r="V38" i="4" s="1"/>
  <c r="Z36" i="4"/>
  <c r="Z38" i="4" s="1"/>
  <c r="T36" i="4"/>
  <c r="T38" i="4" s="1"/>
  <c r="D132" i="4" l="1"/>
  <c r="D141" i="4" s="1"/>
  <c r="D142" i="4" s="1"/>
  <c r="AK100" i="4"/>
  <c r="AM100" i="4"/>
  <c r="AO100" i="4"/>
  <c r="AQ100" i="4"/>
  <c r="AP69" i="4"/>
  <c r="AP67" i="4"/>
  <c r="AQ9" i="4"/>
  <c r="AQ5" i="4"/>
  <c r="AQ26" i="4"/>
  <c r="AQ14" i="4"/>
  <c r="F129" i="4"/>
  <c r="F130" i="4" s="1"/>
  <c r="F59" i="4"/>
  <c r="F47" i="4"/>
  <c r="F41" i="4"/>
  <c r="F29" i="4"/>
  <c r="F28" i="4"/>
  <c r="F140" i="4"/>
  <c r="G136" i="4"/>
  <c r="F124" i="4"/>
  <c r="F120" i="4"/>
  <c r="F114" i="4"/>
  <c r="F110" i="4"/>
  <c r="G100" i="4"/>
  <c r="F100" i="4"/>
  <c r="G98" i="4"/>
  <c r="F97" i="4"/>
  <c r="F98" i="4" s="1"/>
  <c r="F92" i="4"/>
  <c r="F89" i="4"/>
  <c r="F88" i="4"/>
  <c r="F83" i="4"/>
  <c r="F84" i="4" s="1"/>
  <c r="F86" i="4" s="1"/>
  <c r="F70" i="4"/>
  <c r="F69" i="4"/>
  <c r="F67" i="4"/>
  <c r="G60" i="4"/>
  <c r="G62" i="4" s="1"/>
  <c r="F58" i="4"/>
  <c r="G48" i="4"/>
  <c r="G50" i="4" s="1"/>
  <c r="F46" i="4"/>
  <c r="G42" i="4"/>
  <c r="G44" i="4" s="1"/>
  <c r="F40" i="4"/>
  <c r="G30" i="4"/>
  <c r="G32" i="4" s="1"/>
  <c r="F23" i="4"/>
  <c r="F21" i="4"/>
  <c r="F26" i="4" s="1"/>
  <c r="G19" i="4"/>
  <c r="F18" i="4"/>
  <c r="F17" i="4"/>
  <c r="G9" i="4"/>
  <c r="E11" i="4" s="1"/>
  <c r="E14" i="4" s="1"/>
  <c r="E15" i="4" s="1"/>
  <c r="F8" i="4"/>
  <c r="F7" i="4"/>
  <c r="G5" i="4"/>
  <c r="F3" i="4"/>
  <c r="F116" i="4" l="1"/>
  <c r="E103" i="4"/>
  <c r="E104" i="4" s="1"/>
  <c r="F90" i="4"/>
  <c r="F30" i="4"/>
  <c r="F32" i="4" s="1"/>
  <c r="F60" i="4"/>
  <c r="F62" i="4" s="1"/>
  <c r="F71" i="4"/>
  <c r="F77" i="4" s="1"/>
  <c r="G134" i="4"/>
  <c r="G137" i="4" s="1"/>
  <c r="G138" i="4" s="1"/>
  <c r="G101" i="4"/>
  <c r="F48" i="4"/>
  <c r="F50" i="4" s="1"/>
  <c r="F42" i="4"/>
  <c r="F44" i="4" s="1"/>
  <c r="F122" i="4"/>
  <c r="F73" i="4"/>
  <c r="F126" i="4"/>
  <c r="F112" i="4"/>
  <c r="F19" i="4"/>
  <c r="F9" i="4"/>
  <c r="F101" i="4"/>
  <c r="G13" i="4"/>
  <c r="F93" i="4"/>
  <c r="F94" i="4" s="1"/>
  <c r="F132" i="4" l="1"/>
  <c r="F141" i="4" s="1"/>
  <c r="F142" i="4" s="1"/>
  <c r="I60" i="4"/>
  <c r="I62" i="4" s="1"/>
  <c r="H58" i="4"/>
  <c r="H60" i="4" s="1"/>
  <c r="H62" i="4" s="1"/>
  <c r="I42" i="4"/>
  <c r="I44" i="4" s="1"/>
  <c r="H41" i="4"/>
  <c r="H40" i="4"/>
  <c r="I48" i="4"/>
  <c r="I50" i="4" s="1"/>
  <c r="H47" i="4"/>
  <c r="H46" i="4"/>
  <c r="I30" i="4"/>
  <c r="I32" i="4" s="1"/>
  <c r="H29" i="4"/>
  <c r="H28" i="4"/>
  <c r="H30" i="4" l="1"/>
  <c r="H32" i="4" s="1"/>
  <c r="H48" i="4"/>
  <c r="H50" i="4" s="1"/>
  <c r="H42" i="4"/>
  <c r="H44" i="4" s="1"/>
  <c r="H136" i="4"/>
  <c r="H140" i="4" s="1"/>
  <c r="H129" i="4"/>
  <c r="H130" i="4" s="1"/>
  <c r="H124" i="4"/>
  <c r="H120" i="4"/>
  <c r="H114" i="4"/>
  <c r="H110" i="4"/>
  <c r="I100" i="4"/>
  <c r="H100" i="4"/>
  <c r="I98" i="4"/>
  <c r="H97" i="4"/>
  <c r="H98" i="4" s="1"/>
  <c r="H92" i="4"/>
  <c r="H89" i="4"/>
  <c r="H88" i="4"/>
  <c r="H90" i="4" s="1"/>
  <c r="H83" i="4"/>
  <c r="H84" i="4" s="1"/>
  <c r="H86" i="4" s="1"/>
  <c r="H70" i="4"/>
  <c r="H69" i="4"/>
  <c r="H67" i="4"/>
  <c r="H126" i="4" s="1"/>
  <c r="H23" i="4"/>
  <c r="H21" i="4"/>
  <c r="H26" i="4" s="1"/>
  <c r="I19" i="4"/>
  <c r="H18" i="4"/>
  <c r="H17" i="4"/>
  <c r="I9" i="4"/>
  <c r="G11" i="4" s="1"/>
  <c r="G14" i="4" s="1"/>
  <c r="G15" i="4" s="1"/>
  <c r="H8" i="4"/>
  <c r="H7" i="4"/>
  <c r="H3" i="4"/>
  <c r="H5" i="4" s="1"/>
  <c r="H13" i="4" s="1"/>
  <c r="H71" i="4" l="1"/>
  <c r="H77" i="4" s="1"/>
  <c r="H19" i="4"/>
  <c r="I101" i="4"/>
  <c r="H9" i="4"/>
  <c r="H122" i="4"/>
  <c r="G103" i="4"/>
  <c r="G104" i="4" s="1"/>
  <c r="H73" i="4"/>
  <c r="H93" i="4"/>
  <c r="H94" i="4" s="1"/>
  <c r="H101" i="4"/>
  <c r="H112" i="4"/>
  <c r="H116" i="4"/>
  <c r="H134" i="4"/>
  <c r="H137" i="4" s="1"/>
  <c r="H138" i="4" s="1"/>
  <c r="H132" i="4" l="1"/>
  <c r="H141" i="4" s="1"/>
  <c r="H142" i="4" s="1"/>
  <c r="J100" i="4"/>
  <c r="J21" i="4"/>
  <c r="K60" i="4" l="1"/>
  <c r="J60" i="4"/>
  <c r="J124" i="4" l="1"/>
  <c r="J120" i="4"/>
  <c r="J114" i="4"/>
  <c r="J110" i="4"/>
  <c r="J136" i="4" l="1"/>
  <c r="J129" i="4"/>
  <c r="J130" i="4" s="1"/>
  <c r="K62" i="4"/>
  <c r="J62" i="4"/>
  <c r="K48" i="4"/>
  <c r="K50" i="4" s="1"/>
  <c r="J48" i="4"/>
  <c r="J50" i="4" s="1"/>
  <c r="K42" i="4"/>
  <c r="K44" i="4" s="1"/>
  <c r="J42" i="4"/>
  <c r="J44" i="4" s="1"/>
  <c r="K30" i="4"/>
  <c r="K32" i="4" s="1"/>
  <c r="J30" i="4"/>
  <c r="J32" i="4" s="1"/>
  <c r="J140" i="4" l="1"/>
  <c r="K26" i="4"/>
  <c r="J23" i="4"/>
  <c r="J24" i="4"/>
  <c r="J26" i="4" s="1"/>
  <c r="K19" i="4"/>
  <c r="J18" i="4"/>
  <c r="J17" i="4"/>
  <c r="K9" i="4"/>
  <c r="I11" i="4" s="1"/>
  <c r="I14" i="4" s="1"/>
  <c r="J8" i="4"/>
  <c r="J7" i="4"/>
  <c r="K5" i="4"/>
  <c r="K134" i="4" s="1"/>
  <c r="J4" i="4"/>
  <c r="I4" i="4" s="1"/>
  <c r="D4" i="4" s="1"/>
  <c r="D5" i="4" s="1"/>
  <c r="J3" i="4"/>
  <c r="J92" i="4"/>
  <c r="J88" i="4"/>
  <c r="J89" i="4"/>
  <c r="J83" i="4"/>
  <c r="J84" i="4" s="1"/>
  <c r="J86" i="4" s="1"/>
  <c r="J70" i="4"/>
  <c r="J69" i="4"/>
  <c r="J67" i="4"/>
  <c r="K100" i="4"/>
  <c r="L100" i="4"/>
  <c r="K98" i="4"/>
  <c r="J97" i="4"/>
  <c r="J98" i="4" s="1"/>
  <c r="J101" i="4" s="1"/>
  <c r="D134" i="4" l="1"/>
  <c r="D137" i="4" s="1"/>
  <c r="D138" i="4" s="1"/>
  <c r="D13" i="4"/>
  <c r="J71" i="4"/>
  <c r="J77" i="4" s="1"/>
  <c r="J19" i="4"/>
  <c r="J5" i="4"/>
  <c r="J134" i="4" s="1"/>
  <c r="J137" i="4" s="1"/>
  <c r="K137" i="4" s="1"/>
  <c r="K138" i="4" s="1"/>
  <c r="J9" i="4"/>
  <c r="F4" i="4"/>
  <c r="F5" i="4" s="1"/>
  <c r="I5" i="4"/>
  <c r="K13" i="4"/>
  <c r="F103" i="4"/>
  <c r="F104" i="4" s="1"/>
  <c r="I103" i="4"/>
  <c r="I104" i="4" s="1"/>
  <c r="J73" i="4"/>
  <c r="J126" i="4"/>
  <c r="J122" i="4"/>
  <c r="J116" i="4"/>
  <c r="J112" i="4"/>
  <c r="K101" i="4"/>
  <c r="J90" i="4"/>
  <c r="J93" i="4"/>
  <c r="J94" i="4" s="1"/>
  <c r="T100" i="4"/>
  <c r="AB100" i="4"/>
  <c r="J141" i="4" l="1"/>
  <c r="J142" i="4" s="1"/>
  <c r="J13" i="4"/>
  <c r="J138" i="4"/>
  <c r="F134" i="4"/>
  <c r="F137" i="4" s="1"/>
  <c r="F138" i="4" s="1"/>
  <c r="F13" i="4"/>
  <c r="I13" i="4"/>
  <c r="I15" i="4" s="1"/>
  <c r="I134" i="4"/>
  <c r="I137" i="4" s="1"/>
  <c r="I138" i="4" s="1"/>
  <c r="M4" i="4" l="1"/>
  <c r="O60" i="2" l="1"/>
  <c r="O62" i="2" s="1"/>
  <c r="M60" i="2"/>
  <c r="M62" i="2" s="1"/>
  <c r="N58" i="2"/>
  <c r="N60" i="2" s="1"/>
  <c r="N62" i="2" s="1"/>
  <c r="L58" i="2"/>
  <c r="L60" i="2" s="1"/>
  <c r="L62" i="2" s="1"/>
  <c r="O48" i="2"/>
  <c r="O50" i="2" s="1"/>
  <c r="M48" i="2"/>
  <c r="M50" i="2" s="1"/>
  <c r="N46" i="2"/>
  <c r="N48" i="2" s="1"/>
  <c r="N50" i="2" s="1"/>
  <c r="L46" i="2"/>
  <c r="L48" i="2" s="1"/>
  <c r="L50" i="2" s="1"/>
  <c r="O42" i="2"/>
  <c r="O44" i="2" s="1"/>
  <c r="M42" i="2"/>
  <c r="M44" i="2" s="1"/>
  <c r="N40" i="2"/>
  <c r="N42" i="2" s="1"/>
  <c r="N44" i="2" s="1"/>
  <c r="L40" i="2"/>
  <c r="L42" i="2" s="1"/>
  <c r="L44" i="2" s="1"/>
  <c r="O30" i="2"/>
  <c r="O32" i="2" s="1"/>
  <c r="M30" i="2"/>
  <c r="M32" i="2" s="1"/>
  <c r="N28" i="2"/>
  <c r="N30" i="2" s="1"/>
  <c r="N32" i="2" s="1"/>
  <c r="L28" i="2"/>
  <c r="L30" i="2" s="1"/>
  <c r="L32" i="2" s="1"/>
  <c r="L140" i="2" l="1"/>
  <c r="M136" i="2"/>
  <c r="L129" i="2"/>
  <c r="L130" i="2" s="1"/>
  <c r="L124" i="2"/>
  <c r="L120" i="2"/>
  <c r="L114" i="2"/>
  <c r="L110" i="2"/>
  <c r="M100" i="2"/>
  <c r="L100" i="2"/>
  <c r="M98" i="2"/>
  <c r="L97" i="2"/>
  <c r="L98" i="2" s="1"/>
  <c r="L92" i="2"/>
  <c r="L89" i="2"/>
  <c r="L88" i="2"/>
  <c r="L90" i="2" s="1"/>
  <c r="L83" i="2"/>
  <c r="L84" i="2" s="1"/>
  <c r="L86" i="2" s="1"/>
  <c r="L70" i="2"/>
  <c r="L69" i="2"/>
  <c r="L67" i="2"/>
  <c r="M26" i="2"/>
  <c r="L23" i="2"/>
  <c r="L21" i="2"/>
  <c r="L26" i="2" s="1"/>
  <c r="M19" i="2"/>
  <c r="L18" i="2"/>
  <c r="L17" i="2"/>
  <c r="M9" i="2"/>
  <c r="L8" i="2"/>
  <c r="L7" i="2"/>
  <c r="M5" i="2"/>
  <c r="L3" i="2"/>
  <c r="L129" i="4"/>
  <c r="AB100" i="2"/>
  <c r="T100" i="2"/>
  <c r="N100" i="4"/>
  <c r="L116" i="2" l="1"/>
  <c r="D74" i="2"/>
  <c r="D75" i="2" s="1"/>
  <c r="D79" i="2" s="1"/>
  <c r="D103" i="2"/>
  <c r="D104" i="2" s="1"/>
  <c r="H103" i="2"/>
  <c r="H104" i="2" s="1"/>
  <c r="J103" i="2"/>
  <c r="L71" i="2"/>
  <c r="L77" i="2" s="1"/>
  <c r="L93" i="2"/>
  <c r="L73" i="2"/>
  <c r="L19" i="2"/>
  <c r="M13" i="2"/>
  <c r="M134" i="2"/>
  <c r="M137" i="2" s="1"/>
  <c r="M138" i="2" s="1"/>
  <c r="M101" i="2"/>
  <c r="L9" i="2"/>
  <c r="L94" i="2"/>
  <c r="L112" i="2"/>
  <c r="L101" i="2"/>
  <c r="L122" i="2"/>
  <c r="L126" i="2"/>
  <c r="J11" i="2" l="1"/>
  <c r="J14" i="2" s="1"/>
  <c r="J15" i="2" s="1"/>
  <c r="H11" i="2"/>
  <c r="H14" i="2" s="1"/>
  <c r="H15" i="2" s="1"/>
  <c r="F11" i="2"/>
  <c r="F14" i="2" s="1"/>
  <c r="F15" i="2" s="1"/>
  <c r="D11" i="2"/>
  <c r="D14" i="2" s="1"/>
  <c r="D15" i="2" s="1"/>
  <c r="K11" i="2"/>
  <c r="K14" i="2" s="1"/>
  <c r="K15" i="2" s="1"/>
  <c r="K103" i="2"/>
  <c r="K104" i="2" s="1"/>
  <c r="J104" i="2"/>
  <c r="L132" i="2"/>
  <c r="L141" i="2" s="1"/>
  <c r="L142" i="2" s="1"/>
  <c r="S26" i="4"/>
  <c r="Q26" i="4"/>
  <c r="O26" i="4"/>
  <c r="M26" i="4"/>
  <c r="M98" i="4" l="1"/>
  <c r="L140" i="4"/>
  <c r="M136" i="4"/>
  <c r="L130" i="4"/>
  <c r="L124" i="4"/>
  <c r="L114" i="4"/>
  <c r="L110" i="4"/>
  <c r="M100" i="4"/>
  <c r="L97" i="4"/>
  <c r="L98" i="4" s="1"/>
  <c r="L101" i="4" s="1"/>
  <c r="L92" i="4"/>
  <c r="L89" i="4"/>
  <c r="L88" i="4"/>
  <c r="L83" i="4"/>
  <c r="L84" i="4" s="1"/>
  <c r="L86" i="4" s="1"/>
  <c r="L70" i="4"/>
  <c r="L69" i="4"/>
  <c r="L67" i="4"/>
  <c r="M60" i="4"/>
  <c r="M62" i="4" s="1"/>
  <c r="L58" i="4"/>
  <c r="L60" i="4" s="1"/>
  <c r="L62" i="4" s="1"/>
  <c r="M48" i="4"/>
  <c r="M50" i="4" s="1"/>
  <c r="L46" i="4"/>
  <c r="L48" i="4" s="1"/>
  <c r="L50" i="4" s="1"/>
  <c r="M42" i="4"/>
  <c r="M44" i="4" s="1"/>
  <c r="L40" i="4"/>
  <c r="L42" i="4" s="1"/>
  <c r="L44" i="4" s="1"/>
  <c r="M30" i="4"/>
  <c r="M32" i="4" s="1"/>
  <c r="L28" i="4"/>
  <c r="L30" i="4" s="1"/>
  <c r="L32" i="4" s="1"/>
  <c r="L23" i="4"/>
  <c r="L21" i="4"/>
  <c r="L26" i="4" s="1"/>
  <c r="M19" i="4"/>
  <c r="L18" i="4"/>
  <c r="L17" i="4"/>
  <c r="M9" i="4"/>
  <c r="L8" i="4"/>
  <c r="L7" i="4"/>
  <c r="M5" i="4"/>
  <c r="L3" i="4"/>
  <c r="D74" i="4" l="1"/>
  <c r="D75" i="4" s="1"/>
  <c r="D79" i="4" s="1"/>
  <c r="D103" i="4"/>
  <c r="D104" i="4" s="1"/>
  <c r="M13" i="4"/>
  <c r="M134" i="4"/>
  <c r="M137" i="4" s="1"/>
  <c r="M138" i="4" s="1"/>
  <c r="L112" i="4"/>
  <c r="J103" i="4"/>
  <c r="H103" i="4"/>
  <c r="H104" i="4" s="1"/>
  <c r="L19" i="4"/>
  <c r="L9" i="4"/>
  <c r="D11" i="4" s="1"/>
  <c r="D14" i="4" s="1"/>
  <c r="D15" i="4" s="1"/>
  <c r="M101" i="4"/>
  <c r="L90" i="4"/>
  <c r="L93" i="4"/>
  <c r="L94" i="4" s="1"/>
  <c r="L116" i="4"/>
  <c r="L71" i="4"/>
  <c r="L77" i="4" s="1"/>
  <c r="L122" i="4"/>
  <c r="L126" i="4"/>
  <c r="L73" i="4"/>
  <c r="N140" i="2"/>
  <c r="O136" i="2"/>
  <c r="N130" i="2"/>
  <c r="N124" i="2"/>
  <c r="N120" i="2"/>
  <c r="N114" i="2"/>
  <c r="N110" i="2"/>
  <c r="O100" i="2"/>
  <c r="N100" i="2"/>
  <c r="O98" i="2"/>
  <c r="N97" i="2"/>
  <c r="N98" i="2" s="1"/>
  <c r="N92" i="2"/>
  <c r="N89" i="2"/>
  <c r="N88" i="2"/>
  <c r="N83" i="2"/>
  <c r="N84" i="2" s="1"/>
  <c r="N86" i="2" s="1"/>
  <c r="N70" i="2"/>
  <c r="N69" i="2"/>
  <c r="N67" i="2"/>
  <c r="F74" i="2" s="1"/>
  <c r="F75" i="2" s="1"/>
  <c r="F79" i="2" s="1"/>
  <c r="O26" i="2"/>
  <c r="N23" i="2"/>
  <c r="N21" i="2"/>
  <c r="N26" i="2" s="1"/>
  <c r="O19" i="2"/>
  <c r="N18" i="2"/>
  <c r="N17" i="2"/>
  <c r="O9" i="2"/>
  <c r="N8" i="2"/>
  <c r="N7" i="2"/>
  <c r="N9" i="2" s="1"/>
  <c r="O5" i="2"/>
  <c r="N3" i="2"/>
  <c r="N19" i="2" l="1"/>
  <c r="N90" i="2"/>
  <c r="O13" i="2"/>
  <c r="O134" i="2"/>
  <c r="O137" i="2" s="1"/>
  <c r="O138" i="2" s="1"/>
  <c r="M103" i="2"/>
  <c r="M104" i="2" s="1"/>
  <c r="M11" i="2"/>
  <c r="M14" i="2" s="1"/>
  <c r="M15" i="2" s="1"/>
  <c r="N71" i="2"/>
  <c r="N77" i="2" s="1"/>
  <c r="H11" i="4"/>
  <c r="H14" i="4" s="1"/>
  <c r="H15" i="4" s="1"/>
  <c r="F11" i="4"/>
  <c r="F14" i="4" s="1"/>
  <c r="F15" i="4" s="1"/>
  <c r="J11" i="4"/>
  <c r="J14" i="4" s="1"/>
  <c r="J15" i="4" s="1"/>
  <c r="K14" i="4"/>
  <c r="K15" i="4" s="1"/>
  <c r="L132" i="4"/>
  <c r="L141" i="4" s="1"/>
  <c r="L142" i="4" s="1"/>
  <c r="K103" i="4"/>
  <c r="K104" i="4" s="1"/>
  <c r="J104" i="4"/>
  <c r="N132" i="2"/>
  <c r="N141" i="2" s="1"/>
  <c r="N142" i="2" s="1"/>
  <c r="N126" i="2"/>
  <c r="N122" i="2"/>
  <c r="N116" i="2"/>
  <c r="N112" i="2"/>
  <c r="N93" i="2"/>
  <c r="N73" i="2"/>
  <c r="N94" i="2"/>
  <c r="N101" i="2"/>
  <c r="O101" i="2"/>
  <c r="N120" i="4" l="1"/>
  <c r="N140" i="4" l="1"/>
  <c r="O136" i="4"/>
  <c r="N130" i="4"/>
  <c r="N124" i="4"/>
  <c r="N114" i="4"/>
  <c r="N110" i="4"/>
  <c r="O100" i="4"/>
  <c r="O98" i="4"/>
  <c r="N97" i="4"/>
  <c r="N98" i="4" s="1"/>
  <c r="N92" i="4"/>
  <c r="N89" i="4"/>
  <c r="N88" i="4"/>
  <c r="N83" i="4"/>
  <c r="N84" i="4" s="1"/>
  <c r="N86" i="4" s="1"/>
  <c r="N70" i="4"/>
  <c r="N69" i="4"/>
  <c r="N67" i="4"/>
  <c r="O60" i="4"/>
  <c r="O62" i="4" s="1"/>
  <c r="N58" i="4"/>
  <c r="N60" i="4" s="1"/>
  <c r="N62" i="4" s="1"/>
  <c r="O48" i="4"/>
  <c r="O50" i="4" s="1"/>
  <c r="N46" i="4"/>
  <c r="N48" i="4" s="1"/>
  <c r="N50" i="4" s="1"/>
  <c r="O42" i="4"/>
  <c r="O44" i="4" s="1"/>
  <c r="N40" i="4"/>
  <c r="N42" i="4" s="1"/>
  <c r="N44" i="4" s="1"/>
  <c r="O30" i="4"/>
  <c r="O32" i="4" s="1"/>
  <c r="N28" i="4"/>
  <c r="N30" i="4" s="1"/>
  <c r="N32" i="4" s="1"/>
  <c r="N23" i="4"/>
  <c r="N21" i="4"/>
  <c r="N26" i="4" s="1"/>
  <c r="O19" i="4"/>
  <c r="N18" i="4"/>
  <c r="N17" i="4"/>
  <c r="O9" i="4"/>
  <c r="M11" i="4" s="1"/>
  <c r="M14" i="4" s="1"/>
  <c r="M15" i="4" s="1"/>
  <c r="N8" i="4"/>
  <c r="N7" i="4"/>
  <c r="O5" i="4"/>
  <c r="N3" i="4"/>
  <c r="N116" i="4" l="1"/>
  <c r="F74" i="4"/>
  <c r="F75" i="4" s="1"/>
  <c r="F79" i="4" s="1"/>
  <c r="M103" i="4"/>
  <c r="M104" i="4" s="1"/>
  <c r="O13" i="4"/>
  <c r="O134" i="4"/>
  <c r="O137" i="4" s="1"/>
  <c r="O138" i="4" s="1"/>
  <c r="N90" i="4"/>
  <c r="N71" i="4"/>
  <c r="N77" i="4" s="1"/>
  <c r="O101" i="4"/>
  <c r="N112" i="4"/>
  <c r="N73" i="4"/>
  <c r="N122" i="4"/>
  <c r="N19" i="4"/>
  <c r="N9" i="4"/>
  <c r="N101" i="4"/>
  <c r="N126" i="4"/>
  <c r="N93" i="4"/>
  <c r="N94" i="4" s="1"/>
  <c r="P140" i="2"/>
  <c r="Q136" i="2"/>
  <c r="P130" i="2"/>
  <c r="P124" i="2"/>
  <c r="P120" i="2"/>
  <c r="P114" i="2"/>
  <c r="P110" i="2"/>
  <c r="Q100" i="2"/>
  <c r="P100" i="2"/>
  <c r="Q98" i="2"/>
  <c r="P97" i="2"/>
  <c r="P98" i="2" s="1"/>
  <c r="P92" i="2"/>
  <c r="P89" i="2"/>
  <c r="P88" i="2"/>
  <c r="P83" i="2"/>
  <c r="P84" i="2" s="1"/>
  <c r="P86" i="2" s="1"/>
  <c r="P70" i="2"/>
  <c r="P69" i="2"/>
  <c r="P67" i="2"/>
  <c r="H74" i="2" s="1"/>
  <c r="H75" i="2" s="1"/>
  <c r="H79" i="2" s="1"/>
  <c r="Q60" i="2"/>
  <c r="Q62" i="2" s="1"/>
  <c r="P59" i="2"/>
  <c r="P58" i="2"/>
  <c r="Q48" i="2"/>
  <c r="Q50" i="2" s="1"/>
  <c r="P47" i="2"/>
  <c r="P46" i="2"/>
  <c r="P48" i="2" s="1"/>
  <c r="P50" i="2" s="1"/>
  <c r="Q42" i="2"/>
  <c r="Q44" i="2" s="1"/>
  <c r="P41" i="2"/>
  <c r="P40" i="2"/>
  <c r="P42" i="2" s="1"/>
  <c r="P44" i="2" s="1"/>
  <c r="Q30" i="2"/>
  <c r="Q32" i="2" s="1"/>
  <c r="P29" i="2"/>
  <c r="P28" i="2"/>
  <c r="Q26" i="2"/>
  <c r="P23" i="2"/>
  <c r="P21" i="2"/>
  <c r="P26" i="2" s="1"/>
  <c r="Q19" i="2"/>
  <c r="P18" i="2"/>
  <c r="P17" i="2"/>
  <c r="Q9" i="2"/>
  <c r="P8" i="2"/>
  <c r="P7" i="2"/>
  <c r="P3" i="2"/>
  <c r="P9" i="2" l="1"/>
  <c r="P132" i="2" s="1"/>
  <c r="P141" i="2" s="1"/>
  <c r="P142" i="2" s="1"/>
  <c r="P30" i="2"/>
  <c r="P32" i="2" s="1"/>
  <c r="P90" i="2"/>
  <c r="P19" i="2"/>
  <c r="P101" i="2"/>
  <c r="O11" i="2"/>
  <c r="O14" i="2" s="1"/>
  <c r="O15" i="2" s="1"/>
  <c r="O103" i="2"/>
  <c r="O104" i="2" s="1"/>
  <c r="P71" i="2"/>
  <c r="P77" i="2" s="1"/>
  <c r="N132" i="4"/>
  <c r="N141" i="4" s="1"/>
  <c r="N142" i="4" s="1"/>
  <c r="P5" i="2"/>
  <c r="P60" i="2"/>
  <c r="P62" i="2" s="1"/>
  <c r="P116" i="2"/>
  <c r="P112" i="2"/>
  <c r="Q101" i="2"/>
  <c r="P122" i="2"/>
  <c r="P93" i="2"/>
  <c r="P94" i="2" s="1"/>
  <c r="P73" i="2"/>
  <c r="P126" i="2"/>
  <c r="P13" i="2" l="1"/>
  <c r="P134" i="2"/>
  <c r="P137" i="2" s="1"/>
  <c r="P138" i="2" s="1"/>
  <c r="P120" i="4"/>
  <c r="P140" i="4" l="1"/>
  <c r="Q136" i="4"/>
  <c r="P130" i="4"/>
  <c r="P124" i="4"/>
  <c r="P114" i="4"/>
  <c r="P110" i="4"/>
  <c r="Q100" i="4"/>
  <c r="P100" i="4"/>
  <c r="Q98" i="4"/>
  <c r="P97" i="4"/>
  <c r="P98" i="4" s="1"/>
  <c r="P92" i="4"/>
  <c r="P89" i="4"/>
  <c r="P88" i="4"/>
  <c r="P83" i="4"/>
  <c r="P84" i="4" s="1"/>
  <c r="P86" i="4" s="1"/>
  <c r="P70" i="4"/>
  <c r="P69" i="4"/>
  <c r="P71" i="4" s="1"/>
  <c r="P77" i="4" s="1"/>
  <c r="P67" i="4"/>
  <c r="Q60" i="4"/>
  <c r="Q62" i="4" s="1"/>
  <c r="P59" i="4"/>
  <c r="P58" i="4"/>
  <c r="Q48" i="4"/>
  <c r="Q50" i="4" s="1"/>
  <c r="P47" i="4"/>
  <c r="P46" i="4"/>
  <c r="Q42" i="4"/>
  <c r="Q44" i="4" s="1"/>
  <c r="P41" i="4"/>
  <c r="P40" i="4"/>
  <c r="Q30" i="4"/>
  <c r="Q32" i="4" s="1"/>
  <c r="P29" i="4"/>
  <c r="P28" i="4"/>
  <c r="P23" i="4"/>
  <c r="P21" i="4"/>
  <c r="P26" i="4" s="1"/>
  <c r="Q19" i="4"/>
  <c r="P18" i="4"/>
  <c r="P17" i="4"/>
  <c r="Q9" i="4"/>
  <c r="P8" i="4"/>
  <c r="P7" i="4"/>
  <c r="P3" i="4"/>
  <c r="H74" i="4" l="1"/>
  <c r="H75" i="4" s="1"/>
  <c r="H79" i="4" s="1"/>
  <c r="O11" i="4"/>
  <c r="O14" i="4" s="1"/>
  <c r="O15" i="4" s="1"/>
  <c r="P90" i="4"/>
  <c r="P112" i="4"/>
  <c r="O103" i="4"/>
  <c r="O104" i="4" s="1"/>
  <c r="P42" i="4"/>
  <c r="P44" i="4" s="1"/>
  <c r="Q101" i="4"/>
  <c r="P101" i="4"/>
  <c r="P9" i="4"/>
  <c r="P60" i="4"/>
  <c r="P62" i="4" s="1"/>
  <c r="P48" i="4"/>
  <c r="P50" i="4" s="1"/>
  <c r="P30" i="4"/>
  <c r="P32" i="4" s="1"/>
  <c r="P19" i="4"/>
  <c r="P5" i="4"/>
  <c r="P93" i="4"/>
  <c r="P94" i="4" s="1"/>
  <c r="P116" i="4"/>
  <c r="P122" i="4"/>
  <c r="P73" i="4"/>
  <c r="P126" i="4"/>
  <c r="S26" i="2"/>
  <c r="P13" i="4" l="1"/>
  <c r="P134" i="4"/>
  <c r="P137" i="4" s="1"/>
  <c r="P138" i="4" s="1"/>
  <c r="P132" i="4"/>
  <c r="P141" i="4" s="1"/>
  <c r="P142" i="4" s="1"/>
  <c r="U136" i="2"/>
  <c r="W136" i="2"/>
  <c r="W136" i="4"/>
  <c r="U136" i="4"/>
  <c r="AH124" i="2" l="1"/>
  <c r="AF124" i="2"/>
  <c r="AD124" i="2"/>
  <c r="AB124" i="2"/>
  <c r="Z124" i="2"/>
  <c r="X124" i="2"/>
  <c r="V124" i="2"/>
  <c r="T124" i="2"/>
  <c r="R124" i="2"/>
  <c r="AH114" i="2"/>
  <c r="AF114" i="2"/>
  <c r="AD114" i="2"/>
  <c r="AB114" i="2"/>
  <c r="Z114" i="2"/>
  <c r="X114" i="2"/>
  <c r="V114" i="2"/>
  <c r="T114" i="2"/>
  <c r="R114" i="2"/>
  <c r="R140" i="4"/>
  <c r="S136" i="4"/>
  <c r="R130" i="4"/>
  <c r="R124" i="4"/>
  <c r="R120" i="4"/>
  <c r="R114" i="4"/>
  <c r="R110" i="4"/>
  <c r="R100" i="4"/>
  <c r="S100" i="4" s="1"/>
  <c r="S98" i="4"/>
  <c r="R97" i="4"/>
  <c r="R98" i="4" s="1"/>
  <c r="R92" i="4"/>
  <c r="R89" i="4"/>
  <c r="R88" i="4"/>
  <c r="R83" i="4"/>
  <c r="R84" i="4" s="1"/>
  <c r="R86" i="4" s="1"/>
  <c r="R70" i="4"/>
  <c r="R69" i="4"/>
  <c r="R67" i="4"/>
  <c r="R61" i="4"/>
  <c r="S60" i="4"/>
  <c r="S62" i="4" s="1"/>
  <c r="R58" i="4"/>
  <c r="R49" i="4"/>
  <c r="S48" i="4"/>
  <c r="S50" i="4" s="1"/>
  <c r="R46" i="4"/>
  <c r="R43" i="4"/>
  <c r="S42" i="4"/>
  <c r="S44" i="4" s="1"/>
  <c r="R40" i="4"/>
  <c r="R31" i="4"/>
  <c r="S30" i="4"/>
  <c r="S32" i="4" s="1"/>
  <c r="R28" i="4"/>
  <c r="R24" i="4"/>
  <c r="R23" i="4"/>
  <c r="R21" i="4"/>
  <c r="S19" i="4"/>
  <c r="R18" i="4"/>
  <c r="R17" i="4"/>
  <c r="S9" i="4"/>
  <c r="R8" i="4"/>
  <c r="R7" i="4"/>
  <c r="S5" i="4"/>
  <c r="R4" i="4"/>
  <c r="Q4" i="4" s="1"/>
  <c r="L4" i="4" s="1"/>
  <c r="L5" i="4" s="1"/>
  <c r="R3" i="4"/>
  <c r="R140" i="2"/>
  <c r="S136" i="2"/>
  <c r="R130" i="2"/>
  <c r="R120" i="2"/>
  <c r="R110" i="2"/>
  <c r="R100" i="2"/>
  <c r="S100" i="2" s="1"/>
  <c r="S98" i="2"/>
  <c r="R97" i="2"/>
  <c r="R98" i="2" s="1"/>
  <c r="R92" i="2"/>
  <c r="R89" i="2"/>
  <c r="R88" i="2"/>
  <c r="R83" i="2"/>
  <c r="R84" i="2" s="1"/>
  <c r="R86" i="2" s="1"/>
  <c r="R70" i="2"/>
  <c r="R69" i="2"/>
  <c r="R67" i="2"/>
  <c r="J74" i="2" s="1"/>
  <c r="J75" i="2" s="1"/>
  <c r="J79" i="2" s="1"/>
  <c r="R61" i="2"/>
  <c r="S60" i="2"/>
  <c r="S62" i="2" s="1"/>
  <c r="R58" i="2"/>
  <c r="R49" i="2"/>
  <c r="S48" i="2"/>
  <c r="S50" i="2" s="1"/>
  <c r="R46" i="2"/>
  <c r="R43" i="2"/>
  <c r="S42" i="2"/>
  <c r="S44" i="2" s="1"/>
  <c r="R40" i="2"/>
  <c r="R31" i="2"/>
  <c r="S30" i="2"/>
  <c r="S32" i="2" s="1"/>
  <c r="R28" i="2"/>
  <c r="R24" i="2"/>
  <c r="R23" i="2"/>
  <c r="R21" i="2"/>
  <c r="S19" i="2"/>
  <c r="R18" i="2"/>
  <c r="R17" i="2"/>
  <c r="S9" i="2"/>
  <c r="Q11" i="2" s="1"/>
  <c r="Q14" i="2" s="1"/>
  <c r="R8" i="2"/>
  <c r="R7" i="2"/>
  <c r="S5" i="2"/>
  <c r="R4" i="2"/>
  <c r="Q4" i="2" s="1"/>
  <c r="R3" i="2"/>
  <c r="Q5" i="2" l="1"/>
  <c r="L4" i="2"/>
  <c r="L5" i="2" s="1"/>
  <c r="N4" i="2"/>
  <c r="N5" i="2" s="1"/>
  <c r="S13" i="2"/>
  <c r="S134" i="2"/>
  <c r="N103" i="2"/>
  <c r="N104" i="2" s="1"/>
  <c r="R26" i="4"/>
  <c r="L13" i="4"/>
  <c r="L134" i="4"/>
  <c r="L137" i="4" s="1"/>
  <c r="L138" i="4" s="1"/>
  <c r="Q11" i="4"/>
  <c r="Q14" i="4" s="1"/>
  <c r="J74" i="4"/>
  <c r="J75" i="4" s="1"/>
  <c r="J79" i="4" s="1"/>
  <c r="N103" i="4"/>
  <c r="N104" i="4" s="1"/>
  <c r="R90" i="4"/>
  <c r="S134" i="4"/>
  <c r="N4" i="4"/>
  <c r="N5" i="4" s="1"/>
  <c r="Q5" i="4"/>
  <c r="Q103" i="2"/>
  <c r="Q104" i="2" s="1"/>
  <c r="R112" i="4"/>
  <c r="Q103" i="4"/>
  <c r="Q104" i="4" s="1"/>
  <c r="R126" i="2"/>
  <c r="R26" i="2"/>
  <c r="R42" i="4"/>
  <c r="R44" i="4" s="1"/>
  <c r="R71" i="4"/>
  <c r="R77" i="4" s="1"/>
  <c r="R116" i="2"/>
  <c r="R73" i="2"/>
  <c r="R42" i="2"/>
  <c r="R44" i="2" s="1"/>
  <c r="R71" i="2"/>
  <c r="R77" i="2" s="1"/>
  <c r="R90" i="2"/>
  <c r="R60" i="2"/>
  <c r="R62" i="2" s="1"/>
  <c r="R48" i="2"/>
  <c r="R50" i="2" s="1"/>
  <c r="R30" i="2"/>
  <c r="R32" i="2" s="1"/>
  <c r="R19" i="2"/>
  <c r="R9" i="2"/>
  <c r="R5" i="2"/>
  <c r="S101" i="4"/>
  <c r="R101" i="4"/>
  <c r="R60" i="4"/>
  <c r="R62" i="4" s="1"/>
  <c r="R48" i="4"/>
  <c r="R50" i="4" s="1"/>
  <c r="R30" i="4"/>
  <c r="R32" i="4" s="1"/>
  <c r="R19" i="4"/>
  <c r="R9" i="4"/>
  <c r="S13" i="4"/>
  <c r="R5" i="4"/>
  <c r="R134" i="4" s="1"/>
  <c r="R137" i="4" s="1"/>
  <c r="R93" i="4"/>
  <c r="R94" i="4" s="1"/>
  <c r="R116" i="4"/>
  <c r="R122" i="4"/>
  <c r="R126" i="4"/>
  <c r="R73" i="4"/>
  <c r="R101" i="2"/>
  <c r="R112" i="2"/>
  <c r="R93" i="2"/>
  <c r="R94" i="2" s="1"/>
  <c r="S101" i="2"/>
  <c r="R122" i="2"/>
  <c r="AH124" i="4"/>
  <c r="AF124" i="4"/>
  <c r="AD124" i="4"/>
  <c r="AB124" i="4"/>
  <c r="Z124" i="4"/>
  <c r="X124" i="4"/>
  <c r="V124" i="4"/>
  <c r="T120" i="4"/>
  <c r="T124" i="4"/>
  <c r="AH114" i="4"/>
  <c r="AF114" i="4"/>
  <c r="AD114" i="4"/>
  <c r="AB114" i="4"/>
  <c r="Z114" i="4"/>
  <c r="X114" i="4"/>
  <c r="V114" i="4"/>
  <c r="T114" i="4"/>
  <c r="N13" i="2" l="1"/>
  <c r="N134" i="2"/>
  <c r="N137" i="2" s="1"/>
  <c r="N138" i="2" s="1"/>
  <c r="R13" i="2"/>
  <c r="R134" i="2"/>
  <c r="R137" i="2" s="1"/>
  <c r="L13" i="2"/>
  <c r="L134" i="2"/>
  <c r="L137" i="2" s="1"/>
  <c r="L138" i="2" s="1"/>
  <c r="Q13" i="2"/>
  <c r="Q15" i="2" s="1"/>
  <c r="Q134" i="2"/>
  <c r="Q137" i="2" s="1"/>
  <c r="Q138" i="2" s="1"/>
  <c r="S137" i="4"/>
  <c r="S138" i="4" s="1"/>
  <c r="R138" i="4"/>
  <c r="Q13" i="4"/>
  <c r="Q15" i="4" s="1"/>
  <c r="Q134" i="4"/>
  <c r="Q137" i="4" s="1"/>
  <c r="Q138" i="4" s="1"/>
  <c r="N13" i="4"/>
  <c r="N134" i="4"/>
  <c r="N137" i="4" s="1"/>
  <c r="N138" i="4" s="1"/>
  <c r="R132" i="4"/>
  <c r="R141" i="4" s="1"/>
  <c r="R142" i="4" s="1"/>
  <c r="R132" i="2"/>
  <c r="R141" i="2" s="1"/>
  <c r="R142" i="2" s="1"/>
  <c r="R13" i="4"/>
  <c r="T140" i="2"/>
  <c r="T130" i="2"/>
  <c r="T120" i="2"/>
  <c r="T110" i="2"/>
  <c r="U100" i="2"/>
  <c r="U98" i="2"/>
  <c r="T97" i="2"/>
  <c r="T98" i="2" s="1"/>
  <c r="T92" i="2"/>
  <c r="T89" i="2"/>
  <c r="T88" i="2"/>
  <c r="T83" i="2"/>
  <c r="T84" i="2" s="1"/>
  <c r="T86" i="2" s="1"/>
  <c r="T70" i="2"/>
  <c r="T69" i="2"/>
  <c r="T67" i="2"/>
  <c r="U60" i="2"/>
  <c r="U62" i="2" s="1"/>
  <c r="T58" i="2"/>
  <c r="T60" i="2" s="1"/>
  <c r="T62" i="2" s="1"/>
  <c r="U48" i="2"/>
  <c r="U50" i="2" s="1"/>
  <c r="T46" i="2"/>
  <c r="U42" i="2"/>
  <c r="U44" i="2" s="1"/>
  <c r="T40" i="2"/>
  <c r="T42" i="2" s="1"/>
  <c r="T44" i="2" s="1"/>
  <c r="U30" i="2"/>
  <c r="U32" i="2" s="1"/>
  <c r="T28" i="2"/>
  <c r="U26" i="2"/>
  <c r="T23" i="2"/>
  <c r="T21" i="2"/>
  <c r="T26" i="2" s="1"/>
  <c r="U19" i="2"/>
  <c r="T18" i="2"/>
  <c r="T17" i="2"/>
  <c r="U9" i="2"/>
  <c r="U5" i="2"/>
  <c r="T8" i="2"/>
  <c r="T7" i="2"/>
  <c r="T4" i="2"/>
  <c r="T3" i="2"/>
  <c r="R138" i="2" l="1"/>
  <c r="S137" i="2"/>
  <c r="S138" i="2" s="1"/>
  <c r="U13" i="2"/>
  <c r="U134" i="2"/>
  <c r="U137" i="2" s="1"/>
  <c r="U138" i="2" s="1"/>
  <c r="P103" i="2"/>
  <c r="P104" i="2" s="1"/>
  <c r="L74" i="2"/>
  <c r="L75" i="2" s="1"/>
  <c r="L79" i="2" s="1"/>
  <c r="L103" i="2"/>
  <c r="L104" i="2" s="1"/>
  <c r="T126" i="2"/>
  <c r="T90" i="2"/>
  <c r="T5" i="2"/>
  <c r="U101" i="2"/>
  <c r="T9" i="2"/>
  <c r="T48" i="2"/>
  <c r="T50" i="2" s="1"/>
  <c r="T101" i="2"/>
  <c r="T30" i="2"/>
  <c r="T32" i="2" s="1"/>
  <c r="T112" i="2"/>
  <c r="T116" i="2"/>
  <c r="R103" i="2"/>
  <c r="T19" i="2"/>
  <c r="T93" i="2"/>
  <c r="T94" i="2" s="1"/>
  <c r="T71" i="2"/>
  <c r="T77" i="2" s="1"/>
  <c r="T122" i="2"/>
  <c r="T73" i="2"/>
  <c r="T140" i="4"/>
  <c r="T130" i="4"/>
  <c r="T110" i="4"/>
  <c r="U100" i="4"/>
  <c r="T97" i="4"/>
  <c r="T98" i="4" s="1"/>
  <c r="T101" i="4" s="1"/>
  <c r="U98" i="4"/>
  <c r="T92" i="4"/>
  <c r="T89" i="4"/>
  <c r="T88" i="4"/>
  <c r="T83" i="4"/>
  <c r="T84" i="4" s="1"/>
  <c r="T86" i="4" s="1"/>
  <c r="T70" i="4"/>
  <c r="T69" i="4"/>
  <c r="T67" i="4"/>
  <c r="U60" i="4"/>
  <c r="U62" i="4" s="1"/>
  <c r="T58" i="4"/>
  <c r="T60" i="4" s="1"/>
  <c r="T62" i="4" s="1"/>
  <c r="U48" i="4"/>
  <c r="U50" i="4" s="1"/>
  <c r="T46" i="4"/>
  <c r="T40" i="4"/>
  <c r="T42" i="4" s="1"/>
  <c r="T44" i="4" s="1"/>
  <c r="U42" i="4"/>
  <c r="U44" i="4" s="1"/>
  <c r="U30" i="4"/>
  <c r="U32" i="4" s="1"/>
  <c r="T28" i="4"/>
  <c r="T30" i="4" s="1"/>
  <c r="T32" i="4" s="1"/>
  <c r="P11" i="2" l="1"/>
  <c r="P14" i="2" s="1"/>
  <c r="P15" i="2" s="1"/>
  <c r="N11" i="2"/>
  <c r="N14" i="2" s="1"/>
  <c r="N15" i="2" s="1"/>
  <c r="L11" i="2"/>
  <c r="L14" i="2" s="1"/>
  <c r="L15" i="2" s="1"/>
  <c r="T13" i="2"/>
  <c r="T134" i="2"/>
  <c r="T137" i="2" s="1"/>
  <c r="T138" i="2" s="1"/>
  <c r="R11" i="2"/>
  <c r="R14" i="2" s="1"/>
  <c r="R15" i="2" s="1"/>
  <c r="T71" i="4"/>
  <c r="T77" i="4" s="1"/>
  <c r="P103" i="4"/>
  <c r="P104" i="4" s="1"/>
  <c r="L74" i="4"/>
  <c r="L75" i="4" s="1"/>
  <c r="L79" i="4" s="1"/>
  <c r="L103" i="4"/>
  <c r="L104" i="4" s="1"/>
  <c r="T90" i="4"/>
  <c r="U101" i="4"/>
  <c r="S11" i="2"/>
  <c r="S14" i="2" s="1"/>
  <c r="S15" i="2" s="1"/>
  <c r="T132" i="2"/>
  <c r="T141" i="2" s="1"/>
  <c r="T142" i="2" s="1"/>
  <c r="T48" i="4"/>
  <c r="T50" i="4" s="1"/>
  <c r="T93" i="4"/>
  <c r="T94" i="4" s="1"/>
  <c r="T122" i="4"/>
  <c r="R103" i="4"/>
  <c r="T126" i="4"/>
  <c r="T116" i="4"/>
  <c r="T112" i="4"/>
  <c r="T73" i="4"/>
  <c r="S103" i="2"/>
  <c r="S104" i="2" s="1"/>
  <c r="R104" i="2"/>
  <c r="U26" i="4"/>
  <c r="T23" i="4"/>
  <c r="T21" i="4"/>
  <c r="T26" i="4" s="1"/>
  <c r="U19" i="4"/>
  <c r="T18" i="4"/>
  <c r="T17" i="4"/>
  <c r="T19" i="4" l="1"/>
  <c r="S103" i="4"/>
  <c r="S104" i="4" s="1"/>
  <c r="R104" i="4"/>
  <c r="U9" i="4"/>
  <c r="T8" i="4"/>
  <c r="T7" i="4"/>
  <c r="U5" i="4"/>
  <c r="T4" i="4"/>
  <c r="T3" i="4"/>
  <c r="T9" i="4" l="1"/>
  <c r="T132" i="4" s="1"/>
  <c r="T141" i="4" s="1"/>
  <c r="T142" i="4" s="1"/>
  <c r="U13" i="4"/>
  <c r="U134" i="4"/>
  <c r="U137" i="4" s="1"/>
  <c r="U138" i="4" s="1"/>
  <c r="T5" i="4"/>
  <c r="N11" i="4" l="1"/>
  <c r="N14" i="4" s="1"/>
  <c r="N15" i="4" s="1"/>
  <c r="T13" i="4"/>
  <c r="T134" i="4"/>
  <c r="T137" i="4" s="1"/>
  <c r="T138" i="4" s="1"/>
  <c r="L11" i="4"/>
  <c r="L14" i="4" s="1"/>
  <c r="L15" i="4" s="1"/>
  <c r="P11" i="4"/>
  <c r="P14" i="4" s="1"/>
  <c r="P15" i="4" s="1"/>
  <c r="S11" i="4"/>
  <c r="S14" i="4" s="1"/>
  <c r="S15" i="4" s="1"/>
  <c r="R11" i="4"/>
  <c r="R14" i="4" s="1"/>
  <c r="R15" i="4" s="1"/>
  <c r="V140" i="2"/>
  <c r="V130" i="2"/>
  <c r="V120" i="2"/>
  <c r="V110" i="2"/>
  <c r="W100" i="2"/>
  <c r="V100" i="2"/>
  <c r="W98" i="2"/>
  <c r="V97" i="2"/>
  <c r="V98" i="2" s="1"/>
  <c r="V92" i="2"/>
  <c r="V89" i="2"/>
  <c r="V88" i="2"/>
  <c r="V83" i="2"/>
  <c r="V84" i="2" s="1"/>
  <c r="V86" i="2" s="1"/>
  <c r="V70" i="2"/>
  <c r="V69" i="2"/>
  <c r="V67" i="2"/>
  <c r="W60" i="2"/>
  <c r="W62" i="2" s="1"/>
  <c r="V58" i="2"/>
  <c r="W48" i="2"/>
  <c r="W50" i="2" s="1"/>
  <c r="V46" i="2"/>
  <c r="W42" i="2"/>
  <c r="W44" i="2" s="1"/>
  <c r="V40" i="2"/>
  <c r="V42" i="2" s="1"/>
  <c r="V44" i="2" s="1"/>
  <c r="W30" i="2"/>
  <c r="W32" i="2" s="1"/>
  <c r="V28" i="2"/>
  <c r="V30" i="2" s="1"/>
  <c r="V32" i="2" s="1"/>
  <c r="W26" i="2"/>
  <c r="V23" i="2"/>
  <c r="V21" i="2"/>
  <c r="V26" i="2" s="1"/>
  <c r="W19" i="2"/>
  <c r="V18" i="2"/>
  <c r="V17" i="2"/>
  <c r="W9" i="2"/>
  <c r="V8" i="2"/>
  <c r="V7" i="2"/>
  <c r="W5" i="2"/>
  <c r="V4" i="2"/>
  <c r="V3" i="2"/>
  <c r="V100" i="4"/>
  <c r="W100" i="4"/>
  <c r="V97" i="4"/>
  <c r="V98" i="4" s="1"/>
  <c r="W98" i="4"/>
  <c r="W134" i="2" l="1"/>
  <c r="W137" i="2" s="1"/>
  <c r="W138" i="2" s="1"/>
  <c r="V126" i="2"/>
  <c r="N74" i="2"/>
  <c r="N75" i="2" s="1"/>
  <c r="N79" i="2" s="1"/>
  <c r="V71" i="2"/>
  <c r="V77" i="2" s="1"/>
  <c r="V9" i="2"/>
  <c r="V132" i="2" s="1"/>
  <c r="V141" i="2" s="1"/>
  <c r="V142" i="2" s="1"/>
  <c r="V90" i="2"/>
  <c r="V48" i="2"/>
  <c r="V50" i="2" s="1"/>
  <c r="V19" i="2"/>
  <c r="W101" i="4"/>
  <c r="W101" i="2"/>
  <c r="V60" i="2"/>
  <c r="V62" i="2" s="1"/>
  <c r="U11" i="2"/>
  <c r="U14" i="2" s="1"/>
  <c r="U15" i="2" s="1"/>
  <c r="V122" i="2"/>
  <c r="V116" i="2"/>
  <c r="U103" i="2"/>
  <c r="U104" i="2" s="1"/>
  <c r="V112" i="2"/>
  <c r="V101" i="2"/>
  <c r="V5" i="2"/>
  <c r="V134" i="2" s="1"/>
  <c r="V137" i="2" s="1"/>
  <c r="V138" i="2" s="1"/>
  <c r="W13" i="2"/>
  <c r="V73" i="2"/>
  <c r="V93" i="2"/>
  <c r="V94" i="2" s="1"/>
  <c r="V58" i="4"/>
  <c r="W60" i="4"/>
  <c r="W62" i="4" s="1"/>
  <c r="V46" i="4"/>
  <c r="W48" i="4"/>
  <c r="W50" i="4" s="1"/>
  <c r="V40" i="4"/>
  <c r="W42" i="4"/>
  <c r="W44" i="4" s="1"/>
  <c r="V28" i="4"/>
  <c r="W30" i="4"/>
  <c r="W32" i="4" s="1"/>
  <c r="W26" i="4"/>
  <c r="V21" i="4"/>
  <c r="V26" i="4" s="1"/>
  <c r="V18" i="4"/>
  <c r="V17" i="4"/>
  <c r="W19" i="4"/>
  <c r="V13" i="2" l="1"/>
  <c r="W9" i="4"/>
  <c r="W5" i="4"/>
  <c r="U11" i="4" l="1"/>
  <c r="U14" i="4" s="1"/>
  <c r="U15" i="4" s="1"/>
  <c r="W13" i="4"/>
  <c r="V8" i="4" l="1"/>
  <c r="V7" i="4"/>
  <c r="V4" i="4"/>
  <c r="V3" i="4"/>
  <c r="V140" i="4"/>
  <c r="V130" i="4"/>
  <c r="V120" i="4"/>
  <c r="V110" i="4"/>
  <c r="V92" i="4"/>
  <c r="V89" i="4"/>
  <c r="V88" i="4"/>
  <c r="V83" i="4"/>
  <c r="V84" i="4" s="1"/>
  <c r="V86" i="4" s="1"/>
  <c r="V70" i="4"/>
  <c r="V69" i="4"/>
  <c r="V71" i="4" s="1"/>
  <c r="V77" i="4" s="1"/>
  <c r="V67" i="4"/>
  <c r="N74" i="4" s="1"/>
  <c r="N75" i="4" s="1"/>
  <c r="N79" i="4" s="1"/>
  <c r="V60" i="4"/>
  <c r="V62" i="4" s="1"/>
  <c r="V48" i="4"/>
  <c r="V50" i="4" s="1"/>
  <c r="V42" i="4"/>
  <c r="V44" i="4" s="1"/>
  <c r="V23" i="4"/>
  <c r="V90" i="4" l="1"/>
  <c r="W134" i="4"/>
  <c r="W137" i="4" s="1"/>
  <c r="W138" i="4" s="1"/>
  <c r="V93" i="4"/>
  <c r="V94" i="4" s="1"/>
  <c r="V116" i="4"/>
  <c r="V126" i="4"/>
  <c r="U103" i="4"/>
  <c r="U104" i="4" s="1"/>
  <c r="V122" i="4"/>
  <c r="V73" i="4"/>
  <c r="V112" i="4"/>
  <c r="V30" i="4"/>
  <c r="V32" i="4" s="1"/>
  <c r="V9" i="4"/>
  <c r="V132" i="4" s="1"/>
  <c r="V141" i="4" s="1"/>
  <c r="V142" i="4" s="1"/>
  <c r="V19" i="4"/>
  <c r="V5" i="4"/>
  <c r="V101" i="4"/>
  <c r="AA136" i="4"/>
  <c r="AA136" i="2"/>
  <c r="Y136" i="4"/>
  <c r="V13" i="4" l="1"/>
  <c r="V134" i="4"/>
  <c r="V137" i="4" s="1"/>
  <c r="V138" i="4" s="1"/>
  <c r="Y100" i="4"/>
  <c r="AG100" i="4"/>
  <c r="Y98" i="4"/>
  <c r="Y60" i="4"/>
  <c r="Y62" i="4" s="1"/>
  <c r="Y42" i="4"/>
  <c r="Y44" i="4" s="1"/>
  <c r="Y48" i="4"/>
  <c r="Y50" i="4" s="1"/>
  <c r="Y30" i="4"/>
  <c r="Y32" i="4" s="1"/>
  <c r="Y26" i="4"/>
  <c r="Y101" i="4" l="1"/>
  <c r="X58" i="4"/>
  <c r="X46" i="4"/>
  <c r="X58" i="2"/>
  <c r="X46" i="2"/>
  <c r="X40" i="2"/>
  <c r="X42" i="2" s="1"/>
  <c r="X44" i="2" s="1"/>
  <c r="X28" i="2"/>
  <c r="X30" i="2" s="1"/>
  <c r="X32" i="2" s="1"/>
  <c r="X40" i="4"/>
  <c r="X28" i="4"/>
  <c r="X23" i="4"/>
  <c r="X23" i="2"/>
  <c r="X4" i="2"/>
  <c r="X4" i="4"/>
  <c r="Y19" i="4"/>
  <c r="Y9" i="4"/>
  <c r="Y5" i="4"/>
  <c r="Y136" i="2"/>
  <c r="X140" i="2"/>
  <c r="X130" i="2"/>
  <c r="X120" i="2"/>
  <c r="X110" i="2"/>
  <c r="Y100" i="2"/>
  <c r="X100" i="2"/>
  <c r="Y98" i="2"/>
  <c r="X97" i="2"/>
  <c r="X98" i="2" s="1"/>
  <c r="X92" i="2"/>
  <c r="X89" i="2"/>
  <c r="X88" i="2"/>
  <c r="X83" i="2"/>
  <c r="X84" i="2" s="1"/>
  <c r="X86" i="2" s="1"/>
  <c r="X70" i="2"/>
  <c r="X69" i="2"/>
  <c r="X67" i="2"/>
  <c r="P74" i="2" s="1"/>
  <c r="P75" i="2" s="1"/>
  <c r="P79" i="2" s="1"/>
  <c r="Y60" i="2"/>
  <c r="Y62" i="2" s="1"/>
  <c r="Y48" i="2"/>
  <c r="Y50" i="2" s="1"/>
  <c r="Y42" i="2"/>
  <c r="Y44" i="2" s="1"/>
  <c r="Y30" i="2"/>
  <c r="Y32" i="2" s="1"/>
  <c r="Y26" i="2"/>
  <c r="X21" i="2"/>
  <c r="X26" i="2" s="1"/>
  <c r="Y19" i="2"/>
  <c r="X18" i="2"/>
  <c r="X17" i="2"/>
  <c r="Y9" i="2"/>
  <c r="X8" i="2"/>
  <c r="X7" i="2"/>
  <c r="Y5" i="2"/>
  <c r="X3" i="2"/>
  <c r="Y13" i="2" l="1"/>
  <c r="Y134" i="2"/>
  <c r="Y137" i="2" s="1"/>
  <c r="Y138" i="2" s="1"/>
  <c r="X126" i="2"/>
  <c r="X71" i="2"/>
  <c r="X77" i="2" s="1"/>
  <c r="W11" i="4"/>
  <c r="W14" i="4" s="1"/>
  <c r="W15" i="4" s="1"/>
  <c r="X122" i="2"/>
  <c r="X116" i="2"/>
  <c r="W103" i="2"/>
  <c r="W104" i="2" s="1"/>
  <c r="X48" i="2"/>
  <c r="X50" i="2" s="1"/>
  <c r="Y14" i="2"/>
  <c r="X90" i="2"/>
  <c r="X60" i="2"/>
  <c r="X62" i="2" s="1"/>
  <c r="Y13" i="4"/>
  <c r="X9" i="2"/>
  <c r="X19" i="2"/>
  <c r="X5" i="2"/>
  <c r="X134" i="2" s="1"/>
  <c r="X137" i="2" s="1"/>
  <c r="X138" i="2" s="1"/>
  <c r="X112" i="2"/>
  <c r="X101" i="2"/>
  <c r="X73" i="2"/>
  <c r="X93" i="2"/>
  <c r="X94" i="2" s="1"/>
  <c r="Y101" i="2"/>
  <c r="X140" i="4"/>
  <c r="X130" i="4"/>
  <c r="X120" i="4"/>
  <c r="X110" i="4"/>
  <c r="X100" i="4"/>
  <c r="X97" i="4"/>
  <c r="X98" i="4" s="1"/>
  <c r="X92" i="4"/>
  <c r="X89" i="4"/>
  <c r="X88" i="4"/>
  <c r="X83" i="4"/>
  <c r="X84" i="4" s="1"/>
  <c r="X86" i="4" s="1"/>
  <c r="X70" i="4"/>
  <c r="X69" i="4"/>
  <c r="X67" i="4"/>
  <c r="P74" i="4" s="1"/>
  <c r="P75" i="4" s="1"/>
  <c r="P79" i="4" s="1"/>
  <c r="X60" i="4"/>
  <c r="X62" i="4" s="1"/>
  <c r="X48" i="4"/>
  <c r="X50" i="4" s="1"/>
  <c r="X42" i="4"/>
  <c r="X44" i="4" s="1"/>
  <c r="X30" i="4"/>
  <c r="X32" i="4" s="1"/>
  <c r="X21" i="4"/>
  <c r="X26" i="4" s="1"/>
  <c r="X18" i="4"/>
  <c r="X17" i="4"/>
  <c r="X8" i="4"/>
  <c r="X7" i="4"/>
  <c r="X3" i="4"/>
  <c r="X5" i="4" s="1"/>
  <c r="Y15" i="2" l="1"/>
  <c r="X13" i="4"/>
  <c r="X134" i="4"/>
  <c r="Y134" i="4"/>
  <c r="Y137" i="4" s="1"/>
  <c r="Y138" i="4" s="1"/>
  <c r="X126" i="4"/>
  <c r="X116" i="4"/>
  <c r="W103" i="4"/>
  <c r="W104" i="4" s="1"/>
  <c r="X122" i="4"/>
  <c r="X71" i="4"/>
  <c r="X77" i="4" s="1"/>
  <c r="X132" i="2"/>
  <c r="X141" i="2" s="1"/>
  <c r="X142" i="2" s="1"/>
  <c r="X13" i="2"/>
  <c r="X90" i="4"/>
  <c r="X9" i="4"/>
  <c r="X19" i="4"/>
  <c r="X101" i="4"/>
  <c r="X73" i="4"/>
  <c r="X112" i="4"/>
  <c r="X93" i="4"/>
  <c r="X94" i="4" s="1"/>
  <c r="AI19" i="4"/>
  <c r="X132" i="4" l="1"/>
  <c r="X141" i="4" s="1"/>
  <c r="X142" i="4" s="1"/>
  <c r="X137" i="4"/>
  <c r="X138" i="4" s="1"/>
  <c r="Z3" i="4" l="1"/>
  <c r="Z140" i="2" l="1"/>
  <c r="Z130" i="2"/>
  <c r="Z120" i="2"/>
  <c r="Z110" i="2"/>
  <c r="Z100" i="2"/>
  <c r="AA100" i="2" s="1"/>
  <c r="AA98" i="2"/>
  <c r="Z97" i="2"/>
  <c r="Z98" i="2" s="1"/>
  <c r="Z92" i="2"/>
  <c r="Z89" i="2"/>
  <c r="Z88" i="2"/>
  <c r="Z83" i="2"/>
  <c r="Z84" i="2" s="1"/>
  <c r="Z86" i="2" s="1"/>
  <c r="Z70" i="2"/>
  <c r="Z69" i="2"/>
  <c r="Z67" i="2"/>
  <c r="Z126" i="2" s="1"/>
  <c r="Z61" i="2"/>
  <c r="AA60" i="2"/>
  <c r="AA62" i="2" s="1"/>
  <c r="Z58" i="2"/>
  <c r="Z49" i="2"/>
  <c r="AA48" i="2"/>
  <c r="AA50" i="2" s="1"/>
  <c r="Z46" i="2"/>
  <c r="Z43" i="2"/>
  <c r="AA42" i="2"/>
  <c r="AA44" i="2" s="1"/>
  <c r="Z40" i="2"/>
  <c r="Z31" i="2"/>
  <c r="AA30" i="2"/>
  <c r="AA32" i="2" s="1"/>
  <c r="Z28" i="2"/>
  <c r="AA26" i="2"/>
  <c r="Z24" i="2"/>
  <c r="Z23" i="2"/>
  <c r="Z21" i="2"/>
  <c r="AA19" i="2"/>
  <c r="Z18" i="2"/>
  <c r="Z17" i="2"/>
  <c r="AA9" i="2"/>
  <c r="Z8" i="2"/>
  <c r="Z7" i="2"/>
  <c r="AA5" i="2"/>
  <c r="Z4" i="2"/>
  <c r="Z3" i="2"/>
  <c r="Z71" i="2" l="1"/>
  <c r="Z77" i="2" s="1"/>
  <c r="AA134" i="2"/>
  <c r="Z30" i="2"/>
  <c r="Z32" i="2" s="1"/>
  <c r="Z48" i="2"/>
  <c r="Z50" i="2" s="1"/>
  <c r="AA101" i="2"/>
  <c r="Z26" i="2"/>
  <c r="Z60" i="2"/>
  <c r="Z62" i="2" s="1"/>
  <c r="Z90" i="2"/>
  <c r="W11" i="2"/>
  <c r="W14" i="2" s="1"/>
  <c r="W15" i="2" s="1"/>
  <c r="Z116" i="2"/>
  <c r="R74" i="2"/>
  <c r="R75" i="2" s="1"/>
  <c r="R79" i="2" s="1"/>
  <c r="V103" i="2"/>
  <c r="V104" i="2" s="1"/>
  <c r="Y103" i="2"/>
  <c r="Y104" i="2" s="1"/>
  <c r="AA13" i="2"/>
  <c r="Z42" i="2"/>
  <c r="Z44" i="2" s="1"/>
  <c r="Z9" i="2"/>
  <c r="Z19" i="2"/>
  <c r="Z5" i="2"/>
  <c r="Z134" i="2" s="1"/>
  <c r="Z137" i="2" s="1"/>
  <c r="Z73" i="2"/>
  <c r="Z122" i="2"/>
  <c r="Z112" i="2"/>
  <c r="Z93" i="2"/>
  <c r="Z94" i="2" s="1"/>
  <c r="Z101" i="2"/>
  <c r="Z138" i="2" l="1"/>
  <c r="AA137" i="2"/>
  <c r="AA138" i="2" s="1"/>
  <c r="Z132" i="2"/>
  <c r="Z141" i="2" s="1"/>
  <c r="Z142" i="2" s="1"/>
  <c r="Z13" i="2"/>
  <c r="AA60" i="4"/>
  <c r="AA62" i="4" s="1"/>
  <c r="Z61" i="4"/>
  <c r="Z58" i="4"/>
  <c r="AA42" i="4"/>
  <c r="AA44" i="4" s="1"/>
  <c r="Z43" i="4"/>
  <c r="Z40" i="4"/>
  <c r="AA48" i="4"/>
  <c r="AA50" i="4" s="1"/>
  <c r="Z49" i="4"/>
  <c r="Z46" i="4"/>
  <c r="Z48" i="4" s="1"/>
  <c r="Z31" i="4"/>
  <c r="AA30" i="4"/>
  <c r="AA32" i="4" s="1"/>
  <c r="Z28" i="4"/>
  <c r="Z30" i="4" s="1"/>
  <c r="Z50" i="4" l="1"/>
  <c r="Z60" i="4"/>
  <c r="Z62" i="4" s="1"/>
  <c r="Z32" i="4"/>
  <c r="Z42" i="4"/>
  <c r="Z44" i="4" s="1"/>
  <c r="Z140" i="4"/>
  <c r="Z130" i="4"/>
  <c r="Z120" i="4" l="1"/>
  <c r="Z110" i="4"/>
  <c r="Z100" i="4"/>
  <c r="AA100" i="4" s="1"/>
  <c r="AA98" i="4"/>
  <c r="Z97" i="4"/>
  <c r="Z98" i="4" s="1"/>
  <c r="Z92" i="4"/>
  <c r="Z89" i="4"/>
  <c r="Z88" i="4"/>
  <c r="Z90" i="4" s="1"/>
  <c r="Z83" i="4"/>
  <c r="Z84" i="4" s="1"/>
  <c r="Z86" i="4" s="1"/>
  <c r="Z70" i="4"/>
  <c r="Z69" i="4"/>
  <c r="Z67" i="4"/>
  <c r="AA26" i="4"/>
  <c r="Z24" i="4"/>
  <c r="Z23" i="4"/>
  <c r="Z21" i="4"/>
  <c r="AA19" i="4"/>
  <c r="Z18" i="4"/>
  <c r="Z17" i="4"/>
  <c r="Z4" i="4"/>
  <c r="AA9" i="4"/>
  <c r="AA5" i="4"/>
  <c r="AA134" i="4" s="1"/>
  <c r="Z8" i="4"/>
  <c r="Z7" i="4"/>
  <c r="Z71" i="4" l="1"/>
  <c r="Z77" i="4" s="1"/>
  <c r="Y11" i="4"/>
  <c r="R74" i="4"/>
  <c r="R75" i="4" s="1"/>
  <c r="R79" i="4" s="1"/>
  <c r="Z116" i="4"/>
  <c r="Z126" i="4"/>
  <c r="V103" i="4"/>
  <c r="V104" i="4" s="1"/>
  <c r="AA101" i="4"/>
  <c r="Z19" i="4"/>
  <c r="Z101" i="4"/>
  <c r="Z26" i="4"/>
  <c r="AA13" i="4"/>
  <c r="Z122" i="4"/>
  <c r="Y103" i="4"/>
  <c r="Y104" i="4" s="1"/>
  <c r="Z112" i="4"/>
  <c r="Z73" i="4"/>
  <c r="Z93" i="4"/>
  <c r="Z94" i="4" s="1"/>
  <c r="Z9" i="4"/>
  <c r="Z5" i="4"/>
  <c r="Z134" i="4" s="1"/>
  <c r="Z137" i="4" s="1"/>
  <c r="AA137" i="4" s="1"/>
  <c r="AA138" i="4" s="1"/>
  <c r="AH120" i="2"/>
  <c r="AF120" i="2"/>
  <c r="AD120" i="2"/>
  <c r="AB120" i="2"/>
  <c r="AH110" i="2"/>
  <c r="AF110" i="2"/>
  <c r="AD110" i="2"/>
  <c r="AB110" i="2"/>
  <c r="AH110" i="4"/>
  <c r="AF110" i="4"/>
  <c r="AD110" i="4"/>
  <c r="AB110" i="4"/>
  <c r="Z138" i="4" l="1"/>
  <c r="Y14" i="4"/>
  <c r="Y15" i="4" s="1"/>
  <c r="Z13" i="4"/>
  <c r="Z132" i="4"/>
  <c r="Z141" i="4" s="1"/>
  <c r="Z142" i="4" s="1"/>
  <c r="AH120" i="4"/>
  <c r="AF120" i="4"/>
  <c r="AD120" i="4"/>
  <c r="AB120" i="4"/>
  <c r="AP140" i="4" l="1"/>
  <c r="AN140" i="4"/>
  <c r="AL140" i="4"/>
  <c r="AJ140" i="4"/>
  <c r="AH140" i="4"/>
  <c r="AF140" i="4"/>
  <c r="AD140" i="4"/>
  <c r="AQ136" i="4"/>
  <c r="AO136" i="4"/>
  <c r="AM136" i="4"/>
  <c r="AK136" i="4"/>
  <c r="AI136" i="4"/>
  <c r="AG136" i="4"/>
  <c r="AE136" i="4"/>
  <c r="AB136" i="4"/>
  <c r="AP130" i="4"/>
  <c r="AQ134" i="4" s="1"/>
  <c r="AQ137" i="4" s="1"/>
  <c r="AN130" i="4"/>
  <c r="AL130" i="4"/>
  <c r="AJ130" i="4"/>
  <c r="AH130" i="4"/>
  <c r="AF130" i="4"/>
  <c r="AD130" i="4"/>
  <c r="AB130" i="4"/>
  <c r="AH100" i="4"/>
  <c r="AI100" i="4" s="1"/>
  <c r="AF100" i="4"/>
  <c r="AE100" i="4"/>
  <c r="AD100" i="4"/>
  <c r="AC100" i="4"/>
  <c r="AQ98" i="4"/>
  <c r="AO98" i="4"/>
  <c r="AO101" i="4" s="1"/>
  <c r="AM98" i="4"/>
  <c r="AK98" i="4"/>
  <c r="AI98" i="4"/>
  <c r="AG98" i="4"/>
  <c r="AE98" i="4"/>
  <c r="AC98" i="4"/>
  <c r="AP97" i="4"/>
  <c r="AP98" i="4" s="1"/>
  <c r="AN97" i="4"/>
  <c r="AN98" i="4" s="1"/>
  <c r="AL97" i="4"/>
  <c r="AL98" i="4" s="1"/>
  <c r="AJ97" i="4"/>
  <c r="AJ98" i="4" s="1"/>
  <c r="AH97" i="4"/>
  <c r="AH98" i="4" s="1"/>
  <c r="AF97" i="4"/>
  <c r="AF98" i="4" s="1"/>
  <c r="AD97" i="4"/>
  <c r="AD98" i="4" s="1"/>
  <c r="AB97" i="4"/>
  <c r="AB98" i="4" s="1"/>
  <c r="AP92" i="4"/>
  <c r="AN92" i="4"/>
  <c r="AL92" i="4"/>
  <c r="AJ92" i="4"/>
  <c r="AH92" i="4"/>
  <c r="AF92" i="4"/>
  <c r="AD92" i="4"/>
  <c r="AB92" i="4"/>
  <c r="AP89" i="4"/>
  <c r="AN89" i="4"/>
  <c r="AL89" i="4"/>
  <c r="AJ89" i="4"/>
  <c r="AH89" i="4"/>
  <c r="AF89" i="4"/>
  <c r="AD89" i="4"/>
  <c r="AB89" i="4"/>
  <c r="AP88" i="4"/>
  <c r="AN88" i="4"/>
  <c r="AL88" i="4"/>
  <c r="AJ88" i="4"/>
  <c r="AH88" i="4"/>
  <c r="AF88" i="4"/>
  <c r="AD88" i="4"/>
  <c r="AB88" i="4"/>
  <c r="AP84" i="4"/>
  <c r="AP86" i="4" s="1"/>
  <c r="AN84" i="4"/>
  <c r="AN86" i="4" s="1"/>
  <c r="AL84" i="4"/>
  <c r="AL86" i="4" s="1"/>
  <c r="AJ84" i="4"/>
  <c r="AJ86" i="4" s="1"/>
  <c r="AH83" i="4"/>
  <c r="AH84" i="4" s="1"/>
  <c r="AH86" i="4" s="1"/>
  <c r="AF83" i="4"/>
  <c r="AF84" i="4" s="1"/>
  <c r="AF86" i="4" s="1"/>
  <c r="AD83" i="4"/>
  <c r="AD84" i="4" s="1"/>
  <c r="AD86" i="4" s="1"/>
  <c r="AB83" i="4"/>
  <c r="AB84" i="4" s="1"/>
  <c r="AB86" i="4" s="1"/>
  <c r="AH70" i="4"/>
  <c r="AF70" i="4"/>
  <c r="AD70" i="4"/>
  <c r="AB70" i="4"/>
  <c r="AN69" i="4"/>
  <c r="AL69" i="4"/>
  <c r="AJ69" i="4"/>
  <c r="AJ71" i="4" s="1"/>
  <c r="AJ77" i="4" s="1"/>
  <c r="AH69" i="4"/>
  <c r="AF69" i="4"/>
  <c r="AD69" i="4"/>
  <c r="AB69" i="4"/>
  <c r="AN67" i="4"/>
  <c r="AL67" i="4"/>
  <c r="AJ67" i="4"/>
  <c r="AH67" i="4"/>
  <c r="AF67" i="4"/>
  <c r="AD67" i="4"/>
  <c r="AB67" i="4"/>
  <c r="AO26" i="4"/>
  <c r="AM26" i="4"/>
  <c r="AK26" i="4"/>
  <c r="AI26" i="4"/>
  <c r="AG26" i="4"/>
  <c r="AE26" i="4"/>
  <c r="AC26" i="4"/>
  <c r="AQ23" i="4"/>
  <c r="AO23" i="4"/>
  <c r="AM23" i="4"/>
  <c r="AK23" i="4"/>
  <c r="AI23" i="4"/>
  <c r="AG23" i="4"/>
  <c r="AE23" i="4"/>
  <c r="AB23" i="4"/>
  <c r="AP21" i="4"/>
  <c r="AP26" i="4" s="1"/>
  <c r="AN21" i="4"/>
  <c r="AN26" i="4" s="1"/>
  <c r="AL21" i="4"/>
  <c r="AL26" i="4" s="1"/>
  <c r="AJ21" i="4"/>
  <c r="AJ26" i="4" s="1"/>
  <c r="AH21" i="4"/>
  <c r="AH26" i="4" s="1"/>
  <c r="AF21" i="4"/>
  <c r="AF26" i="4" s="1"/>
  <c r="AD21" i="4"/>
  <c r="AD26" i="4" s="1"/>
  <c r="AB21" i="4"/>
  <c r="AB26" i="4" s="1"/>
  <c r="AQ19" i="4"/>
  <c r="AO19" i="4"/>
  <c r="AM19" i="4"/>
  <c r="AK19" i="4"/>
  <c r="AG19" i="4"/>
  <c r="AE19" i="4"/>
  <c r="AC19" i="4"/>
  <c r="AP18" i="4"/>
  <c r="AN18" i="4"/>
  <c r="AL18" i="4"/>
  <c r="AJ18" i="4"/>
  <c r="AH18" i="4"/>
  <c r="AF18" i="4"/>
  <c r="AD18" i="4"/>
  <c r="AB18" i="4"/>
  <c r="AP17" i="4"/>
  <c r="AN17" i="4"/>
  <c r="AL17" i="4"/>
  <c r="AJ17" i="4"/>
  <c r="AH17" i="4"/>
  <c r="AF17" i="4"/>
  <c r="AD17" i="4"/>
  <c r="AB17" i="4"/>
  <c r="AO9" i="4"/>
  <c r="AM9" i="4"/>
  <c r="AK9" i="4"/>
  <c r="AI9" i="4"/>
  <c r="AG9" i="4"/>
  <c r="AE9" i="4"/>
  <c r="AC9" i="4"/>
  <c r="AP8" i="4"/>
  <c r="AN8" i="4"/>
  <c r="AL8" i="4"/>
  <c r="AJ8" i="4"/>
  <c r="AH8" i="4"/>
  <c r="AF8" i="4"/>
  <c r="AD8" i="4"/>
  <c r="AB8" i="4"/>
  <c r="AP7" i="4"/>
  <c r="AN7" i="4"/>
  <c r="AL7" i="4"/>
  <c r="AJ7" i="4"/>
  <c r="AH7" i="4"/>
  <c r="AF7" i="4"/>
  <c r="AD7" i="4"/>
  <c r="AB7" i="4"/>
  <c r="AQ13" i="4"/>
  <c r="AQ15" i="4" s="1"/>
  <c r="AO5" i="4"/>
  <c r="AO13" i="4" s="1"/>
  <c r="AM5" i="4"/>
  <c r="AK5" i="4"/>
  <c r="AI5" i="4"/>
  <c r="AC5" i="4"/>
  <c r="AN4" i="4"/>
  <c r="AL4" i="4"/>
  <c r="AJ4" i="4"/>
  <c r="AH4" i="4"/>
  <c r="AG4" i="4" s="1"/>
  <c r="AG5" i="4" s="1"/>
  <c r="AE4" i="4"/>
  <c r="AE5" i="4" s="1"/>
  <c r="AP3" i="4"/>
  <c r="AN3" i="4"/>
  <c r="AL3" i="4"/>
  <c r="AJ3" i="4"/>
  <c r="AH3" i="4"/>
  <c r="AF3" i="4"/>
  <c r="AD3" i="4"/>
  <c r="AB3" i="4"/>
  <c r="AP140" i="2"/>
  <c r="AN140" i="2"/>
  <c r="AL140" i="2"/>
  <c r="AJ140" i="2"/>
  <c r="AH140" i="2"/>
  <c r="AF140" i="2"/>
  <c r="AD140" i="2"/>
  <c r="AQ136" i="2"/>
  <c r="AO136" i="2"/>
  <c r="AM136" i="2"/>
  <c r="AK136" i="2"/>
  <c r="AI136" i="2"/>
  <c r="AG136" i="2"/>
  <c r="AE136" i="2"/>
  <c r="AB136" i="2"/>
  <c r="AP130" i="2"/>
  <c r="AQ134" i="2" s="1"/>
  <c r="AQ137" i="2" s="1"/>
  <c r="AN130" i="2"/>
  <c r="AO134" i="2" s="1"/>
  <c r="AO137" i="2" s="1"/>
  <c r="AL130" i="2"/>
  <c r="AJ130" i="2"/>
  <c r="AH130" i="2"/>
  <c r="AF130" i="2"/>
  <c r="AD130" i="2"/>
  <c r="AB130" i="2"/>
  <c r="AH100" i="2"/>
  <c r="AI100" i="2" s="1"/>
  <c r="AG100" i="2"/>
  <c r="AF100" i="2"/>
  <c r="AE100" i="2"/>
  <c r="AD100" i="2"/>
  <c r="AC100" i="2"/>
  <c r="AQ98" i="2"/>
  <c r="AO98" i="2"/>
  <c r="AM98" i="2"/>
  <c r="AK98" i="2"/>
  <c r="AI98" i="2"/>
  <c r="AG98" i="2"/>
  <c r="AE98" i="2"/>
  <c r="AC98" i="2"/>
  <c r="AP97" i="2"/>
  <c r="AP98" i="2" s="1"/>
  <c r="AP101" i="2" s="1"/>
  <c r="AN97" i="2"/>
  <c r="AN98" i="2" s="1"/>
  <c r="AL97" i="2"/>
  <c r="AL98" i="2" s="1"/>
  <c r="AJ97" i="2"/>
  <c r="AJ98" i="2" s="1"/>
  <c r="AH97" i="2"/>
  <c r="AH98" i="2" s="1"/>
  <c r="AF97" i="2"/>
  <c r="AF98" i="2" s="1"/>
  <c r="AD97" i="2"/>
  <c r="AD98" i="2" s="1"/>
  <c r="AD101" i="2" s="1"/>
  <c r="AB97" i="2"/>
  <c r="AB98" i="2" s="1"/>
  <c r="AP92" i="2"/>
  <c r="AN92" i="2"/>
  <c r="AL92" i="2"/>
  <c r="AJ92" i="2"/>
  <c r="AH92" i="2"/>
  <c r="AF92" i="2"/>
  <c r="AD92" i="2"/>
  <c r="AB92" i="2"/>
  <c r="AP89" i="2"/>
  <c r="AN89" i="2"/>
  <c r="AL89" i="2"/>
  <c r="AJ89" i="2"/>
  <c r="AH89" i="2"/>
  <c r="AF89" i="2"/>
  <c r="AD89" i="2"/>
  <c r="AB89" i="2"/>
  <c r="AP88" i="2"/>
  <c r="AN88" i="2"/>
  <c r="AL88" i="2"/>
  <c r="AJ88" i="2"/>
  <c r="AH88" i="2"/>
  <c r="AF88" i="2"/>
  <c r="AD88" i="2"/>
  <c r="AB88" i="2"/>
  <c r="AP84" i="2"/>
  <c r="AP86" i="2" s="1"/>
  <c r="AN84" i="2"/>
  <c r="AN86" i="2" s="1"/>
  <c r="AL84" i="2"/>
  <c r="AL86" i="2" s="1"/>
  <c r="AJ84" i="2"/>
  <c r="AJ86" i="2" s="1"/>
  <c r="AH83" i="2"/>
  <c r="AH84" i="2" s="1"/>
  <c r="AH86" i="2" s="1"/>
  <c r="AF83" i="2"/>
  <c r="AF84" i="2" s="1"/>
  <c r="AF86" i="2" s="1"/>
  <c r="AD83" i="2"/>
  <c r="AD84" i="2" s="1"/>
  <c r="AD86" i="2" s="1"/>
  <c r="AB83" i="2"/>
  <c r="AB84" i="2" s="1"/>
  <c r="AB86" i="2" s="1"/>
  <c r="AH70" i="2"/>
  <c r="AF70" i="2"/>
  <c r="AD70" i="2"/>
  <c r="AB70" i="2"/>
  <c r="AP69" i="2"/>
  <c r="AN69" i="2"/>
  <c r="AL69" i="2"/>
  <c r="AJ69" i="2"/>
  <c r="AH69" i="2"/>
  <c r="AF69" i="2"/>
  <c r="AD69" i="2"/>
  <c r="AB69" i="2"/>
  <c r="AP67" i="2"/>
  <c r="AP93" i="2" s="1"/>
  <c r="AN67" i="2"/>
  <c r="AL67" i="2"/>
  <c r="AJ67" i="2"/>
  <c r="AJ73" i="2" s="1"/>
  <c r="AH67" i="2"/>
  <c r="AH126" i="2" s="1"/>
  <c r="AF67" i="2"/>
  <c r="AF126" i="2" s="1"/>
  <c r="AD67" i="2"/>
  <c r="AD126" i="2" s="1"/>
  <c r="AB67" i="2"/>
  <c r="AQ60" i="2"/>
  <c r="AQ62" i="2" s="1"/>
  <c r="AP60" i="2"/>
  <c r="AP62" i="2" s="1"/>
  <c r="AO60" i="2"/>
  <c r="AO62" i="2" s="1"/>
  <c r="AN60" i="2"/>
  <c r="AN62" i="2" s="1"/>
  <c r="AM60" i="2"/>
  <c r="AM62" i="2" s="1"/>
  <c r="AL60" i="2"/>
  <c r="AL62" i="2" s="1"/>
  <c r="AK60" i="2"/>
  <c r="AK62" i="2" s="1"/>
  <c r="AJ60" i="2"/>
  <c r="AJ62" i="2" s="1"/>
  <c r="AI60" i="2"/>
  <c r="AI62" i="2" s="1"/>
  <c r="AH60" i="2"/>
  <c r="AH62" i="2" s="1"/>
  <c r="AG60" i="2"/>
  <c r="AG62" i="2" s="1"/>
  <c r="AF60" i="2"/>
  <c r="AF62" i="2" s="1"/>
  <c r="AE60" i="2"/>
  <c r="AE62" i="2" s="1"/>
  <c r="AD60" i="2"/>
  <c r="AD62" i="2" s="1"/>
  <c r="AC60" i="2"/>
  <c r="AC62" i="2" s="1"/>
  <c r="AB58" i="2"/>
  <c r="AB60" i="2" s="1"/>
  <c r="AB62" i="2" s="1"/>
  <c r="AQ48" i="2"/>
  <c r="AQ50" i="2" s="1"/>
  <c r="AP48" i="2"/>
  <c r="AP50" i="2" s="1"/>
  <c r="AO48" i="2"/>
  <c r="AO50" i="2" s="1"/>
  <c r="AN48" i="2"/>
  <c r="AN50" i="2" s="1"/>
  <c r="AM48" i="2"/>
  <c r="AM50" i="2" s="1"/>
  <c r="AL48" i="2"/>
  <c r="AL50" i="2" s="1"/>
  <c r="AK48" i="2"/>
  <c r="AK50" i="2" s="1"/>
  <c r="AJ48" i="2"/>
  <c r="AJ50" i="2" s="1"/>
  <c r="AI48" i="2"/>
  <c r="AI50" i="2" s="1"/>
  <c r="AH48" i="2"/>
  <c r="AH50" i="2" s="1"/>
  <c r="AG48" i="2"/>
  <c r="AG50" i="2" s="1"/>
  <c r="AF48" i="2"/>
  <c r="AF50" i="2" s="1"/>
  <c r="AE48" i="2"/>
  <c r="AE50" i="2" s="1"/>
  <c r="AD48" i="2"/>
  <c r="AD50" i="2" s="1"/>
  <c r="AC48" i="2"/>
  <c r="AC50" i="2" s="1"/>
  <c r="AB46" i="2"/>
  <c r="AQ42" i="2"/>
  <c r="AQ44" i="2" s="1"/>
  <c r="AP42" i="2"/>
  <c r="AP44" i="2" s="1"/>
  <c r="AO42" i="2"/>
  <c r="AO44" i="2" s="1"/>
  <c r="AN42" i="2"/>
  <c r="AN44" i="2" s="1"/>
  <c r="AM42" i="2"/>
  <c r="AM44" i="2" s="1"/>
  <c r="AL42" i="2"/>
  <c r="AL44" i="2" s="1"/>
  <c r="AK42" i="2"/>
  <c r="AK44" i="2" s="1"/>
  <c r="AJ42" i="2"/>
  <c r="AJ44" i="2" s="1"/>
  <c r="AI42" i="2"/>
  <c r="AI44" i="2" s="1"/>
  <c r="AH42" i="2"/>
  <c r="AH44" i="2" s="1"/>
  <c r="AG42" i="2"/>
  <c r="AG44" i="2" s="1"/>
  <c r="AF42" i="2"/>
  <c r="AF44" i="2" s="1"/>
  <c r="AE42" i="2"/>
  <c r="AE44" i="2" s="1"/>
  <c r="AD42" i="2"/>
  <c r="AD44" i="2" s="1"/>
  <c r="AC42" i="2"/>
  <c r="AC44" i="2" s="1"/>
  <c r="AB40" i="2"/>
  <c r="AQ30" i="2"/>
  <c r="AQ32" i="2" s="1"/>
  <c r="AP30" i="2"/>
  <c r="AP32" i="2" s="1"/>
  <c r="AO30" i="2"/>
  <c r="AO32" i="2" s="1"/>
  <c r="AN30" i="2"/>
  <c r="AN32" i="2" s="1"/>
  <c r="AM30" i="2"/>
  <c r="AM32" i="2" s="1"/>
  <c r="AL30" i="2"/>
  <c r="AL32" i="2" s="1"/>
  <c r="AK30" i="2"/>
  <c r="AK32" i="2" s="1"/>
  <c r="AJ30" i="2"/>
  <c r="AJ32" i="2" s="1"/>
  <c r="AI30" i="2"/>
  <c r="AI32" i="2" s="1"/>
  <c r="AH30" i="2"/>
  <c r="AH32" i="2" s="1"/>
  <c r="AG30" i="2"/>
  <c r="AG32" i="2" s="1"/>
  <c r="AF30" i="2"/>
  <c r="AF32" i="2" s="1"/>
  <c r="AE30" i="2"/>
  <c r="AE32" i="2" s="1"/>
  <c r="AD30" i="2"/>
  <c r="AD32" i="2" s="1"/>
  <c r="AC30" i="2"/>
  <c r="AC32" i="2" s="1"/>
  <c r="AB28" i="2"/>
  <c r="AQ26" i="2"/>
  <c r="AO26" i="2"/>
  <c r="AM26" i="2"/>
  <c r="AK26" i="2"/>
  <c r="AI26" i="2"/>
  <c r="AG26" i="2"/>
  <c r="AE26" i="2"/>
  <c r="AC26" i="2"/>
  <c r="AQ23" i="2"/>
  <c r="AO23" i="2"/>
  <c r="AM23" i="2"/>
  <c r="AK23" i="2"/>
  <c r="AI23" i="2"/>
  <c r="AG23" i="2"/>
  <c r="AE23" i="2"/>
  <c r="AB23" i="2"/>
  <c r="AP21" i="2"/>
  <c r="AP26" i="2" s="1"/>
  <c r="AN21" i="2"/>
  <c r="AN26" i="2" s="1"/>
  <c r="AL21" i="2"/>
  <c r="AL26" i="2" s="1"/>
  <c r="AJ21" i="2"/>
  <c r="AJ26" i="2" s="1"/>
  <c r="AH21" i="2"/>
  <c r="AH26" i="2" s="1"/>
  <c r="AF21" i="2"/>
  <c r="AF26" i="2" s="1"/>
  <c r="AD21" i="2"/>
  <c r="AD26" i="2" s="1"/>
  <c r="AB21" i="2"/>
  <c r="AB26" i="2" s="1"/>
  <c r="AQ19" i="2"/>
  <c r="AO19" i="2"/>
  <c r="AM19" i="2"/>
  <c r="AK19" i="2"/>
  <c r="AI19" i="2"/>
  <c r="AG19" i="2"/>
  <c r="AE19" i="2"/>
  <c r="AC19" i="2"/>
  <c r="AP18" i="2"/>
  <c r="AN18" i="2"/>
  <c r="AL18" i="2"/>
  <c r="AJ18" i="2"/>
  <c r="AH18" i="2"/>
  <c r="AF18" i="2"/>
  <c r="AD18" i="2"/>
  <c r="AB18" i="2"/>
  <c r="AP17" i="2"/>
  <c r="AN17" i="2"/>
  <c r="AL17" i="2"/>
  <c r="AJ17" i="2"/>
  <c r="AH17" i="2"/>
  <c r="AF17" i="2"/>
  <c r="AD17" i="2"/>
  <c r="AB17" i="2"/>
  <c r="AQ9" i="2"/>
  <c r="AO9" i="2"/>
  <c r="AM9" i="2"/>
  <c r="AK9" i="2"/>
  <c r="AI9" i="2"/>
  <c r="AG9" i="2"/>
  <c r="AE9" i="2"/>
  <c r="AC9" i="2"/>
  <c r="AP8" i="2"/>
  <c r="AN8" i="2"/>
  <c r="AL8" i="2"/>
  <c r="AJ8" i="2"/>
  <c r="AH8" i="2"/>
  <c r="AF8" i="2"/>
  <c r="AD8" i="2"/>
  <c r="AB8" i="2"/>
  <c r="AP7" i="2"/>
  <c r="AN7" i="2"/>
  <c r="AL7" i="2"/>
  <c r="AJ7" i="2"/>
  <c r="AH7" i="2"/>
  <c r="AF7" i="2"/>
  <c r="AD7" i="2"/>
  <c r="AB7" i="2"/>
  <c r="AQ5" i="2"/>
  <c r="AQ13" i="2" s="1"/>
  <c r="AO5" i="2"/>
  <c r="AO13" i="2" s="1"/>
  <c r="AM5" i="2"/>
  <c r="AK5" i="2"/>
  <c r="AI5" i="2"/>
  <c r="AC5" i="2"/>
  <c r="AN4" i="2"/>
  <c r="AL4" i="2"/>
  <c r="AJ4" i="2"/>
  <c r="AH4" i="2"/>
  <c r="AG4" i="2" s="1"/>
  <c r="AG5" i="2" s="1"/>
  <c r="AE4" i="2"/>
  <c r="AE5" i="2" s="1"/>
  <c r="AP3" i="2"/>
  <c r="AN3" i="2"/>
  <c r="AL3" i="2"/>
  <c r="AJ3" i="2"/>
  <c r="AH3" i="2"/>
  <c r="AF3" i="2"/>
  <c r="AD3" i="2"/>
  <c r="AB3" i="2"/>
  <c r="AB5" i="2" s="1"/>
  <c r="AN134" i="2" l="1"/>
  <c r="AN137" i="2" s="1"/>
  <c r="AN138" i="2" s="1"/>
  <c r="AP134" i="2"/>
  <c r="AP137" i="2" s="1"/>
  <c r="AP138" i="2" s="1"/>
  <c r="AJ5" i="2"/>
  <c r="AJ134" i="2" s="1"/>
  <c r="AJ137" i="2" s="1"/>
  <c r="AJ138" i="2" s="1"/>
  <c r="AE101" i="2"/>
  <c r="AO138" i="2"/>
  <c r="AM13" i="2"/>
  <c r="AM134" i="2"/>
  <c r="AM137" i="2" s="1"/>
  <c r="AM138" i="2" s="1"/>
  <c r="AB13" i="2"/>
  <c r="AB134" i="2"/>
  <c r="AB137" i="2" s="1"/>
  <c r="AB138" i="2" s="1"/>
  <c r="AQ138" i="2"/>
  <c r="AE13" i="2"/>
  <c r="AE134" i="2"/>
  <c r="AE137" i="2" s="1"/>
  <c r="AE138" i="2" s="1"/>
  <c r="AB140" i="2"/>
  <c r="AC13" i="2"/>
  <c r="AC134" i="2"/>
  <c r="AC137" i="2" s="1"/>
  <c r="AC138" i="2" s="1"/>
  <c r="AJ9" i="2"/>
  <c r="AJ132" i="2" s="1"/>
  <c r="AJ141" i="2" s="1"/>
  <c r="AJ142" i="2" s="1"/>
  <c r="AI13" i="2"/>
  <c r="AI134" i="2"/>
  <c r="AI137" i="2" s="1"/>
  <c r="AI138" i="2" s="1"/>
  <c r="AJ19" i="2"/>
  <c r="AB126" i="2"/>
  <c r="AB103" i="2"/>
  <c r="AB104" i="2" s="1"/>
  <c r="T103" i="2"/>
  <c r="AG13" i="2"/>
  <c r="AG134" i="2"/>
  <c r="AG137" i="2" s="1"/>
  <c r="AG138" i="2" s="1"/>
  <c r="AK13" i="2"/>
  <c r="AK134" i="2"/>
  <c r="AK137" i="2" s="1"/>
  <c r="AK138" i="2" s="1"/>
  <c r="AJ73" i="4"/>
  <c r="AN134" i="4"/>
  <c r="AN137" i="4" s="1"/>
  <c r="AN138" i="4" s="1"/>
  <c r="AI13" i="4"/>
  <c r="AI134" i="4"/>
  <c r="AI137" i="4" s="1"/>
  <c r="AI138" i="4" s="1"/>
  <c r="AB140" i="4"/>
  <c r="AC13" i="4"/>
  <c r="AC134" i="4"/>
  <c r="AC137" i="4" s="1"/>
  <c r="AC138" i="4" s="1"/>
  <c r="AP5" i="4"/>
  <c r="AP13" i="4" s="1"/>
  <c r="AP134" i="4"/>
  <c r="AP137" i="4" s="1"/>
  <c r="AP138" i="4" s="1"/>
  <c r="AK13" i="4"/>
  <c r="AK134" i="4"/>
  <c r="AK137" i="4" s="1"/>
  <c r="AK138" i="4" s="1"/>
  <c r="AE13" i="4"/>
  <c r="AE134" i="4"/>
  <c r="AE137" i="4" s="1"/>
  <c r="AE138" i="4" s="1"/>
  <c r="AM13" i="4"/>
  <c r="AM134" i="4"/>
  <c r="AM137" i="4" s="1"/>
  <c r="AM138" i="4" s="1"/>
  <c r="AB103" i="4"/>
  <c r="AB104" i="4" s="1"/>
  <c r="T103" i="4"/>
  <c r="T104" i="4" s="1"/>
  <c r="AG13" i="4"/>
  <c r="AG134" i="4"/>
  <c r="AG137" i="4" s="1"/>
  <c r="AG138" i="4" s="1"/>
  <c r="AO134" i="4"/>
  <c r="AO137" i="4" s="1"/>
  <c r="AO138" i="4" s="1"/>
  <c r="AJ90" i="4"/>
  <c r="AN71" i="4"/>
  <c r="AN77" i="4" s="1"/>
  <c r="AL90" i="4"/>
  <c r="AP71" i="4"/>
  <c r="AP77" i="4" s="1"/>
  <c r="AN90" i="4"/>
  <c r="AB90" i="2"/>
  <c r="AD90" i="2"/>
  <c r="AF101" i="2"/>
  <c r="AL71" i="2"/>
  <c r="AL77" i="2" s="1"/>
  <c r="AL19" i="4"/>
  <c r="AF9" i="4"/>
  <c r="AF132" i="4" s="1"/>
  <c r="AF141" i="4" s="1"/>
  <c r="AF142" i="4" s="1"/>
  <c r="AN19" i="4"/>
  <c r="AH9" i="4"/>
  <c r="AG11" i="4" s="1"/>
  <c r="AG14" i="4" s="1"/>
  <c r="AN9" i="2"/>
  <c r="AN132" i="2" s="1"/>
  <c r="AN141" i="2" s="1"/>
  <c r="AN142" i="2" s="1"/>
  <c r="AF90" i="2"/>
  <c r="AP9" i="2"/>
  <c r="AP132" i="2" s="1"/>
  <c r="AP141" i="2" s="1"/>
  <c r="AP142" i="2" s="1"/>
  <c r="AJ101" i="2"/>
  <c r="AL104" i="2"/>
  <c r="AB19" i="2"/>
  <c r="AN90" i="2"/>
  <c r="AI101" i="2"/>
  <c r="AB71" i="2"/>
  <c r="AB77" i="2" s="1"/>
  <c r="AD19" i="2"/>
  <c r="AH90" i="2"/>
  <c r="AJ9" i="4"/>
  <c r="AB19" i="4"/>
  <c r="X103" i="4"/>
  <c r="X104" i="4" s="1"/>
  <c r="AB116" i="4"/>
  <c r="AB126" i="4"/>
  <c r="T74" i="4"/>
  <c r="T75" i="4" s="1"/>
  <c r="T79" i="4" s="1"/>
  <c r="AD126" i="4"/>
  <c r="AD116" i="4"/>
  <c r="V74" i="4"/>
  <c r="V75" i="4" s="1"/>
  <c r="V79" i="4" s="1"/>
  <c r="AP19" i="4"/>
  <c r="AH126" i="4"/>
  <c r="AH116" i="4"/>
  <c r="X74" i="4"/>
  <c r="X75" i="4" s="1"/>
  <c r="X79" i="4" s="1"/>
  <c r="AF126" i="4"/>
  <c r="AF116" i="4"/>
  <c r="AB71" i="4"/>
  <c r="AB77" i="4" s="1"/>
  <c r="AD19" i="4"/>
  <c r="AB90" i="4"/>
  <c r="AQ101" i="4"/>
  <c r="AN9" i="4"/>
  <c r="AN132" i="4" s="1"/>
  <c r="AN141" i="4" s="1"/>
  <c r="AN142" i="4" s="1"/>
  <c r="AF19" i="4"/>
  <c r="AL101" i="4"/>
  <c r="AP71" i="2"/>
  <c r="AP77" i="2" s="1"/>
  <c r="AL101" i="2"/>
  <c r="AH9" i="2"/>
  <c r="AH132" i="2" s="1"/>
  <c r="AH141" i="2" s="1"/>
  <c r="AH142" i="2" s="1"/>
  <c r="AF19" i="2"/>
  <c r="AB42" i="2"/>
  <c r="AB44" i="2" s="1"/>
  <c r="AD71" i="2"/>
  <c r="AD77" i="2" s="1"/>
  <c r="AN101" i="2"/>
  <c r="AH19" i="2"/>
  <c r="AP94" i="2"/>
  <c r="AB101" i="2"/>
  <c r="AK101" i="2"/>
  <c r="AL19" i="2"/>
  <c r="AD9" i="2"/>
  <c r="AC11" i="2" s="1"/>
  <c r="AC14" i="2" s="1"/>
  <c r="AM101" i="2"/>
  <c r="AB9" i="2"/>
  <c r="Z11" i="2" s="1"/>
  <c r="Z14" i="2" s="1"/>
  <c r="Z15" i="2" s="1"/>
  <c r="AB116" i="2"/>
  <c r="T74" i="2"/>
  <c r="T75" i="2" s="1"/>
  <c r="T79" i="2" s="1"/>
  <c r="T104" i="2"/>
  <c r="AL9" i="2"/>
  <c r="AP19" i="2"/>
  <c r="AD103" i="2"/>
  <c r="AD104" i="2" s="1"/>
  <c r="AD116" i="2"/>
  <c r="V74" i="2"/>
  <c r="V75" i="2" s="1"/>
  <c r="V79" i="2" s="1"/>
  <c r="X74" i="2"/>
  <c r="X75" i="2" s="1"/>
  <c r="X79" i="2" s="1"/>
  <c r="AF116" i="2"/>
  <c r="AB48" i="2"/>
  <c r="AB50" i="2" s="1"/>
  <c r="Z74" i="2"/>
  <c r="Z75" i="2" s="1"/>
  <c r="Z79" i="2" s="1"/>
  <c r="AH116" i="2"/>
  <c r="AB30" i="2"/>
  <c r="AB32" i="2" s="1"/>
  <c r="AL93" i="2"/>
  <c r="AL94" i="2" s="1"/>
  <c r="AC101" i="2"/>
  <c r="AD5" i="2"/>
  <c r="Z103" i="2"/>
  <c r="X103" i="2"/>
  <c r="X104" i="2" s="1"/>
  <c r="AH71" i="2"/>
  <c r="AH77" i="2" s="1"/>
  <c r="AN71" i="2"/>
  <c r="AN77" i="2" s="1"/>
  <c r="AL73" i="2"/>
  <c r="AF9" i="2"/>
  <c r="AE11" i="2" s="1"/>
  <c r="AE14" i="2" s="1"/>
  <c r="AN19" i="2"/>
  <c r="AJ71" i="2"/>
  <c r="AJ77" i="2" s="1"/>
  <c r="AJ90" i="2"/>
  <c r="AP90" i="2"/>
  <c r="AP9" i="4"/>
  <c r="AP132" i="4" s="1"/>
  <c r="AP141" i="4" s="1"/>
  <c r="AP142" i="4" s="1"/>
  <c r="AH19" i="4"/>
  <c r="AF71" i="4"/>
  <c r="AF77" i="4" s="1"/>
  <c r="AD90" i="4"/>
  <c r="AH74" i="2"/>
  <c r="AL90" i="2"/>
  <c r="AO101" i="2"/>
  <c r="AH103" i="2"/>
  <c r="AI103" i="2" s="1"/>
  <c r="AI104" i="2" s="1"/>
  <c r="AB9" i="4"/>
  <c r="Z11" i="4" s="1"/>
  <c r="Z14" i="4" s="1"/>
  <c r="Z15" i="4" s="1"/>
  <c r="AJ19" i="4"/>
  <c r="AH71" i="4"/>
  <c r="AH77" i="4" s="1"/>
  <c r="AN101" i="4"/>
  <c r="AG101" i="2"/>
  <c r="AP104" i="2"/>
  <c r="AL5" i="2"/>
  <c r="AF71" i="2"/>
  <c r="AF77" i="2" s="1"/>
  <c r="AB93" i="4"/>
  <c r="AB94" i="4" s="1"/>
  <c r="Z103" i="4"/>
  <c r="AH73" i="4"/>
  <c r="Z74" i="4"/>
  <c r="Z75" i="4" s="1"/>
  <c r="Z79" i="4" s="1"/>
  <c r="AH101" i="4"/>
  <c r="AD103" i="4"/>
  <c r="AD104" i="4" s="1"/>
  <c r="AC101" i="4"/>
  <c r="AI101" i="4"/>
  <c r="AE101" i="4"/>
  <c r="AG101" i="4"/>
  <c r="AH5" i="4"/>
  <c r="AF74" i="4"/>
  <c r="AM101" i="4"/>
  <c r="AF5" i="4"/>
  <c r="AN5" i="4"/>
  <c r="AN13" i="4" s="1"/>
  <c r="AD71" i="4"/>
  <c r="AD77" i="4" s="1"/>
  <c r="AL71" i="4"/>
  <c r="AL77" i="4" s="1"/>
  <c r="AF90" i="4"/>
  <c r="AH101" i="2"/>
  <c r="AO15" i="2"/>
  <c r="AN5" i="2"/>
  <c r="AN13" i="2" s="1"/>
  <c r="AD93" i="2"/>
  <c r="AD94" i="2" s="1"/>
  <c r="AQ101" i="2"/>
  <c r="AD5" i="4"/>
  <c r="AL5" i="4"/>
  <c r="AD9" i="4"/>
  <c r="AL9" i="4"/>
  <c r="AH112" i="4"/>
  <c r="AH122" i="4"/>
  <c r="AH103" i="4"/>
  <c r="AI103" i="4" s="1"/>
  <c r="AI104" i="4" s="1"/>
  <c r="AH93" i="4"/>
  <c r="AH94" i="4" s="1"/>
  <c r="AG103" i="4"/>
  <c r="AG104" i="4" s="1"/>
  <c r="AQ104" i="4"/>
  <c r="AP104" i="4"/>
  <c r="AL104" i="4"/>
  <c r="AH74" i="4"/>
  <c r="AP93" i="4"/>
  <c r="AP94" i="4" s="1"/>
  <c r="AP73" i="4"/>
  <c r="AO103" i="4"/>
  <c r="AO104" i="4" s="1"/>
  <c r="AQ138" i="4"/>
  <c r="AF5" i="2"/>
  <c r="AB122" i="2"/>
  <c r="AB112" i="2"/>
  <c r="AC103" i="2"/>
  <c r="AC104" i="2" s="1"/>
  <c r="AK104" i="2"/>
  <c r="AJ104" i="2"/>
  <c r="AB74" i="2"/>
  <c r="AB93" i="2"/>
  <c r="AB94" i="2" s="1"/>
  <c r="AQ104" i="2"/>
  <c r="AD101" i="4"/>
  <c r="AK101" i="4"/>
  <c r="AP101" i="4"/>
  <c r="AH5" i="2"/>
  <c r="AP5" i="2"/>
  <c r="AP13" i="2" s="1"/>
  <c r="AD122" i="2"/>
  <c r="AD112" i="2"/>
  <c r="AD74" i="2"/>
  <c r="AL75" i="2"/>
  <c r="AL79" i="2" s="1"/>
  <c r="AB73" i="2"/>
  <c r="AD73" i="2"/>
  <c r="AJ75" i="2"/>
  <c r="AJ79" i="2" s="1"/>
  <c r="AJ93" i="2"/>
  <c r="AJ94" i="2" s="1"/>
  <c r="AE103" i="2"/>
  <c r="AE104" i="2" s="1"/>
  <c r="AM104" i="2"/>
  <c r="AJ5" i="4"/>
  <c r="AJ134" i="4" s="1"/>
  <c r="AB112" i="4"/>
  <c r="AB122" i="4"/>
  <c r="AC103" i="4"/>
  <c r="AC104" i="4" s="1"/>
  <c r="AB73" i="4"/>
  <c r="AJ104" i="4"/>
  <c r="AK103" i="4"/>
  <c r="AK104" i="4" s="1"/>
  <c r="AJ93" i="4"/>
  <c r="AJ94" i="4" s="1"/>
  <c r="AB74" i="4"/>
  <c r="AJ75" i="4"/>
  <c r="AJ79" i="4" s="1"/>
  <c r="AF122" i="2"/>
  <c r="AF112" i="2"/>
  <c r="AF73" i="2"/>
  <c r="AN73" i="2"/>
  <c r="AF93" i="2"/>
  <c r="AF94" i="2" s="1"/>
  <c r="AN93" i="2"/>
  <c r="AN94" i="2" s="1"/>
  <c r="AF103" i="2"/>
  <c r="AF104" i="2" s="1"/>
  <c r="AN104" i="2"/>
  <c r="AF101" i="4"/>
  <c r="AH122" i="2"/>
  <c r="AH112" i="2"/>
  <c r="AH73" i="2"/>
  <c r="AP73" i="2"/>
  <c r="AF74" i="2"/>
  <c r="AH93" i="2"/>
  <c r="AH94" i="2" s="1"/>
  <c r="AG103" i="2"/>
  <c r="AG104" i="2" s="1"/>
  <c r="AO104" i="2"/>
  <c r="AD112" i="4"/>
  <c r="AD122" i="4"/>
  <c r="AE103" i="4"/>
  <c r="AE104" i="4" s="1"/>
  <c r="AD93" i="4"/>
  <c r="AD94" i="4" s="1"/>
  <c r="AM103" i="4"/>
  <c r="AM104" i="4" s="1"/>
  <c r="AL93" i="4"/>
  <c r="AL94" i="4" s="1"/>
  <c r="AD73" i="4"/>
  <c r="AL73" i="4"/>
  <c r="AB101" i="4"/>
  <c r="AJ101" i="4"/>
  <c r="AF112" i="4"/>
  <c r="AF122" i="4"/>
  <c r="AF103" i="4"/>
  <c r="AF104" i="4" s="1"/>
  <c r="AF93" i="4"/>
  <c r="AF94" i="4" s="1"/>
  <c r="AN104" i="4"/>
  <c r="AN93" i="4"/>
  <c r="AN94" i="4" s="1"/>
  <c r="AF73" i="4"/>
  <c r="AN73" i="4"/>
  <c r="AN75" i="4" s="1"/>
  <c r="AN79" i="4" s="1"/>
  <c r="AD74" i="4"/>
  <c r="AH90" i="4"/>
  <c r="AP90" i="4"/>
  <c r="AB5" i="4"/>
  <c r="AI11" i="2" l="1"/>
  <c r="AI14" i="2" s="1"/>
  <c r="AI15" i="2" s="1"/>
  <c r="AJ13" i="2"/>
  <c r="AJ15" i="2" s="1"/>
  <c r="AC15" i="2"/>
  <c r="AE11" i="4"/>
  <c r="AE14" i="4" s="1"/>
  <c r="AE15" i="4" s="1"/>
  <c r="AE15" i="2"/>
  <c r="AL13" i="2"/>
  <c r="AL15" i="2" s="1"/>
  <c r="AL134" i="2"/>
  <c r="AL137" i="2" s="1"/>
  <c r="AL138" i="2" s="1"/>
  <c r="AF13" i="2"/>
  <c r="AF134" i="2"/>
  <c r="AF137" i="2" s="1"/>
  <c r="AF138" i="2" s="1"/>
  <c r="AD13" i="2"/>
  <c r="AD134" i="2"/>
  <c r="AD137" i="2" s="1"/>
  <c r="AD138" i="2" s="1"/>
  <c r="AH13" i="2"/>
  <c r="AH134" i="2"/>
  <c r="AH137" i="2" s="1"/>
  <c r="AH138" i="2" s="1"/>
  <c r="AG15" i="4"/>
  <c r="AO11" i="4"/>
  <c r="AO14" i="4" s="1"/>
  <c r="AO15" i="4" s="1"/>
  <c r="AH132" i="4"/>
  <c r="AH141" i="4" s="1"/>
  <c r="AH142" i="4" s="1"/>
  <c r="AB13" i="4"/>
  <c r="AB134" i="4"/>
  <c r="AB137" i="4" s="1"/>
  <c r="AB138" i="4" s="1"/>
  <c r="AL13" i="4"/>
  <c r="AL134" i="4"/>
  <c r="AL137" i="4" s="1"/>
  <c r="AL138" i="4" s="1"/>
  <c r="AD13" i="4"/>
  <c r="AD134" i="4"/>
  <c r="AD137" i="4" s="1"/>
  <c r="AD138" i="4" s="1"/>
  <c r="AF13" i="4"/>
  <c r="AF134" i="4"/>
  <c r="AF137" i="4" s="1"/>
  <c r="AF138" i="4" s="1"/>
  <c r="AJ13" i="4"/>
  <c r="AJ137" i="4"/>
  <c r="AJ138" i="4" s="1"/>
  <c r="AH13" i="4"/>
  <c r="AH134" i="4"/>
  <c r="AH137" i="4" s="1"/>
  <c r="AH138" i="4" s="1"/>
  <c r="AH11" i="4"/>
  <c r="AH14" i="4" s="1"/>
  <c r="AD11" i="4"/>
  <c r="AD14" i="4" s="1"/>
  <c r="AQ15" i="2"/>
  <c r="AB132" i="4"/>
  <c r="AB141" i="4" s="1"/>
  <c r="AB142" i="4" s="1"/>
  <c r="AB132" i="2"/>
  <c r="AB141" i="2" s="1"/>
  <c r="AB142" i="2" s="1"/>
  <c r="AM15" i="2"/>
  <c r="AD132" i="2"/>
  <c r="AD141" i="2" s="1"/>
  <c r="AD142" i="2" s="1"/>
  <c r="AG11" i="2"/>
  <c r="AG14" i="2" s="1"/>
  <c r="AG15" i="2" s="1"/>
  <c r="AD11" i="2"/>
  <c r="AD14" i="2" s="1"/>
  <c r="AH11" i="2"/>
  <c r="AH14" i="2" s="1"/>
  <c r="AB11" i="2"/>
  <c r="AB14" i="2" s="1"/>
  <c r="AB15" i="2" s="1"/>
  <c r="AP75" i="2"/>
  <c r="AP79" i="2" s="1"/>
  <c r="AJ132" i="4"/>
  <c r="AJ141" i="4" s="1"/>
  <c r="AJ142" i="4" s="1"/>
  <c r="AP14" i="4"/>
  <c r="AP15" i="4" s="1"/>
  <c r="AI11" i="4"/>
  <c r="AI14" i="4" s="1"/>
  <c r="AI15" i="4" s="1"/>
  <c r="AF11" i="4"/>
  <c r="AF14" i="4" s="1"/>
  <c r="AB11" i="4"/>
  <c r="AB14" i="4" s="1"/>
  <c r="AM11" i="4"/>
  <c r="AM14" i="4" s="1"/>
  <c r="AM15" i="4" s="1"/>
  <c r="AJ14" i="4"/>
  <c r="AN14" i="4"/>
  <c r="AN15" i="4" s="1"/>
  <c r="AA11" i="4"/>
  <c r="AA14" i="4" s="1"/>
  <c r="AA15" i="4" s="1"/>
  <c r="V11" i="4"/>
  <c r="V14" i="4" s="1"/>
  <c r="V15" i="4" s="1"/>
  <c r="X11" i="4"/>
  <c r="X14" i="4" s="1"/>
  <c r="X15" i="4" s="1"/>
  <c r="T11" i="4"/>
  <c r="T14" i="4" s="1"/>
  <c r="T15" i="4" s="1"/>
  <c r="AL132" i="2"/>
  <c r="AL141" i="2" s="1"/>
  <c r="AL142" i="2" s="1"/>
  <c r="AK15" i="2"/>
  <c r="AH75" i="2"/>
  <c r="AH79" i="2" s="1"/>
  <c r="AH104" i="2"/>
  <c r="V11" i="2"/>
  <c r="V14" i="2" s="1"/>
  <c r="V15" i="2" s="1"/>
  <c r="T11" i="2"/>
  <c r="T14" i="2" s="1"/>
  <c r="T15" i="2" s="1"/>
  <c r="X11" i="2"/>
  <c r="X14" i="2" s="1"/>
  <c r="X15" i="2" s="1"/>
  <c r="AP15" i="2"/>
  <c r="AN15" i="2"/>
  <c r="AA11" i="2"/>
  <c r="AA14" i="2" s="1"/>
  <c r="AA15" i="2" s="1"/>
  <c r="AF11" i="2"/>
  <c r="AF14" i="2" s="1"/>
  <c r="AF132" i="2"/>
  <c r="AF141" i="2" s="1"/>
  <c r="AF142" i="2" s="1"/>
  <c r="AA103" i="2"/>
  <c r="AA104" i="2" s="1"/>
  <c r="Z104" i="2"/>
  <c r="AL75" i="4"/>
  <c r="AL79" i="4" s="1"/>
  <c r="AD75" i="2"/>
  <c r="AD79" i="2" s="1"/>
  <c r="AH75" i="4"/>
  <c r="AH79" i="4" s="1"/>
  <c r="Z104" i="4"/>
  <c r="AA103" i="4"/>
  <c r="AA104" i="4" s="1"/>
  <c r="AH104" i="4"/>
  <c r="AF75" i="4"/>
  <c r="AF79" i="4" s="1"/>
  <c r="AP75" i="4"/>
  <c r="AP79" i="4" s="1"/>
  <c r="AD75" i="4"/>
  <c r="AD79" i="4" s="1"/>
  <c r="AN75" i="2"/>
  <c r="AN79" i="2" s="1"/>
  <c r="AB75" i="4"/>
  <c r="AB79" i="4" s="1"/>
  <c r="AD132" i="4"/>
  <c r="AD141" i="4" s="1"/>
  <c r="AD142" i="4" s="1"/>
  <c r="AC11" i="4"/>
  <c r="AC14" i="4" s="1"/>
  <c r="AC15" i="4" s="1"/>
  <c r="AF75" i="2"/>
  <c r="AF79" i="2" s="1"/>
  <c r="AB75" i="2"/>
  <c r="AB79" i="2" s="1"/>
  <c r="AL132" i="4"/>
  <c r="AL141" i="4" s="1"/>
  <c r="AL142" i="4" s="1"/>
  <c r="AK11" i="4"/>
  <c r="AK14" i="4" s="1"/>
  <c r="AK15" i="4" s="1"/>
  <c r="AL14" i="4"/>
  <c r="AF15" i="2" l="1"/>
  <c r="AH15" i="2"/>
  <c r="AD15" i="2"/>
  <c r="AF15" i="4"/>
  <c r="AD15" i="4"/>
  <c r="AL15" i="4"/>
  <c r="AB15" i="4"/>
  <c r="AH15" i="4"/>
  <c r="AJ15" i="4"/>
</calcChain>
</file>

<file path=xl/sharedStrings.xml><?xml version="1.0" encoding="utf-8"?>
<sst xmlns="http://schemas.openxmlformats.org/spreadsheetml/2006/main" count="332" uniqueCount="300">
  <si>
    <t xml:space="preserve">Alternative Resultatmål (APM'er) </t>
  </si>
  <si>
    <r>
      <t xml:space="preserve">SpareBank 1 SR-Bank presenterer alternative resultatmål (APM'er) som gir nyttig informasjon for å supplere regnskapet. Målene er ikke definert i IFRS (International Financial Reporting Standards) og er nødvendigvis ikke direkte sammenlignbare med andre selskapers resultatmål. APM'er </t>
    </r>
    <r>
      <rPr>
        <sz val="11"/>
        <color theme="1"/>
        <rFont val="Calibri"/>
        <family val="2"/>
        <scheme val="minor"/>
      </rPr>
      <t>er inkludert i våre rapporter for å gi innsikt og forståelse for konsernets resultatoppnåelse, og representerer viktige måltall for hvordan ledelsen styrer selskapene og aktivitetene i konsernet. APM'er er ikke ment å erstatte eller overskygge regnskapstallene. Nøkkeltall som er regulert i IFRS eller annen lovgivning er ikke regnet som alternative resultatmål. Det samme gjelder for ikke-finansiell informasjon. SpareBank 1 SR-Bank sine alternative resultatmål er presentert i oversiktene hovedtall og resultat fra kvartalsregnskapene, samt i styrets beretning. Alle APM'er presenteres med sammenligningstall. APM'ene som nevnt under har i stor grad vært brukt konsistent over tid.</t>
    </r>
  </si>
  <si>
    <t xml:space="preserve">Alternative resultatmål i SpareBank 1 SR-Bank med definisjoner: </t>
  </si>
  <si>
    <t>Begrunnelse og definisjon</t>
  </si>
  <si>
    <t>Lønnsomhet</t>
  </si>
  <si>
    <t>Egenkapitalavkastning</t>
  </si>
  <si>
    <t>EK avkastning gir relevant informasjon om konsernets lønnsomhet ved å måle evne til å generere lønnsomhet fra aksjonærens investering. EK avkastning er ett av konsernets viktigste finansielle måltall, og beregnes som ordinært resultat tilgjengelig for aksjonærene for perioden, i prosent av gjennomsnittlig egenkapital, fratrukket hybridkapital (fondsobligasjoner) klassifisert som egenkapital.</t>
  </si>
  <si>
    <t>Kostnadsprosent</t>
  </si>
  <si>
    <t xml:space="preserve">Gir informasjon om korrelasjonen mellom inntekter og kostnader. Beregnes som sum driftskostnader dividert med sum inntekter. </t>
  </si>
  <si>
    <t>Gjennomsnittlig rentemargin</t>
  </si>
  <si>
    <t>Måler den gjennomsnittlige fortjeneste konsernet har på utlån og innskudd og beregnes som netto renteinntekter i prosent av gjennomsnittlig forvaltningskapital.</t>
  </si>
  <si>
    <t>Utlånsmargin Storkunder, SMB og Landbruk og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</si>
  <si>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provisjonsinntekter på utlån solgt til SB1 BK og SB1 NK, da dette best reflekterer konsernets inntjening på totale utlån. Utlånsmarginen er beregnet som netto renteinntekter på utlån inkludert provisjonsinntekter fra SB1 BK og SB1 NK, fratrukket rentekostnad tilsvarende 3 måneders pengemarkeds-rente, dividert på snitt utlån for perioden, inkludert utlån til SB1 BK og SB1 NK.</t>
  </si>
  <si>
    <t>Innskuddsmargin Storkunder, DSMB og Landbruk og Personmarked</t>
  </si>
  <si>
    <t>Innskuddsmarginen gir informasjon om konsernets netto renteinntekter ved å måle rentemarginen relativt til 3 måneders pengemarkedsrente.  Innskuddsmarginen er beregnet som netto rentekostnad på innskudd, justert for renteinntekt tilsvarende 3 måneders pengemarkedsrente, dividert på snitt innskudd for perioden.</t>
  </si>
  <si>
    <t>Balansetall</t>
  </si>
  <si>
    <t>Brutto Utlånsvekst siste 12 mnd</t>
  </si>
  <si>
    <t xml:space="preserve">Informasjon om aktiviteten og veksten i konsernets utlånsvirksomhet.  Nøkkeltallet er beregnet som Brutto utlån ved utløpet av perioden minus Brutto utlån ved starten av perioden, dividert på Brutto utlån ved starten av perioden. </t>
  </si>
  <si>
    <t>Brutto utlånsvekst siste 12 mnd inkludert SB1 BK og SB1 NK</t>
  </si>
  <si>
    <t xml:space="preserve">Informasjon om aktiviteten og veksten i konsernets utlånsvirksomhet.  Konsernet benytter kredittforetak som finansieringskilde, og brutto utlånsvekst inkludert utlån solgt til kredittforetakene reflekterer bedre aktiviteten og veksten i utlånsvirksomheten enn om disse utlånene var ekskludert. Nøkkeltallet er beregnet som Brutto utlån inkludert utlån solgt til SB1 BK og SB1 NK ved utløpet av perioden minus Brutto utlån inkludert utlån solgt til SB1 BK og SB1 NK ved starten av perioden, dividert på Brutto utlån inkludert utlån solgt til SB1 BK og SB1 NK ved starten av perioden. </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</si>
  <si>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</si>
  <si>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</si>
  <si>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Innskuddsdekning</t>
  </si>
  <si>
    <t>Gir relevant informasjon om konsernets likviditet, og beregnes som Innskudd fra kunder dividert med sum utlån til kunder ved utløpet av perioden.</t>
  </si>
  <si>
    <t>Innskuddsdekning inkludert SB1 BK og SB1 NK</t>
  </si>
  <si>
    <t>Gir relevant informasjon om konsernets likviditet, hensyntatt utlån solgt til SB1 BK og SB1 NK. Beregnes som Innskudd fra kunder dividert med sum utlån til kunder, inkludert lån solgt til SB1 BK og SB1 NK ved utløpet av perioden.</t>
  </si>
  <si>
    <t>Nedskrivninger på utlån og finansielle forpliktelser og Utlån og finansielle forpliktelser i Trinn 2 og Trinn 3</t>
  </si>
  <si>
    <t xml:space="preserve">Nedskrivninger i prosent av brutto utlån </t>
  </si>
  <si>
    <t xml:space="preserve">Resultatført nedskrivninger på utlån og finansielle forpliktelser målt forholdsmessig i forhold til brutto utlån, beregnes som en funksjon av brutto utlån, og sier noe om hvor stor andel av brutto utlån det er foretatt nedskrivninger på. Tallet beregnes som Nedskrivning på utlån og finansielle forpliktelser resultatført i perioden dividert med gjennomsnitt av Brutto utlån i perioden. Ved opplysninger om nedskrivningsprosent for kortere perioder enn hele år, blir resultatførte nedskrivninger annualisert. </t>
  </si>
  <si>
    <t>Nedskrivninger i prosent av brutto utlån inkludert SB1 BK og SB1 NK</t>
  </si>
  <si>
    <t xml:space="preserve">Resultatført nedskrivninger på utlån og finansielle forpliktelser målt forholdsmessig i forhold til brutto utlån inkludert utlån solgt til kredittforetakene, beregnes som en funksjon av brutto utlån inkludert lån solgt til kredittforetak, og sier noe om hvor stor andel av brutto utlån det er foretatt nedskrivninger på.  Konsernet benytter kredittforetak som finansieringskilde, og nedskrivninger i prosent av brutto utlån inkludert utlån solgt til kredittforetakene reflekterer bedre hvor stor andel av brutto utlån, inkludert utlån til kredittforetakene, det er foretatt nedskrivninger på, enn om disse utlånene var ekskludert.  Tallet beregnes som Nedskrivning på utlån og finansielle forpliktelser resultatført i perioden dividert med gjennomsnitt av Brutto utlån inkludert lån solgt til SB1 BK og SB1 NK i perioden. Ved opplysninger om nedskrivningsprosent for kortere perioder enn hele år, blir resultatførte nedskrivninger annualisert. </t>
  </si>
  <si>
    <t>Utlån og finansielle forpliktelser i Trinn 2 i prosent brutto utlån og finansielle forpliktselser</t>
  </si>
  <si>
    <t>Gir relevant informasjon om bankens kreditteksponering. Beregnes som utlån og finansielle forpliktelser i Trinn 2 dividert med brutto utlån og finansielle forpliktselser ved utløpet av perioden. Utlån og finansielle forpliktelser i Trinn 2 er utlån og finansielle forpliktelser som har hatt en vesentlig økning i kredittrisiko siden førstegangsinnregning, men hvor det ikke er objektive bevis på tap på balansedato. Beregnes fra og med 2018 etter overgang til IFRS 9.</t>
  </si>
  <si>
    <t>Utlån og finansielle forpliktelser i Trinn 2 i prosent brutto utlån og finansielle forpliktselser, inkludert SB1 BK og SB1 NK</t>
  </si>
  <si>
    <t>Gir relevant informasjon om bankens kreditteksponering. Konsernet benytter kredittforetak som finansieringskilde, og Utlån og finansielle forpliktelser i Trinn 2 i prosent av brutto utlån inkludert utlån solgt til kredittforetakene reflekterer bedre konsernets kreditteksponering, enn om disse utlånene var ekskludert.  Beregnes som utlån og finansielle forpliktelser i Trinn 2 dividert med brutto utlån og finansielle forpliktselser inkl. lån solgt til SB1 BK og SB1 NK ved utløpet av perioden. Utlån og finansielle forpliktelser i Trinn 2 er utlån og finansielle forpliktelser som har hatt en vesentlig økning i kredittrisiko siden førstegangsinnregning, men hvor det ikke er objektive bevis på tap på balansedato. Beregnes fra og med 2018 etter overgang til IFRS 9.</t>
  </si>
  <si>
    <t>Utlån og finansielle forpliktelser i Trinn 3 i prosent av brutto utlån og finansielle forpliktselser</t>
  </si>
  <si>
    <t>Gir relevant informasjon om bankens kreditteksponering. Beregnes som utlån og finansielle forpliktelser i Trinn 3 dividert med sum brutto utlån og finansielle forpliktselser ved utløpet av perioden. Utlån og finansielle forpliktelser i Trinn 3 er utlån og finansielle forpliktelser som har hatt en vesentlig økning i kredittrisiko siden innvilgelse, og hvor det er objektive bevis på tap på balansedato. Beregnes fra og med 2018 etter overgang til IFRS 9.</t>
  </si>
  <si>
    <t>Utlån og finansielle forpliktelser i Trinn 3 i prosent av brutto utlån og finansielle forpliktselser, inkludert SB1 BK og SB1 NK</t>
  </si>
  <si>
    <t>Gir relevant informasjon om bankens kreditteksponering.  Konsernet benytter kredittforetak som finansieringskilde, og Utlån og finansielle forpliktelser i Trinn 3 i prosent av brutto utlån inkludert utlån solgt til kredittforetakene reflekterer bedre konsernets kreditteksponering, enn om disse utlånene var ekskludert. Beregnes som utlån og finansielle forpliktelser i Trinn 3 dividert med brutto utlån og finansielle forpliktselser inkl. lån solgt til SB1 BK og SB1 NK ved utløpet av perioden. Utlånog finansielle forpliktelser  i Trinn 3 er utlån og finansielle forpliktelser som har hatt en vesentlig økning i kredittrisiko siden innvilgelse, og hvor det er objektive bevis på tap på balansedato. Beregnes fra og med 2018 etter overgang til IFRS 9.</t>
  </si>
  <si>
    <t>SpareBank 1 SR-Bank aksjen</t>
  </si>
  <si>
    <t>Bokført egenkapital pr aksje (inkludert utbytte)</t>
  </si>
  <si>
    <t xml:space="preserve">Nøkkeltallet gir informasjon om verdien av bokført egenkapital pr aksje, og mulighet til å vurdere rimeligheten av aksjens børskurs. Beregnes som egenkapitalen ved utløpet av perioden dividert på antall aksjer. </t>
  </si>
  <si>
    <t>Pris / Resultat pr aksje</t>
  </si>
  <si>
    <t>Inntjeningen pr aksje sett opp mot børskurs på det aktuelle tidspunkt, noe som gir mulighet for å vurdere rimeligheten av aksjens børskurs. Beregnes som børskurs pr aksje dividert på annualisert resultat pr aksje.</t>
  </si>
  <si>
    <t>Pris / Bokført egenkapital</t>
  </si>
  <si>
    <t xml:space="preserve">Verdien av bokført egenkapital pr aksje sett opp mot børskurs på gitt tidspunkt. Gir mulighet til å vurdere rimeligheten av børskursen til aksjen. Beregnes som børskurs pr aksje dividert på bokført egenkapital pr aksje (se definisjonen av dette nøkkeltallet over). </t>
  </si>
  <si>
    <t>SpareBank 1 SR-Bank Konsern (tall i mnok)</t>
  </si>
  <si>
    <t>4. kv 21</t>
  </si>
  <si>
    <t>3. kv 21</t>
  </si>
  <si>
    <t>2. kv 21</t>
  </si>
  <si>
    <t>1. kv 21</t>
  </si>
  <si>
    <t>4. kv 20</t>
  </si>
  <si>
    <t>3. kv 20</t>
  </si>
  <si>
    <t>2. kv 20</t>
  </si>
  <si>
    <t>1. kv 20</t>
  </si>
  <si>
    <t>4. kv 19</t>
  </si>
  <si>
    <t>3. kv 19</t>
  </si>
  <si>
    <t>2. kv 19</t>
  </si>
  <si>
    <t>1. kv 19</t>
  </si>
  <si>
    <t>4. kv 18</t>
  </si>
  <si>
    <t>3. kv 18</t>
  </si>
  <si>
    <t>2. kv 18</t>
  </si>
  <si>
    <t>1. kv 18</t>
  </si>
  <si>
    <t>4. kv 17</t>
  </si>
  <si>
    <t>3. kv 17</t>
  </si>
  <si>
    <t>2. kv 17</t>
  </si>
  <si>
    <t>1. kv 17</t>
  </si>
  <si>
    <t>Resultat etter skatt</t>
  </si>
  <si>
    <t>Renter hybridkapital</t>
  </si>
  <si>
    <t>Resultat etter skatt ekskl. renter hybridkapital</t>
  </si>
  <si>
    <t>Total egenkapital</t>
  </si>
  <si>
    <t>Hybridkapital</t>
  </si>
  <si>
    <t>Egenkapital ekskl. hybridkapital</t>
  </si>
  <si>
    <t>Snitt Egenkapital ekskl. hybridkapital</t>
  </si>
  <si>
    <t>Annualisert resultat etter skatt ekskl. renter hybridkapital</t>
  </si>
  <si>
    <t>Snitt egenkapital ekskl. hybridkapital</t>
  </si>
  <si>
    <t>Egenkapitalavkastning i prosent</t>
  </si>
  <si>
    <t>Sum driftskostnader</t>
  </si>
  <si>
    <t>Sum inntekter</t>
  </si>
  <si>
    <t>Netto renteinntekter</t>
  </si>
  <si>
    <t>Forvaltningskapital</t>
  </si>
  <si>
    <t>Snitt forvaltningskapital</t>
  </si>
  <si>
    <t>3 måneders pengemarkedsrenter</t>
  </si>
  <si>
    <t>Renter på Utlån til SMB og Landbruk</t>
  </si>
  <si>
    <t>Rentemargin på utlån i SMB og Landbruk</t>
  </si>
  <si>
    <t>Snitt utlånsvolum SMB og Landbruk</t>
  </si>
  <si>
    <t>Netto utlånsmargin SMB og Landbruk</t>
  </si>
  <si>
    <t>Renter på Utlån til Personmarked</t>
  </si>
  <si>
    <t>Rentemargin på utlån i Personmarked</t>
  </si>
  <si>
    <t>Snitt utlånsvolum Personmarked</t>
  </si>
  <si>
    <t>Netto utlånsmargin Personmarked</t>
  </si>
  <si>
    <t>Renter på Innskudd til SMB og landbruk</t>
  </si>
  <si>
    <t>Rentemargin på innskudd i SMB og Landbruk</t>
  </si>
  <si>
    <t>Snitt innskuddsvolum SMB og Landbruk</t>
  </si>
  <si>
    <t>Netto innskuddsmargin SMB og Landbruk</t>
  </si>
  <si>
    <t>Renter på Innskudd til Personmarked</t>
  </si>
  <si>
    <t>Rentemargin på innskudd i Personmarked</t>
  </si>
  <si>
    <t>Snitt innskuddsvolum Personmarked</t>
  </si>
  <si>
    <t>Netto innskuddsmargin Personmarked</t>
  </si>
  <si>
    <t>Brutto utlån til kunder ved utgangen av perioden</t>
  </si>
  <si>
    <t>Utlån solgt til SB1 BK og SB1 NK ved utgangen av perioden</t>
  </si>
  <si>
    <t>Brutto utlån til kunder inkl. SB1 BK og SB1 NK ved utgangen av perioden</t>
  </si>
  <si>
    <t>Brutto utlån til kunder ved utgangen samme periode forrige år</t>
  </si>
  <si>
    <t>Utlånsvekst (mill)</t>
  </si>
  <si>
    <t>Brutto utlån til kunder inkl. SB1 BK og SB1 NK ved utgangen samme periode forrige år</t>
  </si>
  <si>
    <t>Utlånsvekst inkl. SB1 BK og SB1 NK (mill)</t>
  </si>
  <si>
    <t>Utlånsvekst siste 12 mnd</t>
  </si>
  <si>
    <t>Utlånsvekst siste 12 mnd, inkl. SB1 BK og SB1 NK</t>
  </si>
  <si>
    <t>Innskudd fra kunder ved utgangen av perioden</t>
  </si>
  <si>
    <t>Innskudd fra kunder ved utgangen av samme periode forrige år</t>
  </si>
  <si>
    <t>Innskuddsvekst (mill)</t>
  </si>
  <si>
    <t>Innskudd fra kunder</t>
  </si>
  <si>
    <t xml:space="preserve">Brutto utlån til kunder </t>
  </si>
  <si>
    <t>Brutto utlån til kunder inkl. utlån SB1 BK SB1 NK</t>
  </si>
  <si>
    <t>Innskuddsdekning, inkl. SB1 BK og SB1 NK</t>
  </si>
  <si>
    <t>Nedskrivning på utlån og og finansielle forpliktelser i resultatet</t>
  </si>
  <si>
    <t>Nedskrivning på utlån og og finansielle forpliktelser annualisert</t>
  </si>
  <si>
    <t>Snitt brutto utlån til kunder</t>
  </si>
  <si>
    <t>Nedskrivning i prosent av utlån til kunder</t>
  </si>
  <si>
    <t>Snitt Brutto utlån til kunder inkl. SB1 BK og SB1 NK</t>
  </si>
  <si>
    <t>Nedskrivning i prosent av utlån til kunder, inkl. SB1 BK og SB1 NK</t>
  </si>
  <si>
    <t>Finansielle forpliktelser til kunder</t>
  </si>
  <si>
    <t>Utlån i Trinn 2</t>
  </si>
  <si>
    <t>Finansielle forpliktelser i Trinn 2</t>
  </si>
  <si>
    <t>Utlån og finansielle forpliktelser i Trinn 2 i prosent av brutto utlån til kunder</t>
  </si>
  <si>
    <t>Utlån og finansielle forpliktelser i Trinn 2 i prosent av brutto utlån til kunder, inkl. SB1 BK og SB1 NK</t>
  </si>
  <si>
    <t>Utlån og finansielle forpliktelser i Trinn 2 i prosent av brutto utlån og finansielle forpliktelser til kunder</t>
  </si>
  <si>
    <t>Utlån og finansielle forpliktelser i Trinn 2 i prosent av brutto utlån og finansielle forpliktelser til kunder, inkl. SB1 BK og SB1 NK</t>
  </si>
  <si>
    <t>Utlån i Trinn 3</t>
  </si>
  <si>
    <t>Finansielle forpliktelser i Trinn 3</t>
  </si>
  <si>
    <t xml:space="preserve">Utlån og finansielle forpliktelser i Trinn 3 i prosent av brutto utlån til kunder </t>
  </si>
  <si>
    <t>Utlån og finansielle forpliktelser i Trinn 3 i prosent av brutto utlån til kunder, inkl. SB1 BK og SB1 NK</t>
  </si>
  <si>
    <t>Utlån og finansielle forpliktelser i Trinn 3 i prosent av brutto utlån og finansielle forpliktelser til kunder</t>
  </si>
  <si>
    <t>Utlån og finansielle forpliktelser i Trinn 3 i prosent av brutto utlån og finansielle forpliktelser til kunder, inkl. SB1 BK og SB1 NK</t>
  </si>
  <si>
    <t>Antall utstedte aksjer (mill)</t>
  </si>
  <si>
    <t>Egen beholdning</t>
  </si>
  <si>
    <t>Antall utestående aksjer</t>
  </si>
  <si>
    <t>Resultat pr aksje, i kr</t>
  </si>
  <si>
    <t>Børskurs</t>
  </si>
  <si>
    <t>Resultat pr aksje, annualisert</t>
  </si>
  <si>
    <t>Bokført egenkapital pr aksje</t>
  </si>
  <si>
    <t xml:space="preserve">Pris / Bokført egenkapital </t>
  </si>
  <si>
    <t>Alternative Performance Measures (APMs)</t>
  </si>
  <si>
    <t>SpareBank 1 SR-Bank presents alternative performance measures (APMs), which provide useful, supplementary information to the financial statements. The measures are not defined in IFRS (International Financial Reporting Standards) and are not necessarily directly comparable with other companies’ performance measures. APMs are included in our reports to provide insight and understanding of the group’s performance and represent important target figures for how the executive management team manages the companies and activities in the group. APMs are not intended to replace or overshadow accounting figures. Key figures that are regulated by IFRS or other legislation are not regarded as APMs. The same applies to non-financial information. SpareBank 1 SR-Bank’s APMs are presented in the overviews main figures and results from the interim accounts, as well as in the board of directors’ report. All APMs are presented with corresponding figures. The APMs listed below have generally been used consistently over time.</t>
  </si>
  <si>
    <t>Alternative performance measures in SpareBank 1 SR-Bank with definitions:</t>
  </si>
  <si>
    <t>Explanations and definitions</t>
  </si>
  <si>
    <t>Profitability</t>
  </si>
  <si>
    <t>Return on equity</t>
  </si>
  <si>
    <t>Return on equity provides relevant information about the group’s profitability by measuring its ability to generate profitability from the shareholders’ investment. Return on equity is one of the group’s most important financial target figures and is calculated as the ordinary result available to shareholders for the period as a percentage of average equity, less hybrid capital (hybrid tier 1 capital) classified as equity.</t>
  </si>
  <si>
    <t>Cost/income ratio</t>
  </si>
  <si>
    <t>Provides information about the correlation between income and costs. Calculated as total operating costs divided by total income.</t>
  </si>
  <si>
    <t>Average interest margin</t>
  </si>
  <si>
    <t>Measures the group’s average profit from loans and deposits, calculated as net interest income as a percentage of average total assets.</t>
  </si>
  <si>
    <t>Lending margin corporate market and retail market, including loans sold to SpareBank 1 Boligkreditt (SB1 BK) and SpareBank 1 Næringskreditt (SB1 NK)</t>
  </si>
  <si>
    <t>The lending margin providers information about the group’s net interest income by measuring the interest margin relative to the 3-month money market rate.  The group uses mortgage companies as a source of funding and the lending margins are included in commissions on loans sold to SB1 BK and SB1 NK, since this best reflects the group’s income from total lending. The lending margin is calculated as net interest income on loans, including commissions from SB1 BK and SB1 NK, less interest costs equivalent to the 3-month money market rate, divided by the average lending for the period, including loans to SB1 BK and SB1 NK.</t>
  </si>
  <si>
    <t>Deposit margin corporate market and retail market</t>
  </si>
  <si>
    <t>The deposit margin provides information about the group’s net interest income by measuring the interest rate margin relative to the 3-month money market rate.  The deposit margin is calculated as net interest cost on deposits, adjusted for interest income equivalent to the 3-month money market rate, divided by average deposits for the period.</t>
  </si>
  <si>
    <t>Balance sheet figures</t>
  </si>
  <si>
    <t>Gross lending growth over the past 12 months</t>
  </si>
  <si>
    <t>Information about the activity and growth in the group’s lending activities.  This key figure is calculated as gross loans at the end of the period less gross loans at the start of the period, divided by gross loans at the start of the period.</t>
  </si>
  <si>
    <t>Gross lending growth over the past 12 months, including SB1 BK and SB1 NK</t>
  </si>
  <si>
    <t>Information about the activity and growth in the group’s lending activities.  The group uses the mortgage companies as sources of funding, and gross lending growth including loans sold to the mortgage companies reflects the activity and growth in lending activities better than would be case were these loans excluded. This key figure is calculated as gross loans, including loans sold to SB1 BK and SB1 NK, at the end of the period, less gross loans, including loans sold to SB1 BK and SB1 NK, at the start of the period, divided by gross loans, including loans sold to SB1 BK and SB1 NK, at the start of the period.</t>
  </si>
  <si>
    <t>Growth in deposits over the last 12 months</t>
  </si>
  <si>
    <t>Information about the activity and growth in the group’s deposit business.  This key figure is calculated as deposits from customers at the end of the period less deposits from customers at the start of the period, divided by deposits from customers at the start of the period.</t>
  </si>
  <si>
    <t>Deposit-to-loan ratio</t>
  </si>
  <si>
    <t>Provides relevant information about the group’s liquidity and is calculated as deposits from customers divided by total loans to customers at the end of the period.</t>
  </si>
  <si>
    <t>Deposit-to-loan ratio, including SB1 BK and SB1 NK</t>
  </si>
  <si>
    <t>Provides relevant information about the group’s liquidity, taking into account loans sold to SB1 BK and SB1 NK. Calculated as deposits from customers divided by total loans to customers, including loans sold to SB1 BK and SB1 NK, at the end of the period.</t>
  </si>
  <si>
    <t>Impairments on loans and financial commitments and loans and financial commitments in Stage 2 and Stage 3</t>
  </si>
  <si>
    <t>Impairment ratio</t>
  </si>
  <si>
    <t>Recognised impairments on loans and financial commitments measured relative to gross loans. This is calculated as a function of gross loans and provides some information about how large a percentage of gross loans are subject to impairments. The figure is calculated as impairments on loans and financial commitments recognised in the period divided by average gross loans in the period. When information is provided about impairment percentages for periods of shorter than a full year, the recognised impairments are annualised.</t>
  </si>
  <si>
    <t>Impairment ratio, incl. loans SB1 BK and SB1 NK</t>
  </si>
  <si>
    <t xml:space="preserve">Recognised impairments on loans and financial commitments measured relative to gross loans, including loans sold to the mortgage companies. This is calculated as a function of gross loans, including loans sold to the mortgage companies, and provides some information about how large a percentage of gross loans are subject to impairments.  The group uses mortgage companies as a source of funding, and impairments as a percentage of gross loans, including loans sold to the mortgage companies, reflects how large a proportion of gross loans, including loans to the mortgage companies, are subject to impairments better than would be case were these loans excluded.  The figure is calculated as impairments on loans and financial commitments recognised in the period divided by average gross loans, including loans sold to SB1 BK and SB1 NK, in the period. When information is provided about impairment percentages for periods of shorter than a full year, the recognised impairments are annualised. </t>
  </si>
  <si>
    <t>Loans and financial commitments in step 2 as % of gross loans and financial commitments</t>
  </si>
  <si>
    <t>Provides relevant information about the bank’s credit exposure. Calculated as loans and financial commitments in step 2 divided by gross loans and financial commitments at the end of the period. Loans and financial commitments in stage 2 are loans and financial commitments that have seen a significant rise in credit risk since initial recognition, but where there is no objective evidence of a loss event on the balance sheet date. Calculated from and including 2018 following the transition to IFRS 9.</t>
  </si>
  <si>
    <t>Loans and financial commitments in step 2 as % of gross loans and financial commitments, including SB1 BK and SB1 NK</t>
  </si>
  <si>
    <t>Provides relevant information about the bank’s credit exposure. The group uses mortgage companies as a source of funding, and loans and financial commitments in stage 2 as a percentage of gross loans, including loans sold to the mortgage companies, reflect the group’s credit exposure better than would be case were these loans excluded.  Calculated as loans and financial commitments in step 2 divided by gross loans and financial commitments, including loans sold to SB1 BK and SB1 NK, at the end of the period. Loans and financial commitments in stage 2 are loans and financial commitments  that have seen a significant rise in credit risk since initial recognition, but where there is no objective evidence of a loss event on the balance sheet date. Calculated from and including 2018 following the transition to IFRS 9.</t>
  </si>
  <si>
    <t>Loans and financial commitments in step 3 as % of gross loans and financial commitments</t>
  </si>
  <si>
    <t>Provides relevant information about the bank’s credit exposure. Calculated as loans and financial commitments in step 3 divided by gross loans and financial commitments at the end of the period. Loans and financial commitments in stage 3 are loans and financial commitments that have seen a significant rise in credit risk since granting and where there is objective evidence of a loss event on the balance sheet date. Calculated from and including 2018 following the transition to IFRS 9.</t>
  </si>
  <si>
    <t>Loans and financial commitments in step 3 as % of gross loans and financial commitments, including SB1 BK and SB1 NK</t>
  </si>
  <si>
    <t>Provides relevant information about the bank’s credit exposure.  The group uses mortgage companies as a source of funding, and loans and financial commitments in stage 3 as a percentage of gross loans, including loans sold to the mortgage companies, reflect the group’s credit exposure better than would be case were these loans excluded. Calculated as loans and financial commitments in step 3 divided by gross loans and financial commitments, including loans sold to SB1 BK and SB1 NK, at the end of the period. Loans and financial commitments in stage 3 are loans and financial commitments that have seen a significant rise in credit risk since granting and where there is objective evidence of a loss event on the balance sheet date. Calculated from and including 2018 following the transition to IFRS 9.</t>
  </si>
  <si>
    <t>SpareBank 1 SR-Bank share</t>
  </si>
  <si>
    <t>Book equity per share (including dividend)</t>
  </si>
  <si>
    <t>This key figure provides information about the value of the book equity per share and a basis for assessing the reasonableness of the share price. Calculated as equity at the end of the period divided by the number of shares.</t>
  </si>
  <si>
    <t>Price/earnings per share</t>
  </si>
  <si>
    <t>Earnings per share compared to the share price at the relevant time, which provides a basis for assessing the reasonableness of the share price. Calculated as the share price divided by the annualised earnings per share.</t>
  </si>
  <si>
    <t>Price/book equity</t>
  </si>
  <si>
    <t>The value of book equity per share compared with the share price at a given time. Provides a basis for assessing the reasonableness of the share price. Calculated as the share price divided by book equity per share (see the definition of this key figure above).</t>
  </si>
  <si>
    <t>SpareBank 1 SR-Bank Group (MNOK)</t>
  </si>
  <si>
    <t>Q4 21</t>
  </si>
  <si>
    <t>Q3 21</t>
  </si>
  <si>
    <t>Q2 21</t>
  </si>
  <si>
    <t>Q1 21</t>
  </si>
  <si>
    <t>Q4 20</t>
  </si>
  <si>
    <t>Q3 20</t>
  </si>
  <si>
    <t>Q2 20</t>
  </si>
  <si>
    <t>Q1 20</t>
  </si>
  <si>
    <t>Q4 19</t>
  </si>
  <si>
    <t>Q3 19</t>
  </si>
  <si>
    <t>Q2 19</t>
  </si>
  <si>
    <t>Q1 19</t>
  </si>
  <si>
    <t>Q4 18</t>
  </si>
  <si>
    <t>Q3 18</t>
  </si>
  <si>
    <t>Q2 18</t>
  </si>
  <si>
    <t>Q1 18</t>
  </si>
  <si>
    <t>Q4 17</t>
  </si>
  <si>
    <t>Q3 17</t>
  </si>
  <si>
    <t>Q2 17</t>
  </si>
  <si>
    <t>Q1 17</t>
  </si>
  <si>
    <t>Profit after tax</t>
  </si>
  <si>
    <t>Interest on hybridcapital</t>
  </si>
  <si>
    <t>Profit after tax excl. interests on hybridcapital</t>
  </si>
  <si>
    <t>Total equity</t>
  </si>
  <si>
    <t>Hybridcapital</t>
  </si>
  <si>
    <t>Equity excl. hybridcapital</t>
  </si>
  <si>
    <t>Average equity excl. hybridcapital</t>
  </si>
  <si>
    <t>Annualised profit after tax excl. interests on hybridcapital</t>
  </si>
  <si>
    <t>Total operating costs</t>
  </si>
  <si>
    <t>Net income</t>
  </si>
  <si>
    <t>Cost ratio</t>
  </si>
  <si>
    <t>Net interest income</t>
  </si>
  <si>
    <t>Total assets</t>
  </si>
  <si>
    <t>Average total assets</t>
  </si>
  <si>
    <t>Interest receipts from lending to corporate market</t>
  </si>
  <si>
    <t>3 month money market rate (MNOK)</t>
  </si>
  <si>
    <t xml:space="preserve">Interest margin lending to corporate market </t>
  </si>
  <si>
    <t>Average lending volume corporate market</t>
  </si>
  <si>
    <t>Net lending margins corporate market</t>
  </si>
  <si>
    <t>Interest receipts from lending to retail market</t>
  </si>
  <si>
    <t xml:space="preserve">Interest margin lending to retail market </t>
  </si>
  <si>
    <t>Average lending volume retail market</t>
  </si>
  <si>
    <t xml:space="preserve">Net lending margin retail market </t>
  </si>
  <si>
    <t>Interest payments on deposits from corporate market</t>
  </si>
  <si>
    <t xml:space="preserve">Interest margin on deposits corporate market </t>
  </si>
  <si>
    <t>Average volume deposits corporate market</t>
  </si>
  <si>
    <t>Net margin on deposits corporate market</t>
  </si>
  <si>
    <t xml:space="preserve">Interests on deposits retail market </t>
  </si>
  <si>
    <t>Interest margin on deposits retail market</t>
  </si>
  <si>
    <t>Average volume deposits retail market</t>
  </si>
  <si>
    <t>Net margin on deposits retail market</t>
  </si>
  <si>
    <t>Gross loans to customers end of period</t>
  </si>
  <si>
    <t>Loans sold to SB1 BK and SB1 NK end of period</t>
  </si>
  <si>
    <t>Gross loans to customers end of period, incl. loans BK and SB1 NK</t>
  </si>
  <si>
    <t>Gross loans to customers end of period previous year</t>
  </si>
  <si>
    <t>Lending growth (MNOK)</t>
  </si>
  <si>
    <t>Gross loans to customers end of period previous year, incl. loans BK and SB1 NK</t>
  </si>
  <si>
    <t>Lending growth (MNOK), incl. SB1 BK and SB1 NK</t>
  </si>
  <si>
    <t>Growth in loans</t>
  </si>
  <si>
    <t>Growth in loans incl SB1 BK and SB1 NK</t>
  </si>
  <si>
    <t>Deposits from customers end of period</t>
  </si>
  <si>
    <t>Deposits from customers end of period previous year</t>
  </si>
  <si>
    <t>Growth in deposits (MNOK)</t>
  </si>
  <si>
    <t>Growth in deposits</t>
  </si>
  <si>
    <t>Deposits from customers</t>
  </si>
  <si>
    <t>Gross loans to customers</t>
  </si>
  <si>
    <t>Gross loans to customers incl. SB1 BK and SB1 NK</t>
  </si>
  <si>
    <t>Deposit-to-loan ratio, incl. loans SB1 BK and NK</t>
  </si>
  <si>
    <t>Impairments on loans and financial commitments</t>
  </si>
  <si>
    <t>Annualised Impairments on loans and financial commitments</t>
  </si>
  <si>
    <t>Average gross lending to customers</t>
  </si>
  <si>
    <t>Average gross lending to customers incl. SB1 BK and SB1 NK</t>
  </si>
  <si>
    <t>Financial commitments</t>
  </si>
  <si>
    <t>Loans in Stage 2</t>
  </si>
  <si>
    <t>Financial commitments in Stage 2</t>
  </si>
  <si>
    <t>Loans and financial commitments in Stage 2 in % of gross loans to customers</t>
  </si>
  <si>
    <t>Loans and financial commitments in Stage 2 in % of gross loans to customers, incl. loans SB1 BK and SB1 NK</t>
  </si>
  <si>
    <t>Loans and financial commitments in Stage 2 in % of gross loans and financial commitments to customers</t>
  </si>
  <si>
    <t>Loans and financial commitments in Stage 2 in % of gross loans and financial commitments to customers, incl. loans SB1 BK and SB1 NK</t>
  </si>
  <si>
    <t xml:space="preserve">Loans in Stage 3  </t>
  </si>
  <si>
    <t>Financial commitments in Stage 3</t>
  </si>
  <si>
    <t>Loans and financial commitments in Stage 3 in % of gross loans to customers</t>
  </si>
  <si>
    <t>Loans and financial commitments in Stage 3 in % of gross loans to customers, incl. loans SB1 BK and SB1 NK</t>
  </si>
  <si>
    <t>Loans and financial commitments in Stage 3 in % of gross loans and financial commitments to customers</t>
  </si>
  <si>
    <t>Loans and financial commitments in Stage 3 in % of gross loans and financial commitments to customers, incl. loans SB1 BK and SB1 NK</t>
  </si>
  <si>
    <t>Number of share issued, millions</t>
  </si>
  <si>
    <t>Shares hold by the Group</t>
  </si>
  <si>
    <t>Outstanding shares</t>
  </si>
  <si>
    <t>Book equity per share (including dividends) (group)</t>
  </si>
  <si>
    <t xml:space="preserve">Earnings per share, NOK </t>
  </si>
  <si>
    <t>Market price</t>
  </si>
  <si>
    <t>Price / Earnings per share</t>
  </si>
  <si>
    <t xml:space="preserve">Price / Book equity </t>
  </si>
  <si>
    <t>Interest receipts from lending to SME &amp; agriculture</t>
  </si>
  <si>
    <t>Interest margin lending to  SME &amp; agriculture</t>
  </si>
  <si>
    <t>Average lending volume  SME &amp; agriculture</t>
  </si>
  <si>
    <t>Net lending margins  SME &amp; agriculture</t>
  </si>
  <si>
    <t>Interest payments on deposits from  SME &amp; agriculture</t>
  </si>
  <si>
    <t>Interest margin on deposits  SME &amp; agriculture</t>
  </si>
  <si>
    <t>Average volume deposits  SME &amp; agriculture</t>
  </si>
  <si>
    <t>Net margin on deposits  SME &amp; agriculture</t>
  </si>
  <si>
    <t>Q1 22</t>
  </si>
  <si>
    <t>1. kv 22</t>
  </si>
  <si>
    <t>Netto utlånsmargin BM Storkunde</t>
  </si>
  <si>
    <t>Netto innskuddsmargin BM Storkunde</t>
  </si>
  <si>
    <t>Renter på Utlån til BM Storkunde</t>
  </si>
  <si>
    <t>Rentemargin på utlån i BM Storkunde</t>
  </si>
  <si>
    <t>Snitt utlånsvolum BM Storkunde</t>
  </si>
  <si>
    <t>Renter på Innskudd til BM Storkunde</t>
  </si>
  <si>
    <t>Rentemargin på innskudd i BM Storkunde</t>
  </si>
  <si>
    <t>Snitt innskuddsvolum BM Storkunde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</si>
</sst>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
    <numFmt numFmtId="166" formatCode="_-* #,##0.000_-;\-* #,##0.000_-;_-* &quot;-&quot;??_-;_-@_-"/>
    <numFmt numFmtId="167" formatCode="_-* #,##0.000000_-;\-* #,##0.000000_-;_-* &quot;-&quot;??_-;_-@_-"/>
  </numFmts>
  <fonts count="18"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1"/>
      <name val="Calibri"/>
      <family val="2"/>
      <scheme val="minor"/>
    </font>
    <font>
      <b/>
      <sz val="8"/>
      <name val="Arial"/>
      <family val="2"/>
    </font>
    <font>
      <sz val="10"/>
      <name val="Arial"/>
      <family val="2"/>
    </font>
    <font>
      <sz val="11"/>
      <color rgb="FFFF0000"/>
      <name val="Calibri"/>
      <family val="2"/>
      <scheme val="minor"/>
    </font>
    <font>
      <b/>
      <sz val="11"/>
      <color rgb="FFFF0000"/>
      <name val="Calibri"/>
      <family val="2"/>
      <scheme val="minor"/>
    </font>
    <font>
      <i/>
      <sz val="11"/>
      <color rgb="FFFF0000"/>
      <name val="Calibri"/>
      <family val="2"/>
      <scheme val="minor"/>
    </font>
    <font>
      <b/>
      <sz val="8"/>
      <color rgb="FFFF0000"/>
      <name val="Arial"/>
      <family val="2"/>
    </font>
    <font>
      <b/>
      <sz val="11"/>
      <color theme="1" tint="4.9989318521683403E-2"/>
      <name val="Calibri"/>
      <family val="2"/>
      <scheme val="minor"/>
    </font>
    <font>
      <sz val="11"/>
      <color theme="1" tint="4.9989318521683403E-2"/>
      <name val="Calibri"/>
      <family val="2"/>
      <scheme val="minor"/>
    </font>
    <font>
      <b/>
      <sz val="14"/>
      <color theme="1"/>
      <name val="Calibri"/>
      <family val="2"/>
      <scheme val="minor"/>
    </font>
    <font>
      <b/>
      <i/>
      <sz val="11"/>
      <color theme="1" tint="4.9989318521683403E-2"/>
      <name val="Calibri"/>
      <family val="2"/>
      <scheme val="minor"/>
    </font>
    <font>
      <i/>
      <sz val="11"/>
      <color theme="1"/>
      <name val="Calibri"/>
      <family val="2"/>
      <scheme val="minor"/>
    </font>
    <font>
      <b/>
      <i/>
      <sz val="11"/>
      <name val="Calibri"/>
      <family val="2"/>
      <scheme val="minor"/>
    </font>
    <font>
      <sz val="9"/>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theme="4"/>
      </patternFill>
    </fill>
  </fills>
  <borders count="15">
    <border>
      <left/>
      <right/>
      <top/>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medium">
        <color theme="1"/>
      </top>
      <bottom style="medium">
        <color theme="1"/>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s>
  <cellStyleXfs count="5">
    <xf numFmtId="0" fontId="0" fillId="0" borderId="0"/>
    <xf numFmtId="43" fontId="3" fillId="0" borderId="0" applyFont="0" applyFill="0" applyBorder="0" applyAlignment="0" applyProtection="0"/>
    <xf numFmtId="9" fontId="3" fillId="0" borderId="0" applyFont="0" applyFill="0" applyBorder="0" applyAlignment="0" applyProtection="0"/>
    <xf numFmtId="0" fontId="6" fillId="0" borderId="0"/>
    <xf numFmtId="0" fontId="17" fillId="0" borderId="0" applyFill="0" applyBorder="0">
      <alignment horizontal="left" vertical="top"/>
    </xf>
  </cellStyleXfs>
  <cellXfs count="223">
    <xf numFmtId="0" fontId="0" fillId="0" borderId="0" xfId="0"/>
    <xf numFmtId="164" fontId="0" fillId="0" borderId="1" xfId="1" applyNumberFormat="1" applyFont="1" applyBorder="1"/>
    <xf numFmtId="164" fontId="0" fillId="0" borderId="0" xfId="1" applyNumberFormat="1" applyFont="1"/>
    <xf numFmtId="164" fontId="2" fillId="0" borderId="0" xfId="1" applyNumberFormat="1" applyFont="1" applyBorder="1"/>
    <xf numFmtId="164" fontId="2" fillId="0" borderId="1" xfId="1" applyNumberFormat="1" applyFont="1" applyBorder="1"/>
    <xf numFmtId="43" fontId="0" fillId="0" borderId="0" xfId="1" applyFont="1"/>
    <xf numFmtId="164" fontId="7" fillId="0" borderId="0" xfId="1" applyNumberFormat="1" applyFont="1" applyBorder="1"/>
    <xf numFmtId="0" fontId="9" fillId="0" borderId="0" xfId="0" applyFont="1"/>
    <xf numFmtId="0" fontId="7" fillId="0" borderId="0" xfId="0" applyFont="1"/>
    <xf numFmtId="164" fontId="7" fillId="0" borderId="0" xfId="1" applyNumberFormat="1" applyFont="1"/>
    <xf numFmtId="0" fontId="7" fillId="0" borderId="1" xfId="0" applyFont="1" applyBorder="1"/>
    <xf numFmtId="43" fontId="7" fillId="0" borderId="0" xfId="1" applyFont="1"/>
    <xf numFmtId="164" fontId="7" fillId="0" borderId="1" xfId="0" applyNumberFormat="1" applyFont="1" applyBorder="1"/>
    <xf numFmtId="164" fontId="7" fillId="0" borderId="0" xfId="0" applyNumberFormat="1" applyFont="1"/>
    <xf numFmtId="164" fontId="2" fillId="0" borderId="0" xfId="1" applyNumberFormat="1" applyFont="1"/>
    <xf numFmtId="43" fontId="2" fillId="0" borderId="0" xfId="0" applyNumberFormat="1" applyFont="1"/>
    <xf numFmtId="43" fontId="2" fillId="0" borderId="1" xfId="0" applyNumberFormat="1" applyFont="1" applyBorder="1"/>
    <xf numFmtId="0" fontId="2" fillId="0" borderId="0" xfId="0" applyFont="1"/>
    <xf numFmtId="43" fontId="2" fillId="0" borderId="0" xfId="1" applyFont="1"/>
    <xf numFmtId="164" fontId="2" fillId="0" borderId="0" xfId="1" applyNumberFormat="1" applyFont="1" applyFill="1"/>
    <xf numFmtId="164" fontId="2" fillId="0" borderId="1" xfId="1" applyNumberFormat="1" applyFont="1" applyFill="1" applyBorder="1"/>
    <xf numFmtId="0" fontId="2" fillId="0" borderId="1" xfId="0" applyFont="1" applyBorder="1"/>
    <xf numFmtId="0" fontId="7" fillId="0" borderId="0" xfId="0" applyFont="1" applyAlignment="1">
      <alignment horizontal="left"/>
    </xf>
    <xf numFmtId="0" fontId="8" fillId="0" borderId="0" xfId="0" applyFont="1"/>
    <xf numFmtId="0" fontId="8" fillId="0" borderId="1" xfId="0" applyFont="1" applyBorder="1"/>
    <xf numFmtId="165" fontId="7" fillId="0" borderId="0" xfId="0" applyNumberFormat="1" applyFont="1"/>
    <xf numFmtId="10" fontId="7" fillId="0" borderId="0" xfId="2" applyNumberFormat="1" applyFont="1"/>
    <xf numFmtId="43" fontId="7" fillId="0" borderId="0" xfId="0" applyNumberFormat="1" applyFont="1"/>
    <xf numFmtId="9" fontId="7" fillId="0" borderId="0" xfId="2" applyFont="1"/>
    <xf numFmtId="1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1" xfId="0" applyFont="1" applyBorder="1" applyAlignment="1">
      <alignment horizontal="center"/>
    </xf>
    <xf numFmtId="0" fontId="4" fillId="0" borderId="1" xfId="0" applyFont="1" applyBorder="1"/>
    <xf numFmtId="0" fontId="2" fillId="0" borderId="0" xfId="0" applyFont="1" applyAlignment="1">
      <alignment wrapText="1"/>
    </xf>
    <xf numFmtId="0" fontId="2" fillId="0" borderId="1" xfId="0" applyFont="1" applyBorder="1" applyAlignment="1">
      <alignment wrapText="1"/>
    </xf>
    <xf numFmtId="10" fontId="5" fillId="0" borderId="0" xfId="2" applyNumberFormat="1" applyFont="1" applyFill="1" applyBorder="1"/>
    <xf numFmtId="164" fontId="3" fillId="0" borderId="1" xfId="1" applyNumberFormat="1" applyFont="1" applyBorder="1"/>
    <xf numFmtId="164" fontId="3" fillId="0" borderId="0" xfId="1" applyNumberFormat="1" applyFont="1" applyBorder="1"/>
    <xf numFmtId="0" fontId="0" fillId="0" borderId="1" xfId="0" applyBorder="1"/>
    <xf numFmtId="43" fontId="3" fillId="0" borderId="0" xfId="1" applyFont="1"/>
    <xf numFmtId="43" fontId="3" fillId="0" borderId="1" xfId="1" applyFont="1" applyBorder="1"/>
    <xf numFmtId="10" fontId="10" fillId="0" borderId="4" xfId="2" applyNumberFormat="1" applyFont="1" applyFill="1" applyBorder="1"/>
    <xf numFmtId="165" fontId="8" fillId="2" borderId="2" xfId="2" applyNumberFormat="1" applyFont="1" applyFill="1" applyBorder="1"/>
    <xf numFmtId="165" fontId="1" fillId="2" borderId="2" xfId="2" applyNumberFormat="1" applyFont="1" applyFill="1" applyBorder="1"/>
    <xf numFmtId="165" fontId="4" fillId="2" borderId="2" xfId="2" applyNumberFormat="1" applyFont="1" applyFill="1" applyBorder="1"/>
    <xf numFmtId="0" fontId="1" fillId="2" borderId="3" xfId="0" applyFont="1" applyFill="1" applyBorder="1"/>
    <xf numFmtId="0" fontId="4" fillId="0" borderId="0" xfId="0" applyFont="1"/>
    <xf numFmtId="0" fontId="4" fillId="2" borderId="2" xfId="0" applyFont="1" applyFill="1" applyBorder="1"/>
    <xf numFmtId="43" fontId="4" fillId="2" borderId="2" xfId="0" applyNumberFormat="1" applyFont="1" applyFill="1" applyBorder="1"/>
    <xf numFmtId="0" fontId="8" fillId="2" borderId="2" xfId="0" applyFont="1" applyFill="1" applyBorder="1"/>
    <xf numFmtId="0" fontId="2" fillId="0" borderId="0" xfId="0" applyFont="1" applyAlignment="1">
      <alignment horizontal="left"/>
    </xf>
    <xf numFmtId="165" fontId="1" fillId="2" borderId="3" xfId="2" applyNumberFormat="1" applyFont="1" applyFill="1" applyBorder="1"/>
    <xf numFmtId="0" fontId="12" fillId="0" borderId="0" xfId="0" applyFont="1"/>
    <xf numFmtId="164" fontId="2" fillId="0" borderId="0" xfId="1" applyNumberFormat="1" applyFont="1" applyFill="1" applyBorder="1"/>
    <xf numFmtId="0" fontId="1" fillId="2" borderId="2" xfId="0" applyFont="1" applyFill="1" applyBorder="1"/>
    <xf numFmtId="43" fontId="1" fillId="2" borderId="2" xfId="1" applyFont="1" applyFill="1" applyBorder="1"/>
    <xf numFmtId="10" fontId="1" fillId="2" borderId="2" xfId="2" applyNumberFormat="1" applyFont="1" applyFill="1" applyBorder="1"/>
    <xf numFmtId="10" fontId="4" fillId="2" borderId="2" xfId="2" applyNumberFormat="1" applyFont="1" applyFill="1" applyBorder="1"/>
    <xf numFmtId="0" fontId="0" fillId="0" borderId="1" xfId="0" applyBorder="1" applyAlignment="1">
      <alignment wrapText="1"/>
    </xf>
    <xf numFmtId="164" fontId="3" fillId="0" borderId="0" xfId="1" applyNumberFormat="1" applyFont="1"/>
    <xf numFmtId="164" fontId="0" fillId="0" borderId="0" xfId="0" applyNumberFormat="1"/>
    <xf numFmtId="164" fontId="0" fillId="0" borderId="1" xfId="0" applyNumberFormat="1" applyBorder="1"/>
    <xf numFmtId="0" fontId="0" fillId="0" borderId="0" xfId="0" applyAlignment="1">
      <alignment wrapText="1"/>
    </xf>
    <xf numFmtId="0" fontId="1" fillId="2" borderId="3" xfId="0" applyFont="1" applyFill="1" applyBorder="1" applyAlignment="1">
      <alignment wrapText="1"/>
    </xf>
    <xf numFmtId="0" fontId="1" fillId="2" borderId="2" xfId="0" applyFont="1" applyFill="1" applyBorder="1" applyAlignment="1">
      <alignment wrapText="1"/>
    </xf>
    <xf numFmtId="10" fontId="1" fillId="2" borderId="3" xfId="2" applyNumberFormat="1" applyFont="1" applyFill="1" applyBorder="1"/>
    <xf numFmtId="10" fontId="8" fillId="0" borderId="0" xfId="2" applyNumberFormat="1" applyFont="1" applyFill="1" applyBorder="1"/>
    <xf numFmtId="10" fontId="1" fillId="0" borderId="0" xfId="2" applyNumberFormat="1" applyFont="1" applyFill="1" applyBorder="1"/>
    <xf numFmtId="0" fontId="1" fillId="0" borderId="0" xfId="0" applyFont="1" applyAlignment="1">
      <alignment wrapText="1"/>
    </xf>
    <xf numFmtId="0" fontId="13" fillId="0" borderId="0" xfId="0" applyFont="1"/>
    <xf numFmtId="0" fontId="2" fillId="0" borderId="0" xfId="0" applyFont="1" applyAlignment="1">
      <alignment horizontal="left" wrapText="1"/>
    </xf>
    <xf numFmtId="164" fontId="3" fillId="0" borderId="0" xfId="0" applyNumberFormat="1" applyFont="1"/>
    <xf numFmtId="0" fontId="1" fillId="0" borderId="5" xfId="0" applyFont="1" applyBorder="1" applyAlignment="1">
      <alignment wrapText="1"/>
    </xf>
    <xf numFmtId="0" fontId="9" fillId="0" borderId="1" xfId="0" applyFont="1" applyBorder="1"/>
    <xf numFmtId="165" fontId="2" fillId="0" borderId="0" xfId="0" applyNumberFormat="1" applyFont="1"/>
    <xf numFmtId="0" fontId="4" fillId="2" borderId="2" xfId="0" applyFont="1" applyFill="1" applyBorder="1" applyAlignment="1">
      <alignment wrapText="1"/>
    </xf>
    <xf numFmtId="164" fontId="2" fillId="0" borderId="0" xfId="0" applyNumberFormat="1" applyFont="1"/>
    <xf numFmtId="0" fontId="11" fillId="0" borderId="0" xfId="0" applyFont="1"/>
    <xf numFmtId="0" fontId="2" fillId="0" borderId="0" xfId="0" applyFont="1" applyAlignment="1">
      <alignment horizontal="left" vertical="center"/>
    </xf>
    <xf numFmtId="0" fontId="2" fillId="0" borderId="0" xfId="0" applyFont="1" applyAlignment="1">
      <alignment vertical="center"/>
    </xf>
    <xf numFmtId="0" fontId="14" fillId="0" borderId="0" xfId="0" applyFont="1"/>
    <xf numFmtId="0" fontId="12" fillId="0" borderId="0" xfId="0" applyFont="1" applyAlignment="1">
      <alignment horizontal="left" wrapText="1"/>
    </xf>
    <xf numFmtId="0" fontId="0" fillId="0" borderId="0" xfId="0" applyAlignment="1">
      <alignment horizontal="left" wrapText="1"/>
    </xf>
    <xf numFmtId="0" fontId="12" fillId="2" borderId="0" xfId="0" applyFont="1" applyFill="1"/>
    <xf numFmtId="0" fontId="12" fillId="2" borderId="0" xfId="0" applyFont="1" applyFill="1" applyAlignment="1">
      <alignment horizontal="left" wrapText="1"/>
    </xf>
    <xf numFmtId="0" fontId="0" fillId="2" borderId="0" xfId="0" applyFill="1" applyAlignment="1">
      <alignment wrapText="1"/>
    </xf>
    <xf numFmtId="0" fontId="0" fillId="2" borderId="0" xfId="0" applyFill="1" applyAlignment="1">
      <alignment horizontal="left" wrapText="1"/>
    </xf>
    <xf numFmtId="0" fontId="0" fillId="2" borderId="0" xfId="0" applyFill="1"/>
    <xf numFmtId="0" fontId="2" fillId="2" borderId="0" xfId="0" applyFont="1" applyFill="1" applyAlignment="1">
      <alignment horizontal="left" wrapText="1"/>
    </xf>
    <xf numFmtId="0" fontId="15" fillId="0" borderId="0" xfId="0" applyFont="1"/>
    <xf numFmtId="0" fontId="12" fillId="0" borderId="0" xfId="0" applyFont="1" applyAlignment="1">
      <alignment wrapText="1"/>
    </xf>
    <xf numFmtId="0" fontId="1" fillId="3" borderId="6" xfId="0" applyFont="1" applyFill="1" applyBorder="1"/>
    <xf numFmtId="164" fontId="2" fillId="0" borderId="1" xfId="0" applyNumberFormat="1" applyFont="1" applyBorder="1"/>
    <xf numFmtId="165" fontId="4" fillId="2" borderId="3" xfId="2" applyNumberFormat="1" applyFont="1" applyFill="1" applyBorder="1"/>
    <xf numFmtId="10" fontId="4" fillId="2" borderId="3" xfId="2" applyNumberFormat="1" applyFont="1" applyFill="1" applyBorder="1"/>
    <xf numFmtId="43" fontId="4" fillId="2" borderId="2" xfId="1" applyFont="1" applyFill="1" applyBorder="1"/>
    <xf numFmtId="0" fontId="7" fillId="0" borderId="1" xfId="0" applyFont="1" applyBorder="1" applyAlignment="1">
      <alignment wrapText="1"/>
    </xf>
    <xf numFmtId="0" fontId="1" fillId="0" borderId="0" xfId="0" applyFont="1"/>
    <xf numFmtId="164" fontId="0" fillId="0" borderId="0" xfId="1" applyNumberFormat="1" applyFont="1" applyBorder="1"/>
    <xf numFmtId="0" fontId="1" fillId="3" borderId="6" xfId="0" applyFont="1" applyFill="1" applyBorder="1" applyAlignment="1">
      <alignment wrapText="1"/>
    </xf>
    <xf numFmtId="0" fontId="16" fillId="0" borderId="0" xfId="0" applyFont="1"/>
    <xf numFmtId="0" fontId="4" fillId="3" borderId="6" xfId="0" applyFont="1" applyFill="1" applyBorder="1"/>
    <xf numFmtId="0" fontId="4" fillId="3" borderId="6" xfId="0" applyFont="1" applyFill="1" applyBorder="1" applyAlignment="1">
      <alignment wrapText="1"/>
    </xf>
    <xf numFmtId="14" fontId="4" fillId="0" borderId="7" xfId="0" applyNumberFormat="1" applyFont="1" applyBorder="1" applyAlignment="1">
      <alignment horizontal="center" wrapText="1"/>
    </xf>
    <xf numFmtId="0" fontId="4" fillId="0" borderId="8" xfId="0" applyFont="1" applyBorder="1" applyAlignment="1">
      <alignment horizontal="center" wrapText="1"/>
    </xf>
    <xf numFmtId="0" fontId="2" fillId="0" borderId="9" xfId="0" applyFont="1" applyBorder="1"/>
    <xf numFmtId="0" fontId="7" fillId="0" borderId="10" xfId="0" applyFont="1" applyBorder="1"/>
    <xf numFmtId="164" fontId="2" fillId="0" borderId="9" xfId="1" applyNumberFormat="1" applyFont="1" applyBorder="1"/>
    <xf numFmtId="164" fontId="2" fillId="0" borderId="10" xfId="1" applyNumberFormat="1" applyFont="1" applyBorder="1"/>
    <xf numFmtId="164" fontId="0" fillId="0" borderId="7" xfId="0" applyNumberFormat="1" applyBorder="1"/>
    <xf numFmtId="164" fontId="3" fillId="0" borderId="8" xfId="1" applyNumberFormat="1" applyFont="1" applyBorder="1"/>
    <xf numFmtId="164" fontId="0" fillId="0" borderId="9" xfId="1" applyNumberFormat="1" applyFont="1" applyBorder="1"/>
    <xf numFmtId="164" fontId="3" fillId="0" borderId="10" xfId="1" applyNumberFormat="1" applyFont="1" applyBorder="1"/>
    <xf numFmtId="164" fontId="7" fillId="0" borderId="10" xfId="1" applyNumberFormat="1" applyFont="1" applyBorder="1"/>
    <xf numFmtId="164" fontId="2" fillId="0" borderId="7" xfId="1" applyNumberFormat="1" applyFont="1" applyBorder="1"/>
    <xf numFmtId="164" fontId="2" fillId="0" borderId="8" xfId="1" applyNumberFormat="1" applyFont="1" applyBorder="1"/>
    <xf numFmtId="0" fontId="7" fillId="0" borderId="9" xfId="0" applyFont="1" applyBorder="1"/>
    <xf numFmtId="165" fontId="4" fillId="2" borderId="11" xfId="2" applyNumberFormat="1" applyFont="1" applyFill="1" applyBorder="1"/>
    <xf numFmtId="165" fontId="4" fillId="2" borderId="12" xfId="2" applyNumberFormat="1" applyFont="1" applyFill="1" applyBorder="1"/>
    <xf numFmtId="0" fontId="9" fillId="0" borderId="10" xfId="0" applyFont="1" applyBorder="1"/>
    <xf numFmtId="164" fontId="2" fillId="0" borderId="9" xfId="0" applyNumberFormat="1" applyFont="1" applyBorder="1"/>
    <xf numFmtId="164" fontId="2" fillId="0" borderId="7" xfId="0" applyNumberFormat="1" applyFont="1" applyBorder="1"/>
    <xf numFmtId="165" fontId="4" fillId="2" borderId="13" xfId="2" applyNumberFormat="1" applyFont="1" applyFill="1" applyBorder="1"/>
    <xf numFmtId="165" fontId="1" fillId="2" borderId="14" xfId="2" applyNumberFormat="1" applyFont="1" applyFill="1" applyBorder="1"/>
    <xf numFmtId="10" fontId="4" fillId="2" borderId="11" xfId="2" applyNumberFormat="1" applyFont="1" applyFill="1" applyBorder="1"/>
    <xf numFmtId="10" fontId="4" fillId="2" borderId="12" xfId="2" applyNumberFormat="1" applyFont="1" applyFill="1" applyBorder="1"/>
    <xf numFmtId="0" fontId="0" fillId="0" borderId="9" xfId="0" applyBorder="1"/>
    <xf numFmtId="0" fontId="15" fillId="0" borderId="10" xfId="0" applyFont="1" applyBorder="1"/>
    <xf numFmtId="164" fontId="0" fillId="0" borderId="10" xfId="0" applyNumberFormat="1" applyBorder="1"/>
    <xf numFmtId="164" fontId="0" fillId="0" borderId="9" xfId="0" applyNumberFormat="1" applyBorder="1"/>
    <xf numFmtId="0" fontId="9" fillId="0" borderId="8" xfId="0" applyFont="1" applyBorder="1"/>
    <xf numFmtId="164" fontId="7" fillId="0" borderId="10" xfId="0" applyNumberFormat="1" applyFont="1" applyBorder="1"/>
    <xf numFmtId="0" fontId="2" fillId="0" borderId="9" xfId="0" applyFont="1" applyBorder="1" applyAlignment="1">
      <alignment wrapText="1"/>
    </xf>
    <xf numFmtId="0" fontId="2" fillId="0" borderId="10" xfId="0" applyFont="1" applyBorder="1" applyAlignment="1">
      <alignment wrapText="1"/>
    </xf>
    <xf numFmtId="0" fontId="2" fillId="0" borderId="8" xfId="0" applyFont="1" applyBorder="1" applyAlignment="1">
      <alignment wrapText="1"/>
    </xf>
    <xf numFmtId="164" fontId="7" fillId="0" borderId="8" xfId="0" applyNumberFormat="1" applyFont="1" applyBorder="1"/>
    <xf numFmtId="0" fontId="0" fillId="0" borderId="9" xfId="0" applyBorder="1" applyAlignment="1">
      <alignment wrapText="1"/>
    </xf>
    <xf numFmtId="165" fontId="1" fillId="2" borderId="11" xfId="2" applyNumberFormat="1" applyFont="1" applyFill="1" applyBorder="1"/>
    <xf numFmtId="0" fontId="1" fillId="2" borderId="12" xfId="0" applyFont="1" applyFill="1" applyBorder="1"/>
    <xf numFmtId="165" fontId="8" fillId="2" borderId="12" xfId="2" applyNumberFormat="1" applyFont="1" applyFill="1" applyBorder="1"/>
    <xf numFmtId="164" fontId="0" fillId="0" borderId="8" xfId="0" applyNumberFormat="1" applyBorder="1"/>
    <xf numFmtId="0" fontId="0" fillId="0" borderId="10" xfId="0" applyBorder="1"/>
    <xf numFmtId="164" fontId="0" fillId="0" borderId="7" xfId="1" applyNumberFormat="1" applyFont="1" applyBorder="1"/>
    <xf numFmtId="0" fontId="0" fillId="0" borderId="8" xfId="0" applyBorder="1" applyAlignment="1">
      <alignment wrapText="1"/>
    </xf>
    <xf numFmtId="165" fontId="1" fillId="2" borderId="13" xfId="2" applyNumberFormat="1" applyFont="1" applyFill="1" applyBorder="1"/>
    <xf numFmtId="0" fontId="1" fillId="2" borderId="14" xfId="0" applyFont="1" applyFill="1" applyBorder="1"/>
    <xf numFmtId="0" fontId="2" fillId="0" borderId="10" xfId="0" applyFont="1" applyBorder="1"/>
    <xf numFmtId="164" fontId="7" fillId="0" borderId="9" xfId="1" applyNumberFormat="1" applyFont="1" applyBorder="1"/>
    <xf numFmtId="10" fontId="1" fillId="2" borderId="11" xfId="2" applyNumberFormat="1" applyFont="1" applyFill="1" applyBorder="1"/>
    <xf numFmtId="10" fontId="1" fillId="2" borderId="12" xfId="2" applyNumberFormat="1" applyFont="1" applyFill="1" applyBorder="1"/>
    <xf numFmtId="0" fontId="4" fillId="0" borderId="9" xfId="0" applyFont="1" applyBorder="1"/>
    <xf numFmtId="10" fontId="8" fillId="0" borderId="10" xfId="2" applyNumberFormat="1" applyFont="1" applyFill="1" applyBorder="1"/>
    <xf numFmtId="164" fontId="3" fillId="0" borderId="9" xfId="1" applyNumberFormat="1" applyFont="1" applyBorder="1"/>
    <xf numFmtId="164" fontId="3" fillId="0" borderId="9" xfId="0" applyNumberFormat="1" applyFont="1" applyBorder="1"/>
    <xf numFmtId="0" fontId="1" fillId="0" borderId="9" xfId="0" applyFont="1" applyBorder="1"/>
    <xf numFmtId="10" fontId="4" fillId="2" borderId="13" xfId="2" applyNumberFormat="1" applyFont="1" applyFill="1" applyBorder="1"/>
    <xf numFmtId="10" fontId="1" fillId="0" borderId="10" xfId="2" applyNumberFormat="1" applyFont="1" applyFill="1" applyBorder="1"/>
    <xf numFmtId="43" fontId="0" fillId="0" borderId="9" xfId="1" applyFont="1" applyBorder="1"/>
    <xf numFmtId="43" fontId="0" fillId="0" borderId="0" xfId="1" applyFont="1" applyBorder="1"/>
    <xf numFmtId="43" fontId="3" fillId="0" borderId="7" xfId="1" applyFont="1" applyBorder="1"/>
    <xf numFmtId="0" fontId="7" fillId="0" borderId="8" xfId="0" applyFont="1" applyBorder="1"/>
    <xf numFmtId="43" fontId="3" fillId="0" borderId="9" xfId="1" applyFont="1" applyBorder="1"/>
    <xf numFmtId="43" fontId="3" fillId="0" borderId="0" xfId="1" applyFont="1" applyBorder="1"/>
    <xf numFmtId="43" fontId="3" fillId="0" borderId="10" xfId="1" applyFont="1" applyBorder="1"/>
    <xf numFmtId="43" fontId="7" fillId="0" borderId="0" xfId="1" applyFont="1" applyBorder="1"/>
    <xf numFmtId="43" fontId="1" fillId="2" borderId="11" xfId="1" applyFont="1" applyFill="1" applyBorder="1"/>
    <xf numFmtId="0" fontId="8" fillId="2" borderId="12" xfId="0" applyFont="1" applyFill="1" applyBorder="1"/>
    <xf numFmtId="10" fontId="5" fillId="0" borderId="9" xfId="2" applyNumberFormat="1" applyFont="1" applyFill="1" applyBorder="1"/>
    <xf numFmtId="43" fontId="1" fillId="2" borderId="12" xfId="1" applyFont="1" applyFill="1" applyBorder="1"/>
    <xf numFmtId="43" fontId="7" fillId="0" borderId="10" xfId="0" applyNumberFormat="1" applyFont="1" applyBorder="1"/>
    <xf numFmtId="43" fontId="2" fillId="0" borderId="9" xfId="0" applyNumberFormat="1" applyFont="1" applyBorder="1"/>
    <xf numFmtId="43" fontId="2" fillId="0" borderId="0" xfId="1" applyFont="1" applyBorder="1"/>
    <xf numFmtId="43" fontId="2" fillId="0" borderId="10" xfId="1" applyFont="1" applyBorder="1"/>
    <xf numFmtId="43" fontId="0" fillId="0" borderId="0" xfId="0" applyNumberFormat="1"/>
    <xf numFmtId="43" fontId="2" fillId="0" borderId="10" xfId="0" applyNumberFormat="1" applyFont="1" applyBorder="1"/>
    <xf numFmtId="43" fontId="2" fillId="0" borderId="7" xfId="0" applyNumberFormat="1" applyFont="1" applyBorder="1"/>
    <xf numFmtId="0" fontId="2" fillId="0" borderId="8" xfId="0" applyFont="1" applyBorder="1"/>
    <xf numFmtId="43" fontId="4" fillId="2" borderId="11" xfId="0" applyNumberFormat="1" applyFont="1" applyFill="1" applyBorder="1"/>
    <xf numFmtId="0" fontId="9" fillId="0" borderId="9" xfId="0" applyFont="1" applyBorder="1"/>
    <xf numFmtId="0" fontId="15" fillId="0" borderId="9" xfId="0" applyFont="1" applyBorder="1"/>
    <xf numFmtId="10" fontId="8" fillId="0" borderId="9" xfId="2" applyNumberFormat="1" applyFont="1" applyFill="1" applyBorder="1"/>
    <xf numFmtId="10" fontId="1" fillId="0" borderId="9" xfId="2" applyNumberFormat="1" applyFont="1" applyFill="1" applyBorder="1"/>
    <xf numFmtId="43" fontId="7" fillId="0" borderId="9" xfId="0" applyNumberFormat="1" applyFont="1" applyBorder="1"/>
    <xf numFmtId="43" fontId="2" fillId="0" borderId="9" xfId="1" applyFont="1" applyBorder="1"/>
    <xf numFmtId="0" fontId="4" fillId="2" borderId="12" xfId="0" applyFont="1" applyFill="1" applyBorder="1"/>
    <xf numFmtId="164" fontId="0" fillId="0" borderId="1" xfId="1" applyNumberFormat="1" applyFont="1" applyFill="1" applyBorder="1"/>
    <xf numFmtId="164" fontId="2" fillId="0" borderId="10" xfId="1" applyNumberFormat="1" applyFont="1" applyFill="1" applyBorder="1"/>
    <xf numFmtId="164" fontId="3" fillId="0" borderId="0" xfId="1" applyNumberFormat="1" applyFont="1" applyFill="1"/>
    <xf numFmtId="14" fontId="4" fillId="0" borderId="1" xfId="0" applyNumberFormat="1" applyFont="1" applyBorder="1" applyAlignment="1">
      <alignment horizontal="center"/>
    </xf>
    <xf numFmtId="165" fontId="4" fillId="0" borderId="0" xfId="2" applyNumberFormat="1" applyFont="1" applyFill="1" applyBorder="1"/>
    <xf numFmtId="165" fontId="4" fillId="0" borderId="9" xfId="2" applyNumberFormat="1" applyFont="1" applyFill="1" applyBorder="1"/>
    <xf numFmtId="165" fontId="1" fillId="0" borderId="0" xfId="2" applyNumberFormat="1" applyFont="1" applyFill="1" applyBorder="1"/>
    <xf numFmtId="165" fontId="4" fillId="0" borderId="10" xfId="2" applyNumberFormat="1" applyFont="1" applyFill="1" applyBorder="1"/>
    <xf numFmtId="0" fontId="4" fillId="2" borderId="3" xfId="0" applyFont="1" applyFill="1" applyBorder="1" applyAlignment="1">
      <alignment wrapText="1"/>
    </xf>
    <xf numFmtId="10" fontId="10" fillId="0" borderId="0" xfId="2" applyNumberFormat="1" applyFont="1" applyFill="1" applyBorder="1"/>
    <xf numFmtId="0" fontId="4" fillId="0" borderId="0" xfId="0" applyFont="1" applyAlignment="1">
      <alignment wrapText="1"/>
    </xf>
    <xf numFmtId="10" fontId="4" fillId="0" borderId="0" xfId="2" applyNumberFormat="1" applyFont="1" applyFill="1" applyBorder="1"/>
    <xf numFmtId="10" fontId="4" fillId="0" borderId="9" xfId="2" applyNumberFormat="1" applyFont="1" applyFill="1" applyBorder="1"/>
    <xf numFmtId="14" fontId="4" fillId="0" borderId="7" xfId="0" applyNumberFormat="1" applyFont="1" applyBorder="1" applyAlignment="1">
      <alignment horizontal="center"/>
    </xf>
    <xf numFmtId="164" fontId="3" fillId="0" borderId="7" xfId="1" applyNumberFormat="1" applyFont="1" applyBorder="1"/>
    <xf numFmtId="165" fontId="1" fillId="0" borderId="9" xfId="2" applyNumberFormat="1" applyFont="1" applyFill="1" applyBorder="1"/>
    <xf numFmtId="14" fontId="4" fillId="0" borderId="8" xfId="0" applyNumberFormat="1" applyFont="1" applyBorder="1" applyAlignment="1">
      <alignment horizontal="center"/>
    </xf>
    <xf numFmtId="0" fontId="0" fillId="0" borderId="10" xfId="0" applyBorder="1" applyAlignment="1">
      <alignment wrapText="1"/>
    </xf>
    <xf numFmtId="0" fontId="4" fillId="0" borderId="10" xfId="0" applyFont="1" applyBorder="1"/>
    <xf numFmtId="10" fontId="4" fillId="2" borderId="14" xfId="2" applyNumberFormat="1" applyFont="1" applyFill="1" applyBorder="1"/>
    <xf numFmtId="10" fontId="5" fillId="0" borderId="10" xfId="2" applyNumberFormat="1" applyFont="1" applyFill="1" applyBorder="1"/>
    <xf numFmtId="43" fontId="4" fillId="2" borderId="12" xfId="1" applyFont="1" applyFill="1" applyBorder="1"/>
    <xf numFmtId="43" fontId="0" fillId="0" borderId="10" xfId="1" applyFont="1" applyBorder="1"/>
    <xf numFmtId="10" fontId="4" fillId="0" borderId="10" xfId="2" applyNumberFormat="1" applyFont="1" applyFill="1" applyBorder="1"/>
    <xf numFmtId="164" fontId="3" fillId="0" borderId="10" xfId="1" applyNumberFormat="1" applyFont="1" applyFill="1" applyBorder="1"/>
    <xf numFmtId="43" fontId="3" fillId="0" borderId="1" xfId="1" applyFont="1" applyFill="1" applyBorder="1"/>
    <xf numFmtId="164" fontId="3" fillId="0" borderId="0" xfId="1" applyNumberFormat="1" applyFont="1" applyFill="1" applyBorder="1"/>
    <xf numFmtId="164" fontId="2" fillId="0" borderId="9" xfId="1" applyNumberFormat="1" applyFont="1" applyFill="1" applyBorder="1"/>
    <xf numFmtId="43" fontId="3" fillId="0" borderId="7" xfId="1" applyFont="1" applyFill="1" applyBorder="1"/>
    <xf numFmtId="43" fontId="7" fillId="0" borderId="9" xfId="1" applyFont="1" applyBorder="1"/>
    <xf numFmtId="166" fontId="3" fillId="0" borderId="0" xfId="1" applyNumberFormat="1" applyFont="1" applyBorder="1"/>
    <xf numFmtId="167" fontId="3" fillId="0" borderId="0" xfId="1" applyNumberFormat="1" applyFont="1" applyBorder="1"/>
    <xf numFmtId="0" fontId="0" fillId="0" borderId="0" xfId="0" applyFill="1"/>
    <xf numFmtId="0" fontId="2" fillId="0" borderId="0" xfId="0" applyFont="1" applyFill="1"/>
    <xf numFmtId="0" fontId="7" fillId="0" borderId="0" xfId="0" applyFont="1" applyFill="1"/>
    <xf numFmtId="0" fontId="2" fillId="0" borderId="1" xfId="0" applyFont="1" applyFill="1" applyBorder="1"/>
    <xf numFmtId="0" fontId="0" fillId="0" borderId="0" xfId="0" applyAlignment="1">
      <alignment horizontal="left" wrapText="1"/>
    </xf>
    <xf numFmtId="0" fontId="0" fillId="0" borderId="0" xfId="0" applyAlignment="1">
      <alignment horizontal="left" vertical="center" wrapText="1"/>
    </xf>
  </cellXfs>
  <cellStyles count="5">
    <cellStyle name="EYtext" xfId="4" xr:uid="{4AC49DC1-D037-4FAD-BA16-736B9FF2C3CD}"/>
    <cellStyle name="Komma" xfId="1" builtinId="3"/>
    <cellStyle name="Normal" xfId="0" builtinId="0"/>
    <cellStyle name="Normal 2" xfId="3" xr:uid="{00000000-0005-0000-0000-00000200000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A0F9A-8D5C-4F91-90E0-CD98CC34D3AE}">
  <sheetPr>
    <tabColor theme="4" tint="-0.249977111117893"/>
    <pageSetUpPr fitToPage="1"/>
  </sheetPr>
  <dimension ref="A1:P59"/>
  <sheetViews>
    <sheetView showGridLines="0" zoomScaleNormal="100" workbookViewId="0">
      <selection activeCell="F12" sqref="F12"/>
    </sheetView>
  </sheetViews>
  <sheetFormatPr baseColWidth="10" defaultColWidth="11.42578125" defaultRowHeight="15" x14ac:dyDescent="0.25"/>
  <cols>
    <col min="1" max="1" width="60.28515625" style="8" customWidth="1"/>
    <col min="2" max="2" width="148.42578125" style="8" customWidth="1"/>
    <col min="3" max="16" width="11.42578125" style="17"/>
    <col min="17" max="16384" width="11.42578125" style="8"/>
  </cols>
  <sheetData>
    <row r="1" spans="1:16" ht="18.75" x14ac:dyDescent="0.3">
      <c r="A1" s="69" t="s">
        <v>0</v>
      </c>
    </row>
    <row r="2" spans="1:16" s="22" customFormat="1" ht="83.25" customHeight="1" x14ac:dyDescent="0.25">
      <c r="A2" s="221" t="s">
        <v>1</v>
      </c>
      <c r="B2" s="221"/>
      <c r="C2" s="78"/>
      <c r="D2" s="50"/>
      <c r="E2" s="50"/>
      <c r="F2" s="50"/>
      <c r="G2" s="50"/>
      <c r="H2" s="50"/>
      <c r="I2" s="50"/>
      <c r="J2" s="50"/>
      <c r="K2" s="50"/>
      <c r="L2" s="50"/>
      <c r="M2" s="50"/>
      <c r="N2" s="50"/>
      <c r="O2" s="50"/>
      <c r="P2" s="50"/>
    </row>
    <row r="3" spans="1:16" s="22" customFormat="1" ht="7.5" customHeight="1" thickBot="1" x14ac:dyDescent="0.3">
      <c r="A3" s="70"/>
      <c r="B3" s="82"/>
      <c r="C3" s="78"/>
      <c r="D3" s="50"/>
      <c r="E3" s="50"/>
      <c r="F3" s="50"/>
      <c r="G3" s="50"/>
      <c r="H3" s="50"/>
      <c r="I3" s="50"/>
      <c r="J3" s="50"/>
      <c r="K3" s="50"/>
      <c r="L3" s="50"/>
      <c r="M3" s="50"/>
      <c r="N3" s="50"/>
      <c r="O3" s="50"/>
      <c r="P3" s="50"/>
    </row>
    <row r="4" spans="1:16" ht="24.75" customHeight="1" thickBot="1" x14ac:dyDescent="0.3">
      <c r="A4" s="91" t="s">
        <v>2</v>
      </c>
      <c r="B4" s="101" t="s">
        <v>3</v>
      </c>
    </row>
    <row r="5" spans="1:16" ht="22.5" customHeight="1" x14ac:dyDescent="0.25">
      <c r="A5" s="80" t="s">
        <v>4</v>
      </c>
      <c r="B5" s="77"/>
    </row>
    <row r="6" spans="1:16" ht="45.75" customHeight="1" x14ac:dyDescent="0.25">
      <c r="A6" s="83" t="s">
        <v>5</v>
      </c>
      <c r="B6" s="84" t="s">
        <v>6</v>
      </c>
      <c r="C6" s="79"/>
    </row>
    <row r="7" spans="1:16" ht="18.75" customHeight="1" x14ac:dyDescent="0.25">
      <c r="A7" s="52" t="s">
        <v>7</v>
      </c>
      <c r="B7" s="81" t="s">
        <v>8</v>
      </c>
      <c r="C7" s="79"/>
    </row>
    <row r="8" spans="1:16" ht="18.75" customHeight="1" x14ac:dyDescent="0.25">
      <c r="A8" s="83" t="s">
        <v>9</v>
      </c>
      <c r="B8" s="84" t="s">
        <v>10</v>
      </c>
      <c r="C8" s="79"/>
    </row>
    <row r="9" spans="1:16" ht="63.75" customHeight="1" x14ac:dyDescent="0.25">
      <c r="A9" s="90" t="s">
        <v>11</v>
      </c>
      <c r="B9" s="81" t="s">
        <v>12</v>
      </c>
      <c r="C9" s="79"/>
    </row>
    <row r="10" spans="1:16" ht="33" customHeight="1" x14ac:dyDescent="0.25">
      <c r="A10" s="83" t="s">
        <v>13</v>
      </c>
      <c r="B10" s="84" t="s">
        <v>14</v>
      </c>
      <c r="C10" s="79"/>
    </row>
    <row r="11" spans="1:16" ht="22.5" customHeight="1" x14ac:dyDescent="0.25">
      <c r="A11" s="80" t="s">
        <v>15</v>
      </c>
      <c r="B11" s="77"/>
    </row>
    <row r="12" spans="1:16" ht="33" customHeight="1" x14ac:dyDescent="0.25">
      <c r="A12" s="85" t="s">
        <v>16</v>
      </c>
      <c r="B12" s="86" t="s">
        <v>17</v>
      </c>
      <c r="C12" s="79"/>
    </row>
    <row r="13" spans="1:16" ht="63.75" customHeight="1" x14ac:dyDescent="0.25">
      <c r="A13" s="62" t="s">
        <v>18</v>
      </c>
      <c r="B13" s="82" t="s">
        <v>19</v>
      </c>
      <c r="C13" s="79"/>
    </row>
    <row r="14" spans="1:16" ht="34.5" customHeight="1" x14ac:dyDescent="0.25">
      <c r="A14" s="85" t="s">
        <v>20</v>
      </c>
      <c r="B14" s="86" t="s">
        <v>21</v>
      </c>
      <c r="C14" s="79"/>
    </row>
    <row r="15" spans="1:16" ht="18.75" customHeight="1" x14ac:dyDescent="0.25">
      <c r="A15" s="62" t="s">
        <v>22</v>
      </c>
      <c r="B15" s="82" t="s">
        <v>23</v>
      </c>
      <c r="C15" s="79"/>
    </row>
    <row r="16" spans="1:16" ht="35.25" customHeight="1" x14ac:dyDescent="0.25">
      <c r="A16" s="85" t="s">
        <v>24</v>
      </c>
      <c r="B16" s="86" t="s">
        <v>25</v>
      </c>
      <c r="C16" s="79"/>
    </row>
    <row r="17" spans="1:3" ht="22.5" customHeight="1" x14ac:dyDescent="0.25">
      <c r="A17" s="80" t="s">
        <v>26</v>
      </c>
      <c r="B17" s="77"/>
    </row>
    <row r="18" spans="1:3" ht="47.25" customHeight="1" x14ac:dyDescent="0.25">
      <c r="A18" s="87" t="s">
        <v>27</v>
      </c>
      <c r="B18" s="88" t="s">
        <v>28</v>
      </c>
      <c r="C18" s="79"/>
    </row>
    <row r="19" spans="1:3" ht="94.5" customHeight="1" x14ac:dyDescent="0.25">
      <c r="A19" s="62" t="s">
        <v>29</v>
      </c>
      <c r="B19" s="82" t="s">
        <v>30</v>
      </c>
      <c r="C19" s="79"/>
    </row>
    <row r="20" spans="1:3" ht="51" customHeight="1" x14ac:dyDescent="0.25">
      <c r="A20" s="85" t="s">
        <v>31</v>
      </c>
      <c r="B20" s="86" t="s">
        <v>32</v>
      </c>
      <c r="C20" s="79"/>
    </row>
    <row r="21" spans="1:3" ht="79.5" customHeight="1" x14ac:dyDescent="0.25">
      <c r="A21" s="62" t="s">
        <v>33</v>
      </c>
      <c r="B21" s="82" t="s">
        <v>34</v>
      </c>
      <c r="C21" s="79"/>
    </row>
    <row r="22" spans="1:3" ht="46.5" customHeight="1" x14ac:dyDescent="0.25">
      <c r="A22" s="85" t="s">
        <v>35</v>
      </c>
      <c r="B22" s="86" t="s">
        <v>36</v>
      </c>
      <c r="C22" s="79"/>
    </row>
    <row r="23" spans="1:3" ht="77.25" customHeight="1" x14ac:dyDescent="0.25">
      <c r="A23" s="62" t="s">
        <v>37</v>
      </c>
      <c r="B23" s="82" t="s">
        <v>38</v>
      </c>
      <c r="C23" s="79"/>
    </row>
    <row r="24" spans="1:3" ht="22.5" customHeight="1" x14ac:dyDescent="0.25">
      <c r="A24" s="80" t="s">
        <v>39</v>
      </c>
      <c r="B24" s="77"/>
    </row>
    <row r="25" spans="1:3" ht="33" customHeight="1" x14ac:dyDescent="0.25">
      <c r="A25" s="83" t="s">
        <v>40</v>
      </c>
      <c r="B25" s="84" t="s">
        <v>41</v>
      </c>
      <c r="C25" s="79"/>
    </row>
    <row r="26" spans="1:3" ht="33" customHeight="1" x14ac:dyDescent="0.25">
      <c r="A26" s="52" t="s">
        <v>42</v>
      </c>
      <c r="B26" s="81" t="s">
        <v>43</v>
      </c>
      <c r="C26" s="79"/>
    </row>
    <row r="27" spans="1:3" ht="33" customHeight="1" x14ac:dyDescent="0.25">
      <c r="A27" s="83" t="s">
        <v>44</v>
      </c>
      <c r="B27" s="84" t="s">
        <v>45</v>
      </c>
      <c r="C27" s="79"/>
    </row>
    <row r="28" spans="1:3" ht="24.75" customHeight="1" x14ac:dyDescent="0.25">
      <c r="A28" s="77"/>
      <c r="B28" s="77"/>
    </row>
    <row r="29" spans="1:3" ht="24.75" customHeight="1" x14ac:dyDescent="0.25">
      <c r="A29" s="77"/>
      <c r="B29" s="77"/>
    </row>
    <row r="30" spans="1:3" ht="24.75" customHeight="1" x14ac:dyDescent="0.25">
      <c r="A30" s="77"/>
      <c r="B30" s="77"/>
    </row>
    <row r="31" spans="1:3" ht="24.75" customHeight="1" x14ac:dyDescent="0.25">
      <c r="A31" s="77"/>
      <c r="B31" s="77"/>
    </row>
    <row r="32" spans="1:3" ht="24.75" customHeight="1" x14ac:dyDescent="0.25">
      <c r="A32" s="77"/>
      <c r="B32" s="77"/>
    </row>
    <row r="33" spans="1:2" ht="24.75" customHeight="1" x14ac:dyDescent="0.25">
      <c r="A33" s="77"/>
      <c r="B33" s="77"/>
    </row>
    <row r="34" spans="1:2" ht="24.75" customHeight="1" x14ac:dyDescent="0.25">
      <c r="A34" s="77"/>
      <c r="B34" s="77"/>
    </row>
    <row r="35" spans="1:2" ht="24.75" customHeight="1" x14ac:dyDescent="0.25">
      <c r="A35" s="77"/>
      <c r="B35" s="77"/>
    </row>
    <row r="36" spans="1:2" ht="24.75" customHeight="1" x14ac:dyDescent="0.25">
      <c r="A36" s="77"/>
      <c r="B36" s="77"/>
    </row>
    <row r="37" spans="1:2" ht="24.75" customHeight="1" x14ac:dyDescent="0.25">
      <c r="A37" s="77"/>
      <c r="B37" s="77"/>
    </row>
    <row r="38" spans="1:2" ht="24.75" customHeight="1" x14ac:dyDescent="0.25">
      <c r="A38" s="77"/>
      <c r="B38" s="77"/>
    </row>
    <row r="39" spans="1:2" ht="24.75" customHeight="1" x14ac:dyDescent="0.25">
      <c r="A39" s="77"/>
      <c r="B39" s="77"/>
    </row>
    <row r="40" spans="1:2" ht="24.75" customHeight="1" x14ac:dyDescent="0.25">
      <c r="A40" s="77"/>
      <c r="B40" s="77"/>
    </row>
    <row r="41" spans="1:2" ht="24.75" customHeight="1" x14ac:dyDescent="0.25">
      <c r="A41" s="77"/>
      <c r="B41" s="77"/>
    </row>
    <row r="42" spans="1:2" ht="24.75" customHeight="1" x14ac:dyDescent="0.25">
      <c r="A42" s="77"/>
      <c r="B42" s="77"/>
    </row>
    <row r="43" spans="1:2" ht="24.75" customHeight="1" x14ac:dyDescent="0.25">
      <c r="A43" s="77"/>
      <c r="B43" s="77"/>
    </row>
    <row r="44" spans="1:2" ht="24.75" customHeight="1" x14ac:dyDescent="0.25">
      <c r="A44" s="77"/>
      <c r="B44" s="77"/>
    </row>
    <row r="45" spans="1:2" ht="24.75" customHeight="1" x14ac:dyDescent="0.25">
      <c r="A45" s="77"/>
      <c r="B45" s="77"/>
    </row>
    <row r="46" spans="1:2" ht="24.75" customHeight="1" x14ac:dyDescent="0.25">
      <c r="A46" s="77"/>
      <c r="B46" s="77"/>
    </row>
    <row r="47" spans="1:2" ht="24.75" customHeight="1" x14ac:dyDescent="0.25">
      <c r="A47" s="77"/>
      <c r="B47" s="77"/>
    </row>
    <row r="48" spans="1:2" ht="24.75" customHeight="1" x14ac:dyDescent="0.25">
      <c r="A48" s="77"/>
      <c r="B48" s="77"/>
    </row>
    <row r="49" spans="1:2" ht="24.75" customHeight="1" x14ac:dyDescent="0.25">
      <c r="A49" s="77"/>
      <c r="B49" s="77"/>
    </row>
    <row r="50" spans="1:2" ht="24.75" customHeight="1" x14ac:dyDescent="0.25">
      <c r="A50" s="77"/>
      <c r="B50" s="77"/>
    </row>
    <row r="51" spans="1:2" ht="24.75" customHeight="1" x14ac:dyDescent="0.25">
      <c r="A51" s="77"/>
      <c r="B51" s="77"/>
    </row>
    <row r="52" spans="1:2" ht="24.75" customHeight="1" x14ac:dyDescent="0.25">
      <c r="A52" s="77"/>
      <c r="B52" s="77"/>
    </row>
    <row r="53" spans="1:2" ht="24.75" customHeight="1" x14ac:dyDescent="0.25">
      <c r="A53" s="77"/>
      <c r="B53" s="77"/>
    </row>
    <row r="54" spans="1:2" ht="24.75" customHeight="1" x14ac:dyDescent="0.25">
      <c r="A54" s="77"/>
      <c r="B54" s="77"/>
    </row>
    <row r="55" spans="1:2" ht="24.75" customHeight="1" x14ac:dyDescent="0.25">
      <c r="A55" s="77"/>
      <c r="B55" s="77"/>
    </row>
    <row r="56" spans="1:2" ht="24.75" customHeight="1" x14ac:dyDescent="0.25">
      <c r="A56" s="77"/>
      <c r="B56" s="77"/>
    </row>
    <row r="57" spans="1:2" ht="24.75" customHeight="1" x14ac:dyDescent="0.25">
      <c r="A57" s="77"/>
      <c r="B57" s="77"/>
    </row>
    <row r="58" spans="1:2" ht="24.75" customHeight="1" x14ac:dyDescent="0.25">
      <c r="A58" s="77"/>
      <c r="B58" s="77"/>
    </row>
    <row r="59" spans="1:2" ht="24.75" customHeight="1" x14ac:dyDescent="0.25">
      <c r="A59" s="77"/>
      <c r="B59" s="77"/>
    </row>
  </sheetData>
  <mergeCells count="1">
    <mergeCell ref="A2:B2"/>
  </mergeCells>
  <pageMargins left="0.31496062992125984" right="0.31496062992125984" top="0.15748031496062992" bottom="0.15748031496062992" header="0.31496062992125984" footer="0.31496062992125984"/>
  <pageSetup paperSize="9" scale="67" fitToHeight="2"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B3F3-E928-47DB-B1BD-6866CCF83F1D}">
  <sheetPr>
    <tabColor theme="4" tint="-0.249977111117893"/>
  </sheetPr>
  <dimension ref="A1:EL196"/>
  <sheetViews>
    <sheetView zoomScale="90" zoomScaleNormal="90" zoomScaleSheetLayoutView="90" workbookViewId="0">
      <pane xSplit="1" ySplit="1" topLeftCell="B2" activePane="bottomRight" state="frozen"/>
      <selection pane="topRight" activeCell="A17" sqref="A17:XFD17"/>
      <selection pane="bottomLeft" activeCell="A17" sqref="A17:XFD17"/>
      <selection pane="bottomRight" activeCell="F112" sqref="F112"/>
    </sheetView>
  </sheetViews>
  <sheetFormatPr baseColWidth="10" defaultColWidth="11.42578125" defaultRowHeight="15" x14ac:dyDescent="0.25"/>
  <cols>
    <col min="1" max="1" width="57.5703125" style="8" customWidth="1"/>
    <col min="2" max="2" width="15.85546875" style="8" customWidth="1"/>
    <col min="3" max="3" width="14.140625" style="8" customWidth="1"/>
    <col min="4" max="7" width="13.5703125" style="8" customWidth="1"/>
    <col min="8" max="11" width="13.7109375" style="17" customWidth="1"/>
    <col min="12" max="17" width="13.5703125" style="8" customWidth="1"/>
    <col min="18" max="19" width="13.7109375" style="17" customWidth="1"/>
    <col min="20" max="25" width="13.5703125" style="8" customWidth="1"/>
    <col min="26" max="29" width="13.7109375" style="17" customWidth="1"/>
    <col min="30" max="43" width="13.7109375" style="8" customWidth="1"/>
    <col min="44" max="16384" width="11.42578125" style="8"/>
  </cols>
  <sheetData>
    <row r="1" spans="1:65" s="24" customFormat="1" x14ac:dyDescent="0.25">
      <c r="A1" s="32" t="s">
        <v>46</v>
      </c>
      <c r="B1" s="29">
        <v>44651</v>
      </c>
      <c r="C1" s="30" t="s">
        <v>291</v>
      </c>
      <c r="D1" s="198">
        <v>44561</v>
      </c>
      <c r="E1" s="31" t="s">
        <v>47</v>
      </c>
      <c r="F1" s="188">
        <v>44469</v>
      </c>
      <c r="G1" s="31" t="s">
        <v>48</v>
      </c>
      <c r="H1" s="29">
        <v>44377</v>
      </c>
      <c r="I1" s="30" t="s">
        <v>49</v>
      </c>
      <c r="J1" s="29">
        <v>44286</v>
      </c>
      <c r="K1" s="30" t="s">
        <v>50</v>
      </c>
      <c r="L1" s="198">
        <v>44196</v>
      </c>
      <c r="M1" s="31" t="s">
        <v>51</v>
      </c>
      <c r="N1" s="188">
        <v>44104</v>
      </c>
      <c r="O1" s="31" t="s">
        <v>52</v>
      </c>
      <c r="P1" s="29">
        <v>44012</v>
      </c>
      <c r="Q1" s="30" t="s">
        <v>53</v>
      </c>
      <c r="R1" s="29">
        <v>43921</v>
      </c>
      <c r="S1" s="30" t="s">
        <v>54</v>
      </c>
      <c r="T1" s="198">
        <v>43830</v>
      </c>
      <c r="U1" s="31" t="s">
        <v>55</v>
      </c>
      <c r="V1" s="188">
        <v>43738</v>
      </c>
      <c r="W1" s="31" t="s">
        <v>56</v>
      </c>
      <c r="X1" s="29">
        <v>43646</v>
      </c>
      <c r="Y1" s="30" t="s">
        <v>57</v>
      </c>
      <c r="Z1" s="29">
        <v>43555</v>
      </c>
      <c r="AA1" s="30" t="s">
        <v>58</v>
      </c>
      <c r="AB1" s="103">
        <v>43465</v>
      </c>
      <c r="AC1" s="30" t="s">
        <v>59</v>
      </c>
      <c r="AD1" s="29">
        <v>43373</v>
      </c>
      <c r="AE1" s="30" t="s">
        <v>60</v>
      </c>
      <c r="AF1" s="29">
        <v>43281</v>
      </c>
      <c r="AG1" s="30" t="s">
        <v>61</v>
      </c>
      <c r="AH1" s="29">
        <v>43190</v>
      </c>
      <c r="AI1" s="104" t="s">
        <v>62</v>
      </c>
      <c r="AJ1" s="29">
        <v>43100</v>
      </c>
      <c r="AK1" s="30" t="s">
        <v>63</v>
      </c>
      <c r="AL1" s="29">
        <v>43008</v>
      </c>
      <c r="AM1" s="30" t="s">
        <v>64</v>
      </c>
      <c r="AN1" s="29">
        <v>42916</v>
      </c>
      <c r="AO1" s="30" t="s">
        <v>65</v>
      </c>
      <c r="AP1" s="29">
        <v>42825</v>
      </c>
      <c r="AQ1" s="30" t="s">
        <v>66</v>
      </c>
      <c r="AR1" s="31"/>
      <c r="AS1" s="32"/>
      <c r="AT1" s="32"/>
      <c r="AU1" s="32"/>
      <c r="AV1" s="32"/>
      <c r="AW1" s="32"/>
      <c r="AX1" s="32"/>
      <c r="AY1" s="32"/>
      <c r="AZ1" s="32"/>
      <c r="BA1" s="32"/>
      <c r="BB1" s="32"/>
      <c r="BC1" s="32"/>
      <c r="BD1" s="32"/>
      <c r="BE1" s="32"/>
      <c r="BF1" s="32"/>
      <c r="BG1" s="32"/>
      <c r="BH1" s="32"/>
      <c r="BI1" s="32"/>
      <c r="BJ1" s="32"/>
      <c r="BK1" s="32"/>
      <c r="BL1" s="32"/>
      <c r="BM1" s="32"/>
    </row>
    <row r="2" spans="1:65" x14ac:dyDescent="0.25">
      <c r="D2" s="116"/>
      <c r="L2" s="116"/>
      <c r="T2" s="116"/>
      <c r="AB2" s="105"/>
      <c r="AI2" s="106"/>
      <c r="AR2" s="17"/>
      <c r="AS2" s="17"/>
      <c r="AT2" s="17"/>
      <c r="AU2" s="17"/>
      <c r="AV2" s="17"/>
      <c r="AW2" s="17"/>
      <c r="AX2" s="17"/>
      <c r="AY2" s="17"/>
      <c r="AZ2" s="17"/>
      <c r="BA2" s="17"/>
      <c r="BB2" s="17"/>
      <c r="BC2" s="17"/>
      <c r="BD2" s="17"/>
      <c r="BE2" s="17"/>
      <c r="BF2" s="17"/>
      <c r="BG2" s="17"/>
      <c r="BH2" s="17"/>
      <c r="BI2" s="17"/>
      <c r="BJ2" s="17"/>
      <c r="BK2" s="17"/>
      <c r="BL2" s="17"/>
      <c r="BM2" s="17"/>
    </row>
    <row r="3" spans="1:65" x14ac:dyDescent="0.25">
      <c r="A3" s="17" t="s">
        <v>67</v>
      </c>
      <c r="B3" s="3">
        <f>C3</f>
        <v>753</v>
      </c>
      <c r="C3" s="3">
        <v>753</v>
      </c>
      <c r="D3" s="107">
        <f>I3+E3+G3+K3</f>
        <v>3156</v>
      </c>
      <c r="E3" s="3">
        <v>889</v>
      </c>
      <c r="F3" s="3">
        <f>K3+G3+I3</f>
        <v>2267</v>
      </c>
      <c r="G3" s="3">
        <v>733</v>
      </c>
      <c r="H3" s="3">
        <f>K3+I3</f>
        <v>1534</v>
      </c>
      <c r="I3" s="3">
        <v>816</v>
      </c>
      <c r="J3" s="3">
        <f>K3</f>
        <v>718</v>
      </c>
      <c r="K3" s="3">
        <v>718</v>
      </c>
      <c r="L3" s="107">
        <f>Q3+M3+O3+S3</f>
        <v>1589.932</v>
      </c>
      <c r="M3" s="3">
        <v>608</v>
      </c>
      <c r="N3" s="3">
        <f>S3+O3+Q3</f>
        <v>981.93200000000002</v>
      </c>
      <c r="O3" s="3">
        <v>505</v>
      </c>
      <c r="P3" s="3">
        <f>Q3+S3</f>
        <v>476.93200000000002</v>
      </c>
      <c r="Q3" s="3">
        <v>255.94900000000001</v>
      </c>
      <c r="R3" s="3">
        <f>S3</f>
        <v>220.983</v>
      </c>
      <c r="S3" s="3">
        <v>220.983</v>
      </c>
      <c r="T3" s="107">
        <f>Y3+U3+W3+AA3</f>
        <v>3124</v>
      </c>
      <c r="U3" s="3">
        <v>485</v>
      </c>
      <c r="V3" s="3">
        <f>AA3+W3+Y3</f>
        <v>2639</v>
      </c>
      <c r="W3" s="3">
        <v>593</v>
      </c>
      <c r="X3" s="3">
        <f>Y3+AA3</f>
        <v>2046</v>
      </c>
      <c r="Y3" s="3">
        <v>900</v>
      </c>
      <c r="Z3" s="3">
        <f>AA3</f>
        <v>1146</v>
      </c>
      <c r="AA3" s="3">
        <v>1146</v>
      </c>
      <c r="AB3" s="107">
        <f>AI3+AG3+AE3+AC3</f>
        <v>2295.9123329700055</v>
      </c>
      <c r="AC3" s="3">
        <v>527.40968886001497</v>
      </c>
      <c r="AD3" s="3">
        <f>AI3+AG3+AE3</f>
        <v>1768.5026441099906</v>
      </c>
      <c r="AE3" s="3">
        <v>633.92554623999126</v>
      </c>
      <c r="AF3" s="3">
        <f>AG3+AI3</f>
        <v>1134.5770978699993</v>
      </c>
      <c r="AG3" s="3">
        <v>616.96496496999964</v>
      </c>
      <c r="AH3" s="3">
        <f>AI3</f>
        <v>517.61213289999955</v>
      </c>
      <c r="AI3" s="108">
        <v>517.61213289999955</v>
      </c>
      <c r="AJ3" s="3">
        <f>AQ3+AO3+AM3+AK3</f>
        <v>2085.5269346600007</v>
      </c>
      <c r="AK3" s="3">
        <v>558.04132110999979</v>
      </c>
      <c r="AL3" s="3">
        <f>AQ3+AO3+AM3</f>
        <v>1527.4856135500008</v>
      </c>
      <c r="AM3" s="3">
        <v>610.52643794000062</v>
      </c>
      <c r="AN3" s="3">
        <f>AQ3+AO3</f>
        <v>916.95917561000033</v>
      </c>
      <c r="AO3" s="3">
        <v>513.96318905999931</v>
      </c>
      <c r="AP3" s="3">
        <f>AQ3</f>
        <v>402.99598655000102</v>
      </c>
      <c r="AQ3" s="3">
        <v>402.99598655000102</v>
      </c>
      <c r="AR3" s="17"/>
      <c r="AS3" s="17"/>
      <c r="AT3" s="17"/>
      <c r="AU3" s="17"/>
      <c r="AV3" s="17"/>
      <c r="AW3" s="17"/>
      <c r="AX3" s="17"/>
      <c r="AY3" s="17"/>
      <c r="AZ3" s="17"/>
      <c r="BA3" s="17"/>
      <c r="BB3" s="17"/>
      <c r="BC3" s="17"/>
      <c r="BD3" s="17"/>
      <c r="BE3" s="17"/>
      <c r="BF3" s="17"/>
      <c r="BG3" s="17"/>
      <c r="BH3" s="17"/>
      <c r="BI3" s="17"/>
      <c r="BJ3" s="17"/>
      <c r="BK3" s="17"/>
      <c r="BL3" s="17"/>
      <c r="BM3" s="17"/>
    </row>
    <row r="4" spans="1:65" x14ac:dyDescent="0.25">
      <c r="A4" s="21" t="s">
        <v>68</v>
      </c>
      <c r="B4" s="92">
        <f>C4</f>
        <v>19.327999999999999</v>
      </c>
      <c r="C4" s="185">
        <v>19.327999999999999</v>
      </c>
      <c r="D4" s="199">
        <f>G4+E4+I4+K4</f>
        <v>66.609000000000009</v>
      </c>
      <c r="E4" s="36">
        <v>17.719000000000001</v>
      </c>
      <c r="F4" s="36">
        <f>I4+G4+K4</f>
        <v>48.89</v>
      </c>
      <c r="G4" s="36">
        <v>17.143000000000001</v>
      </c>
      <c r="H4" s="61">
        <v>31.747</v>
      </c>
      <c r="I4" s="61">
        <f>H4-J4</f>
        <v>14.061</v>
      </c>
      <c r="J4" s="61">
        <f>K4</f>
        <v>17.686</v>
      </c>
      <c r="K4" s="185">
        <v>17.686</v>
      </c>
      <c r="L4" s="199">
        <f>O4+M4+Q4+S4</f>
        <v>87.539999999999992</v>
      </c>
      <c r="M4" s="36">
        <f>21</f>
        <v>21</v>
      </c>
      <c r="N4" s="36">
        <f>Q4+O4+S4</f>
        <v>66.539999999999992</v>
      </c>
      <c r="O4" s="36">
        <v>18</v>
      </c>
      <c r="P4" s="36">
        <v>48.54</v>
      </c>
      <c r="Q4" s="4">
        <f>P4-R4</f>
        <v>23.96</v>
      </c>
      <c r="R4" s="61">
        <f>S4</f>
        <v>24.58</v>
      </c>
      <c r="S4" s="185">
        <v>24.58</v>
      </c>
      <c r="T4" s="199">
        <f>W4+U4+Y4+AA4</f>
        <v>40</v>
      </c>
      <c r="U4" s="36">
        <v>15</v>
      </c>
      <c r="V4" s="36">
        <f>Y4+W4+AA4</f>
        <v>25</v>
      </c>
      <c r="W4" s="36">
        <v>12</v>
      </c>
      <c r="X4" s="36">
        <f>AA4+Y4</f>
        <v>13</v>
      </c>
      <c r="Y4" s="4">
        <v>9</v>
      </c>
      <c r="Z4" s="61">
        <f>AA4</f>
        <v>4</v>
      </c>
      <c r="AA4" s="185">
        <v>4</v>
      </c>
      <c r="AB4" s="109">
        <v>4.764621</v>
      </c>
      <c r="AC4" s="1">
        <v>1.1309969999999998</v>
      </c>
      <c r="AD4" s="4">
        <v>3.6336240000000002</v>
      </c>
      <c r="AE4" s="4">
        <f>AD4-AF4</f>
        <v>1.2030830000000003</v>
      </c>
      <c r="AF4" s="36">
        <v>2.4305409999999998</v>
      </c>
      <c r="AG4" s="36">
        <f>AF4-AH4</f>
        <v>1.2923659999999999</v>
      </c>
      <c r="AH4" s="36">
        <f>AI4</f>
        <v>1.1381749999999999</v>
      </c>
      <c r="AI4" s="110">
        <v>1.1381749999999999</v>
      </c>
      <c r="AJ4" s="4">
        <f>AQ4+AO4+AM4+AK4</f>
        <v>2.0754739999999998</v>
      </c>
      <c r="AK4" s="4">
        <v>2.0754739999999998</v>
      </c>
      <c r="AL4" s="4">
        <f>AQ4+AO4+AM4</f>
        <v>0</v>
      </c>
      <c r="AM4" s="4">
        <v>0</v>
      </c>
      <c r="AN4" s="4">
        <f>AQ4+AO4</f>
        <v>0</v>
      </c>
      <c r="AO4" s="4">
        <v>0</v>
      </c>
      <c r="AP4" s="4">
        <v>0</v>
      </c>
      <c r="AQ4" s="4">
        <v>0</v>
      </c>
      <c r="AR4" s="17"/>
      <c r="AS4" s="17"/>
      <c r="AT4" s="17"/>
      <c r="AU4" s="17"/>
      <c r="AV4" s="17"/>
      <c r="AW4" s="17"/>
      <c r="AX4" s="17"/>
      <c r="AY4" s="17"/>
      <c r="AZ4" s="17"/>
      <c r="BA4" s="17"/>
      <c r="BB4" s="17"/>
      <c r="BC4" s="17"/>
      <c r="BD4" s="17"/>
      <c r="BE4" s="17"/>
      <c r="BF4" s="17"/>
      <c r="BG4" s="17"/>
      <c r="BH4" s="17"/>
      <c r="BI4" s="17"/>
      <c r="BJ4" s="17"/>
      <c r="BK4" s="17"/>
      <c r="BL4" s="17"/>
      <c r="BM4" s="17"/>
    </row>
    <row r="5" spans="1:65" x14ac:dyDescent="0.25">
      <c r="A5" s="50" t="s">
        <v>69</v>
      </c>
      <c r="B5" s="37">
        <f t="shared" ref="B5:C5" si="0">B3-B4</f>
        <v>733.67200000000003</v>
      </c>
      <c r="C5" s="37">
        <f t="shared" si="0"/>
        <v>733.67200000000003</v>
      </c>
      <c r="D5" s="152">
        <f t="shared" ref="D5:E5" si="1">D3-D4</f>
        <v>3089.3910000000001</v>
      </c>
      <c r="E5" s="3">
        <f t="shared" si="1"/>
        <v>871.28099999999995</v>
      </c>
      <c r="F5" s="37">
        <f t="shared" ref="F5:G5" si="2">F3-F4</f>
        <v>2218.11</v>
      </c>
      <c r="G5" s="3">
        <f t="shared" si="2"/>
        <v>715.85699999999997</v>
      </c>
      <c r="H5" s="37">
        <f t="shared" ref="H5:K5" si="3">H3-H4</f>
        <v>1502.2529999999999</v>
      </c>
      <c r="I5" s="37">
        <f t="shared" si="3"/>
        <v>801.93899999999996</v>
      </c>
      <c r="J5" s="37">
        <f t="shared" si="3"/>
        <v>700.31399999999996</v>
      </c>
      <c r="K5" s="37">
        <f t="shared" si="3"/>
        <v>700.31399999999996</v>
      </c>
      <c r="L5" s="152">
        <f t="shared" ref="L5:M5" si="4">L3-L4</f>
        <v>1502.3920000000001</v>
      </c>
      <c r="M5" s="3">
        <f t="shared" si="4"/>
        <v>587</v>
      </c>
      <c r="N5" s="37">
        <f t="shared" ref="N5:O5" si="5">N3-N4</f>
        <v>915.39200000000005</v>
      </c>
      <c r="O5" s="3">
        <f t="shared" si="5"/>
        <v>487</v>
      </c>
      <c r="P5" s="37">
        <f t="shared" ref="P5:Q5" si="6">P3-P4</f>
        <v>428.392</v>
      </c>
      <c r="Q5" s="3">
        <f t="shared" si="6"/>
        <v>231.989</v>
      </c>
      <c r="R5" s="37">
        <f t="shared" ref="R5:S5" si="7">R3-R4</f>
        <v>196.40300000000002</v>
      </c>
      <c r="S5" s="215">
        <f t="shared" si="7"/>
        <v>196.40300000000002</v>
      </c>
      <c r="T5" s="152">
        <f t="shared" ref="T5:X5" si="8">T3-T4</f>
        <v>3084</v>
      </c>
      <c r="U5" s="3">
        <f t="shared" si="8"/>
        <v>470</v>
      </c>
      <c r="V5" s="37">
        <f t="shared" si="8"/>
        <v>2614</v>
      </c>
      <c r="W5" s="3">
        <f t="shared" ref="W5:AP5" si="9">W3-W4</f>
        <v>581</v>
      </c>
      <c r="X5" s="37">
        <f t="shared" si="8"/>
        <v>2033</v>
      </c>
      <c r="Y5" s="3">
        <f t="shared" si="9"/>
        <v>891</v>
      </c>
      <c r="Z5" s="37">
        <f t="shared" si="9"/>
        <v>1142</v>
      </c>
      <c r="AA5" s="112">
        <f t="shared" si="9"/>
        <v>1142</v>
      </c>
      <c r="AB5" s="111">
        <f t="shared" si="9"/>
        <v>2291.1477119700057</v>
      </c>
      <c r="AC5" s="98">
        <f t="shared" si="9"/>
        <v>526.27869186001499</v>
      </c>
      <c r="AD5" s="3">
        <f t="shared" si="9"/>
        <v>1764.8690201099905</v>
      </c>
      <c r="AE5" s="3">
        <f t="shared" si="9"/>
        <v>632.72246323999127</v>
      </c>
      <c r="AF5" s="37">
        <f t="shared" si="9"/>
        <v>1132.1465568699994</v>
      </c>
      <c r="AG5" s="37">
        <f t="shared" si="9"/>
        <v>615.67259896999963</v>
      </c>
      <c r="AH5" s="37">
        <f t="shared" si="9"/>
        <v>516.4739578999995</v>
      </c>
      <c r="AI5" s="112">
        <f t="shared" si="9"/>
        <v>516.4739578999995</v>
      </c>
      <c r="AJ5" s="3">
        <f t="shared" si="9"/>
        <v>2083.4514606600005</v>
      </c>
      <c r="AK5" s="3">
        <f t="shared" si="9"/>
        <v>555.9658471099998</v>
      </c>
      <c r="AL5" s="3">
        <f t="shared" si="9"/>
        <v>1527.4856135500008</v>
      </c>
      <c r="AM5" s="3">
        <f t="shared" si="9"/>
        <v>610.52643794000062</v>
      </c>
      <c r="AN5" s="3">
        <f t="shared" si="9"/>
        <v>916.95917561000033</v>
      </c>
      <c r="AO5" s="3">
        <f t="shared" si="9"/>
        <v>513.96318905999931</v>
      </c>
      <c r="AP5" s="3">
        <f t="shared" si="9"/>
        <v>402.99598655000102</v>
      </c>
      <c r="AQ5" s="3">
        <f>AQ3-AQ4</f>
        <v>402.99598655000102</v>
      </c>
      <c r="AR5" s="17"/>
      <c r="AS5" s="17"/>
      <c r="AT5" s="17"/>
      <c r="AU5" s="17"/>
      <c r="AV5" s="17"/>
      <c r="AW5" s="17"/>
      <c r="AX5" s="17"/>
      <c r="AY5" s="17"/>
      <c r="AZ5" s="17"/>
      <c r="BA5" s="17"/>
      <c r="BB5" s="17"/>
      <c r="BC5" s="17"/>
      <c r="BD5" s="17"/>
      <c r="BE5" s="17"/>
      <c r="BF5" s="17"/>
      <c r="BG5" s="17"/>
      <c r="BH5" s="17"/>
      <c r="BI5" s="17"/>
      <c r="BJ5" s="17"/>
      <c r="BK5" s="17"/>
      <c r="BL5" s="17"/>
      <c r="BM5" s="17"/>
    </row>
    <row r="6" spans="1:65" x14ac:dyDescent="0.25">
      <c r="A6" s="17"/>
      <c r="B6" s="17"/>
      <c r="C6" s="17"/>
      <c r="D6" s="147"/>
      <c r="E6" s="17"/>
      <c r="F6" s="6"/>
      <c r="G6" s="17"/>
      <c r="L6" s="147"/>
      <c r="M6" s="17"/>
      <c r="N6" s="6"/>
      <c r="O6" s="17"/>
      <c r="P6" s="6"/>
      <c r="Q6" s="17"/>
      <c r="T6" s="147"/>
      <c r="U6" s="17"/>
      <c r="V6" s="6"/>
      <c r="W6" s="17"/>
      <c r="X6" s="6"/>
      <c r="Y6" s="17"/>
      <c r="AB6" s="105"/>
      <c r="AD6" s="6"/>
      <c r="AE6" s="6"/>
      <c r="AF6" s="6"/>
      <c r="AG6" s="6"/>
      <c r="AH6" s="6"/>
      <c r="AI6" s="113"/>
      <c r="AJ6" s="3"/>
      <c r="AK6" s="3"/>
      <c r="AL6" s="6"/>
      <c r="AM6" s="6"/>
      <c r="AN6" s="6"/>
      <c r="AO6" s="6"/>
      <c r="AP6" s="6"/>
      <c r="AQ6" s="6"/>
      <c r="AR6" s="17"/>
      <c r="AS6" s="17"/>
      <c r="AT6" s="17"/>
      <c r="AU6" s="17"/>
      <c r="AV6" s="17"/>
      <c r="AW6" s="17"/>
      <c r="AX6" s="17"/>
      <c r="AY6" s="17"/>
      <c r="AZ6" s="17"/>
      <c r="BA6" s="17"/>
      <c r="BB6" s="17"/>
      <c r="BC6" s="17"/>
      <c r="BD6" s="17"/>
      <c r="BE6" s="17"/>
      <c r="BF6" s="17"/>
      <c r="BG6" s="17"/>
      <c r="BH6" s="17"/>
      <c r="BI6" s="17"/>
      <c r="BJ6" s="17"/>
      <c r="BK6" s="17"/>
      <c r="BL6" s="17"/>
      <c r="BM6" s="17"/>
    </row>
    <row r="7" spans="1:65" x14ac:dyDescent="0.25">
      <c r="A7" s="17" t="s">
        <v>70</v>
      </c>
      <c r="B7" s="3">
        <f>C7</f>
        <v>28016</v>
      </c>
      <c r="C7" s="3">
        <v>28016</v>
      </c>
      <c r="D7" s="107">
        <f>E7</f>
        <v>27179</v>
      </c>
      <c r="E7" s="3">
        <v>27179</v>
      </c>
      <c r="F7" s="3">
        <f>G7</f>
        <v>26351</v>
      </c>
      <c r="G7" s="3">
        <v>26351</v>
      </c>
      <c r="H7" s="3">
        <f>I7</f>
        <v>26419</v>
      </c>
      <c r="I7" s="3">
        <v>26419</v>
      </c>
      <c r="J7" s="3">
        <f>K7</f>
        <v>25661</v>
      </c>
      <c r="K7" s="3">
        <v>25661</v>
      </c>
      <c r="L7" s="107">
        <f>M7</f>
        <v>26393</v>
      </c>
      <c r="M7" s="3">
        <v>26393</v>
      </c>
      <c r="N7" s="3">
        <f>O7</f>
        <v>25764</v>
      </c>
      <c r="O7" s="3">
        <v>25764</v>
      </c>
      <c r="P7" s="3">
        <f>Q7</f>
        <v>25203</v>
      </c>
      <c r="Q7" s="3">
        <v>25203</v>
      </c>
      <c r="R7" s="3">
        <f>S7</f>
        <v>25008</v>
      </c>
      <c r="S7" s="3">
        <v>25008</v>
      </c>
      <c r="T7" s="107">
        <f>U7</f>
        <v>24834</v>
      </c>
      <c r="U7" s="3">
        <v>24834</v>
      </c>
      <c r="V7" s="3">
        <f>W7</f>
        <v>23645</v>
      </c>
      <c r="W7" s="3">
        <v>23645</v>
      </c>
      <c r="X7" s="3">
        <f>Y7</f>
        <v>23094</v>
      </c>
      <c r="Y7" s="3">
        <v>23094</v>
      </c>
      <c r="Z7" s="3">
        <f>AA7</f>
        <v>23114</v>
      </c>
      <c r="AA7" s="3">
        <v>23114</v>
      </c>
      <c r="AB7" s="107">
        <f>AC7</f>
        <v>21584.663038989998</v>
      </c>
      <c r="AC7" s="3">
        <v>21584.663038989998</v>
      </c>
      <c r="AD7" s="3">
        <f>AE7</f>
        <v>21008.049352730101</v>
      </c>
      <c r="AE7" s="3">
        <v>21008.049352730101</v>
      </c>
      <c r="AF7" s="3">
        <f>AG7</f>
        <v>19907.898292170099</v>
      </c>
      <c r="AG7" s="3">
        <v>19907.898292170099</v>
      </c>
      <c r="AH7" s="3">
        <f>AI7</f>
        <v>20400.052938220098</v>
      </c>
      <c r="AI7" s="108">
        <v>20400.052938220098</v>
      </c>
      <c r="AJ7" s="3">
        <f>AK7</f>
        <v>19888.9809127796</v>
      </c>
      <c r="AK7" s="3">
        <v>19888.9809127796</v>
      </c>
      <c r="AL7" s="3">
        <f>AM7</f>
        <v>19333.9652694096</v>
      </c>
      <c r="AM7" s="3">
        <v>19333.9652694096</v>
      </c>
      <c r="AN7" s="3">
        <f>AO7</f>
        <v>18733.655773489601</v>
      </c>
      <c r="AO7" s="3">
        <v>18733.655773489601</v>
      </c>
      <c r="AP7" s="3">
        <f>AQ7</f>
        <v>18631.941692049601</v>
      </c>
      <c r="AQ7" s="3">
        <v>18631.941692049601</v>
      </c>
      <c r="AR7" s="17"/>
      <c r="AS7" s="17"/>
      <c r="AT7" s="17"/>
      <c r="AU7" s="17"/>
      <c r="AV7" s="17"/>
      <c r="AW7" s="17"/>
      <c r="AX7" s="17"/>
      <c r="AY7" s="17"/>
      <c r="AZ7" s="17"/>
      <c r="BA7" s="17"/>
      <c r="BB7" s="17"/>
      <c r="BC7" s="17"/>
      <c r="BD7" s="17"/>
      <c r="BE7" s="17"/>
      <c r="BF7" s="17"/>
      <c r="BG7" s="17"/>
      <c r="BH7" s="17"/>
      <c r="BI7" s="17"/>
      <c r="BJ7" s="17"/>
      <c r="BK7" s="17"/>
      <c r="BL7" s="17"/>
      <c r="BM7" s="17"/>
    </row>
    <row r="8" spans="1:65" s="17" customFormat="1" x14ac:dyDescent="0.25">
      <c r="A8" s="21" t="s">
        <v>71</v>
      </c>
      <c r="B8" s="4">
        <f>C8</f>
        <v>1850</v>
      </c>
      <c r="C8" s="4">
        <v>1850</v>
      </c>
      <c r="D8" s="114">
        <f>E8</f>
        <v>1850</v>
      </c>
      <c r="E8" s="4">
        <v>1850</v>
      </c>
      <c r="F8" s="4">
        <f>G8</f>
        <v>1850</v>
      </c>
      <c r="G8" s="4">
        <v>1850</v>
      </c>
      <c r="H8" s="4">
        <f>I8</f>
        <v>1850</v>
      </c>
      <c r="I8" s="4">
        <v>1850</v>
      </c>
      <c r="J8" s="4">
        <f>K8</f>
        <v>1850</v>
      </c>
      <c r="K8" s="4">
        <v>1850</v>
      </c>
      <c r="L8" s="114">
        <f>M8</f>
        <v>1850</v>
      </c>
      <c r="M8" s="4">
        <v>1850</v>
      </c>
      <c r="N8" s="4">
        <f>O8</f>
        <v>1850</v>
      </c>
      <c r="O8" s="4">
        <v>1850</v>
      </c>
      <c r="P8" s="4">
        <f>Q8</f>
        <v>1850</v>
      </c>
      <c r="Q8" s="4">
        <v>1850</v>
      </c>
      <c r="R8" s="4">
        <f>S8</f>
        <v>1850</v>
      </c>
      <c r="S8" s="4">
        <v>1850</v>
      </c>
      <c r="T8" s="114">
        <f>U8</f>
        <v>1850</v>
      </c>
      <c r="U8" s="4">
        <v>1850</v>
      </c>
      <c r="V8" s="4">
        <f>W8</f>
        <v>1250</v>
      </c>
      <c r="W8" s="4">
        <v>1250</v>
      </c>
      <c r="X8" s="4">
        <f>Y8</f>
        <v>1250</v>
      </c>
      <c r="Y8" s="4">
        <v>1250</v>
      </c>
      <c r="Z8" s="4">
        <f>AA8</f>
        <v>1000</v>
      </c>
      <c r="AA8" s="4">
        <v>1000</v>
      </c>
      <c r="AB8" s="114">
        <f>AC8</f>
        <v>550</v>
      </c>
      <c r="AC8" s="4">
        <v>550</v>
      </c>
      <c r="AD8" s="4">
        <f>AE8</f>
        <v>550</v>
      </c>
      <c r="AE8" s="4">
        <v>550</v>
      </c>
      <c r="AF8" s="4">
        <f>AG8</f>
        <v>150</v>
      </c>
      <c r="AG8" s="4">
        <v>150</v>
      </c>
      <c r="AH8" s="4">
        <f>AI8</f>
        <v>150</v>
      </c>
      <c r="AI8" s="115">
        <v>150</v>
      </c>
      <c r="AJ8" s="4">
        <f>AK8</f>
        <v>150</v>
      </c>
      <c r="AK8" s="4">
        <v>150</v>
      </c>
      <c r="AL8" s="4">
        <f>AM8</f>
        <v>150</v>
      </c>
      <c r="AM8" s="4">
        <v>150</v>
      </c>
      <c r="AN8" s="4">
        <f>AO8</f>
        <v>150</v>
      </c>
      <c r="AO8" s="4">
        <v>150</v>
      </c>
      <c r="AP8" s="4">
        <f>AQ8</f>
        <v>0</v>
      </c>
      <c r="AQ8" s="4">
        <v>0</v>
      </c>
    </row>
    <row r="9" spans="1:65" x14ac:dyDescent="0.25">
      <c r="A9" s="17" t="s">
        <v>72</v>
      </c>
      <c r="B9" s="3">
        <f t="shared" ref="B9:C9" si="10">B7-B8</f>
        <v>26166</v>
      </c>
      <c r="C9" s="3">
        <f t="shared" si="10"/>
        <v>26166</v>
      </c>
      <c r="D9" s="107">
        <f t="shared" ref="D9:E9" si="11">D7-D8</f>
        <v>25329</v>
      </c>
      <c r="E9" s="3">
        <f t="shared" si="11"/>
        <v>25329</v>
      </c>
      <c r="F9" s="3">
        <f t="shared" ref="F9:G9" si="12">F7-F8</f>
        <v>24501</v>
      </c>
      <c r="G9" s="3">
        <f t="shared" si="12"/>
        <v>24501</v>
      </c>
      <c r="H9" s="3">
        <f t="shared" ref="H9:K9" si="13">H7-H8</f>
        <v>24569</v>
      </c>
      <c r="I9" s="3">
        <f t="shared" si="13"/>
        <v>24569</v>
      </c>
      <c r="J9" s="3">
        <f t="shared" si="13"/>
        <v>23811</v>
      </c>
      <c r="K9" s="3">
        <f t="shared" si="13"/>
        <v>23811</v>
      </c>
      <c r="L9" s="107">
        <f t="shared" ref="L9:M9" si="14">L7-L8</f>
        <v>24543</v>
      </c>
      <c r="M9" s="3">
        <f t="shared" si="14"/>
        <v>24543</v>
      </c>
      <c r="N9" s="3">
        <f t="shared" ref="N9:O9" si="15">N7-N8</f>
        <v>23914</v>
      </c>
      <c r="O9" s="3">
        <f t="shared" si="15"/>
        <v>23914</v>
      </c>
      <c r="P9" s="3">
        <f t="shared" ref="P9:Q9" si="16">P7-P8</f>
        <v>23353</v>
      </c>
      <c r="Q9" s="3">
        <f t="shared" si="16"/>
        <v>23353</v>
      </c>
      <c r="R9" s="3">
        <f t="shared" ref="R9:S9" si="17">R7-R8</f>
        <v>23158</v>
      </c>
      <c r="S9" s="3">
        <f t="shared" si="17"/>
        <v>23158</v>
      </c>
      <c r="T9" s="107">
        <f t="shared" ref="T9:X9" si="18">T7-T8</f>
        <v>22984</v>
      </c>
      <c r="U9" s="3">
        <f t="shared" si="18"/>
        <v>22984</v>
      </c>
      <c r="V9" s="3">
        <f t="shared" si="18"/>
        <v>22395</v>
      </c>
      <c r="W9" s="3">
        <f t="shared" ref="W9:AP9" si="19">W7-W8</f>
        <v>22395</v>
      </c>
      <c r="X9" s="3">
        <f t="shared" si="18"/>
        <v>21844</v>
      </c>
      <c r="Y9" s="3">
        <f t="shared" si="19"/>
        <v>21844</v>
      </c>
      <c r="Z9" s="3">
        <f t="shared" si="19"/>
        <v>22114</v>
      </c>
      <c r="AA9" s="108">
        <f t="shared" si="19"/>
        <v>22114</v>
      </c>
      <c r="AB9" s="107">
        <f t="shared" si="19"/>
        <v>21034.663038989998</v>
      </c>
      <c r="AC9" s="3">
        <f t="shared" si="19"/>
        <v>21034.663038989998</v>
      </c>
      <c r="AD9" s="3">
        <f t="shared" si="19"/>
        <v>20458.049352730101</v>
      </c>
      <c r="AE9" s="3">
        <f t="shared" si="19"/>
        <v>20458.049352730101</v>
      </c>
      <c r="AF9" s="3">
        <f t="shared" si="19"/>
        <v>19757.898292170099</v>
      </c>
      <c r="AG9" s="3">
        <f t="shared" si="19"/>
        <v>19757.898292170099</v>
      </c>
      <c r="AH9" s="3">
        <f t="shared" si="19"/>
        <v>20250.052938220098</v>
      </c>
      <c r="AI9" s="108">
        <f t="shared" si="19"/>
        <v>20250.052938220098</v>
      </c>
      <c r="AJ9" s="3">
        <f t="shared" si="19"/>
        <v>19738.9809127796</v>
      </c>
      <c r="AK9" s="3">
        <f t="shared" si="19"/>
        <v>19738.9809127796</v>
      </c>
      <c r="AL9" s="3">
        <f t="shared" si="19"/>
        <v>19183.9652694096</v>
      </c>
      <c r="AM9" s="3">
        <f t="shared" si="19"/>
        <v>19183.9652694096</v>
      </c>
      <c r="AN9" s="3">
        <f t="shared" si="19"/>
        <v>18583.655773489601</v>
      </c>
      <c r="AO9" s="3">
        <f t="shared" si="19"/>
        <v>18583.655773489601</v>
      </c>
      <c r="AP9" s="3">
        <f t="shared" si="19"/>
        <v>18631.941692049601</v>
      </c>
      <c r="AQ9" s="3">
        <f>AQ7-AQ8</f>
        <v>18631.941692049601</v>
      </c>
      <c r="AR9" s="17"/>
      <c r="AS9" s="17"/>
      <c r="AT9" s="17"/>
      <c r="AU9" s="17"/>
      <c r="AV9" s="17"/>
      <c r="AW9" s="17"/>
      <c r="AX9" s="17"/>
      <c r="AY9" s="17"/>
      <c r="AZ9" s="17"/>
      <c r="BA9" s="17"/>
      <c r="BB9" s="17"/>
      <c r="BC9" s="17"/>
      <c r="BD9" s="17"/>
      <c r="BE9" s="17"/>
      <c r="BF9" s="17"/>
      <c r="BG9" s="17"/>
      <c r="BH9" s="17"/>
      <c r="BI9" s="17"/>
      <c r="BJ9" s="17"/>
      <c r="BK9" s="17"/>
      <c r="BL9" s="17"/>
      <c r="BM9" s="17"/>
    </row>
    <row r="10" spans="1:65" x14ac:dyDescent="0.25">
      <c r="D10" s="147"/>
      <c r="F10" s="6"/>
      <c r="H10" s="8"/>
      <c r="I10" s="8"/>
      <c r="J10" s="8"/>
      <c r="K10" s="8"/>
      <c r="L10" s="147"/>
      <c r="N10" s="6"/>
      <c r="P10" s="6"/>
      <c r="R10" s="8"/>
      <c r="S10" s="8"/>
      <c r="T10" s="147"/>
      <c r="V10" s="6"/>
      <c r="X10" s="6"/>
      <c r="Z10" s="8"/>
      <c r="AA10" s="8"/>
      <c r="AB10" s="116"/>
      <c r="AC10" s="8"/>
      <c r="AD10" s="6"/>
      <c r="AE10" s="6"/>
      <c r="AF10" s="6"/>
      <c r="AG10" s="6"/>
      <c r="AH10" s="6"/>
      <c r="AI10" s="113"/>
      <c r="AJ10" s="3"/>
      <c r="AK10" s="3"/>
      <c r="AL10" s="6"/>
      <c r="AM10" s="6"/>
      <c r="AN10" s="6"/>
      <c r="AO10" s="6"/>
      <c r="AP10" s="6"/>
      <c r="AQ10" s="6"/>
      <c r="AR10" s="17"/>
      <c r="AS10" s="17"/>
      <c r="AT10" s="17"/>
      <c r="AU10" s="17"/>
      <c r="AV10" s="17"/>
      <c r="AW10" s="17"/>
      <c r="AX10" s="17"/>
      <c r="AY10" s="17"/>
      <c r="AZ10" s="17"/>
      <c r="BA10" s="17"/>
      <c r="BB10" s="17"/>
      <c r="BC10" s="17"/>
      <c r="BD10" s="17"/>
      <c r="BE10" s="17"/>
      <c r="BF10" s="17"/>
      <c r="BG10" s="17"/>
      <c r="BH10" s="17"/>
      <c r="BI10" s="17"/>
      <c r="BJ10" s="17"/>
      <c r="BK10" s="17"/>
      <c r="BL10" s="17"/>
      <c r="BM10" s="17"/>
    </row>
    <row r="11" spans="1:65" s="17" customFormat="1" x14ac:dyDescent="0.25">
      <c r="A11" s="17" t="s">
        <v>73</v>
      </c>
      <c r="B11" s="3">
        <f>(B9+D9)/2</f>
        <v>25747.5</v>
      </c>
      <c r="C11" s="3">
        <f>(C9+E9)/2</f>
        <v>25747.5</v>
      </c>
      <c r="D11" s="107">
        <f>(D9+F9+H9+J9+L9)/5</f>
        <v>24550.6</v>
      </c>
      <c r="E11" s="3">
        <f>(E9+G9)/2</f>
        <v>24915</v>
      </c>
      <c r="F11" s="3">
        <f>(F9+H9+J9+L9)/4</f>
        <v>24356</v>
      </c>
      <c r="G11" s="3">
        <f>(I9+G9)/2</f>
        <v>24535</v>
      </c>
      <c r="H11" s="3">
        <f>(H9+J9+L9)/3</f>
        <v>24307.666666666668</v>
      </c>
      <c r="I11" s="3">
        <f>(I9+K9)/2</f>
        <v>24190</v>
      </c>
      <c r="J11" s="3">
        <f>(J9+L9)/2</f>
        <v>24177</v>
      </c>
      <c r="K11" s="3">
        <f>(J9+L9)/2</f>
        <v>24177</v>
      </c>
      <c r="L11" s="107">
        <f>(L9+N9+P9+R9+T9)/5</f>
        <v>23590.400000000001</v>
      </c>
      <c r="M11" s="3">
        <f>(M9+O9)/2</f>
        <v>24228.5</v>
      </c>
      <c r="N11" s="3">
        <f>(N9+P9+R9+T9)/4</f>
        <v>23352.25</v>
      </c>
      <c r="O11" s="3">
        <f>(Q9+O9)/2</f>
        <v>23633.5</v>
      </c>
      <c r="P11" s="3">
        <f>(P9+R9+T9)/3</f>
        <v>23165</v>
      </c>
      <c r="Q11" s="3">
        <f>(Q9+S9)/2</f>
        <v>23255.5</v>
      </c>
      <c r="R11" s="3">
        <f>(R9+T9)/2</f>
        <v>23071</v>
      </c>
      <c r="S11" s="3">
        <f>(R9+T9)/2</f>
        <v>23071</v>
      </c>
      <c r="T11" s="107">
        <f>(T9+V9+X9+Z9+AB9)/5</f>
        <v>22074.332607797998</v>
      </c>
      <c r="U11" s="3">
        <f>(U9+W9)/2</f>
        <v>22689.5</v>
      </c>
      <c r="V11" s="3">
        <f>(V9+X9+Z9+AB9)/4</f>
        <v>21846.915759747499</v>
      </c>
      <c r="W11" s="3">
        <f>(Y9+W9)/2</f>
        <v>22119.5</v>
      </c>
      <c r="X11" s="3">
        <f>(X9+Z9+AB9)/3</f>
        <v>21664.221012996666</v>
      </c>
      <c r="Y11" s="3">
        <f>(Y9+AA9)/2</f>
        <v>21979</v>
      </c>
      <c r="Z11" s="3">
        <f>(Z9+AB9)/2</f>
        <v>21574.331519494997</v>
      </c>
      <c r="AA11" s="108">
        <f>(Z9+AB9)/2</f>
        <v>21574.331519494997</v>
      </c>
      <c r="AB11" s="107">
        <f>(AB9+AD9+AF9+AH9+AJ9)/5</f>
        <v>20247.928906977981</v>
      </c>
      <c r="AC11" s="3">
        <f>(AC9+AD9)/2</f>
        <v>20746.356195860048</v>
      </c>
      <c r="AD11" s="3">
        <f>(AD9+AF9+AH9+AJ9)/4</f>
        <v>20051.245373974973</v>
      </c>
      <c r="AE11" s="3">
        <f>(AE9+AF9)/2</f>
        <v>20107.973822450098</v>
      </c>
      <c r="AF11" s="3">
        <f>(AF9+AH9+AJ9)/3</f>
        <v>19915.644047723268</v>
      </c>
      <c r="AG11" s="3">
        <f>(AG9+AH9)/2</f>
        <v>20003.975615195101</v>
      </c>
      <c r="AH11" s="3">
        <f>(AH9+AJ9)/2</f>
        <v>19994.516925499847</v>
      </c>
      <c r="AI11" s="108">
        <f>(AI9+AJ9)/2</f>
        <v>19994.516925499847</v>
      </c>
      <c r="AJ11" s="3">
        <v>18885.288483171702</v>
      </c>
      <c r="AK11" s="3">
        <f>(AK9+AL9)/2</f>
        <v>19461.473091094602</v>
      </c>
      <c r="AL11" s="3">
        <v>18671.865375769725</v>
      </c>
      <c r="AM11" s="3">
        <f>(AM9+AN9)/2</f>
        <v>18883.810521449603</v>
      </c>
      <c r="AN11" s="3">
        <v>18501.165411223101</v>
      </c>
      <c r="AO11" s="3">
        <f>(AO9+AP9)/2</f>
        <v>18607.798732769603</v>
      </c>
      <c r="AP11" s="3">
        <v>18459.920230089851</v>
      </c>
      <c r="AQ11" s="3">
        <v>18459.920230089851</v>
      </c>
    </row>
    <row r="12" spans="1:65" x14ac:dyDescent="0.25">
      <c r="D12" s="147"/>
      <c r="F12" s="6"/>
      <c r="H12" s="8"/>
      <c r="I12" s="8"/>
      <c r="J12" s="8"/>
      <c r="K12" s="8"/>
      <c r="L12" s="147"/>
      <c r="N12" s="6"/>
      <c r="P12" s="6"/>
      <c r="R12" s="8"/>
      <c r="S12" s="8"/>
      <c r="T12" s="147"/>
      <c r="V12" s="6"/>
      <c r="X12" s="6"/>
      <c r="Z12" s="8"/>
      <c r="AA12" s="8"/>
      <c r="AB12" s="116"/>
      <c r="AC12" s="8"/>
      <c r="AD12" s="6"/>
      <c r="AE12" s="6"/>
      <c r="AF12" s="6"/>
      <c r="AG12" s="6"/>
      <c r="AH12" s="6"/>
      <c r="AI12" s="113"/>
      <c r="AJ12" s="3"/>
      <c r="AK12" s="3"/>
      <c r="AL12" s="6"/>
      <c r="AM12" s="6"/>
      <c r="AN12" s="6"/>
      <c r="AO12" s="6"/>
      <c r="AP12" s="6"/>
      <c r="AQ12" s="6"/>
      <c r="AR12" s="17"/>
      <c r="AS12" s="17"/>
      <c r="AT12" s="17"/>
      <c r="AU12" s="17"/>
      <c r="AV12" s="17"/>
      <c r="AW12" s="17"/>
      <c r="AX12" s="17"/>
      <c r="AY12" s="17"/>
      <c r="AZ12" s="17"/>
      <c r="BA12" s="17"/>
      <c r="BB12" s="17"/>
      <c r="BC12" s="17"/>
      <c r="BD12" s="17"/>
      <c r="BE12" s="17"/>
      <c r="BF12" s="17"/>
      <c r="BG12" s="17"/>
      <c r="BH12" s="17"/>
      <c r="BI12" s="17"/>
      <c r="BJ12" s="17"/>
      <c r="BK12" s="17"/>
      <c r="BL12" s="17"/>
      <c r="BM12" s="17"/>
    </row>
    <row r="13" spans="1:65" s="17" customFormat="1" x14ac:dyDescent="0.25">
      <c r="A13" s="17" t="s">
        <v>74</v>
      </c>
      <c r="B13" s="3">
        <f>B5*4</f>
        <v>2934.6880000000001</v>
      </c>
      <c r="C13" s="3">
        <f>C5*4</f>
        <v>2934.6880000000001</v>
      </c>
      <c r="D13" s="107">
        <f>D5</f>
        <v>3089.3910000000001</v>
      </c>
      <c r="E13" s="3">
        <f>E5*4</f>
        <v>3485.1239999999998</v>
      </c>
      <c r="F13" s="3">
        <f>F5/3*4</f>
        <v>2957.48</v>
      </c>
      <c r="G13" s="3">
        <f>G5*4</f>
        <v>2863.4279999999999</v>
      </c>
      <c r="H13" s="3">
        <f>H5/2*4</f>
        <v>3004.5059999999999</v>
      </c>
      <c r="I13" s="3">
        <f>I5*4</f>
        <v>3207.7559999999999</v>
      </c>
      <c r="J13" s="3">
        <f>J5*4</f>
        <v>2801.2559999999999</v>
      </c>
      <c r="K13" s="3">
        <f>K5*4</f>
        <v>2801.2559999999999</v>
      </c>
      <c r="L13" s="107">
        <f>L5</f>
        <v>1502.3920000000001</v>
      </c>
      <c r="M13" s="3">
        <f>M5*4</f>
        <v>2348</v>
      </c>
      <c r="N13" s="3">
        <f>N5/3*4</f>
        <v>1220.5226666666667</v>
      </c>
      <c r="O13" s="3">
        <f>O5*4</f>
        <v>1948</v>
      </c>
      <c r="P13" s="3">
        <f>P5/2*4</f>
        <v>856.78399999999999</v>
      </c>
      <c r="Q13" s="3">
        <f>Q5*4</f>
        <v>927.95600000000002</v>
      </c>
      <c r="R13" s="3">
        <f>R5*4</f>
        <v>785.61200000000008</v>
      </c>
      <c r="S13" s="3">
        <f>S5*4</f>
        <v>785.61200000000008</v>
      </c>
      <c r="T13" s="107">
        <f>T5</f>
        <v>3084</v>
      </c>
      <c r="U13" s="3">
        <f>U5*4</f>
        <v>1880</v>
      </c>
      <c r="V13" s="3">
        <f>V5/3*4</f>
        <v>3485.3333333333335</v>
      </c>
      <c r="W13" s="3">
        <f>W5*4</f>
        <v>2324</v>
      </c>
      <c r="X13" s="3">
        <f>X5/2*4</f>
        <v>4066</v>
      </c>
      <c r="Y13" s="3">
        <f>Y5*4</f>
        <v>3564</v>
      </c>
      <c r="Z13" s="3">
        <f>Z5*4</f>
        <v>4568</v>
      </c>
      <c r="AA13" s="108">
        <f>AA5*4</f>
        <v>4568</v>
      </c>
      <c r="AB13" s="107">
        <f>AB5</f>
        <v>2291.1477119700057</v>
      </c>
      <c r="AC13" s="3">
        <f>AC5*4</f>
        <v>2105.1147674400599</v>
      </c>
      <c r="AD13" s="3">
        <f>AD5/3*4</f>
        <v>2353.1586934799875</v>
      </c>
      <c r="AE13" s="3">
        <f>AE5*4</f>
        <v>2530.8898529599651</v>
      </c>
      <c r="AF13" s="3">
        <f>AF5/2*4</f>
        <v>2264.2931137399987</v>
      </c>
      <c r="AG13" s="3">
        <f>AG5*4</f>
        <v>2462.6903958799985</v>
      </c>
      <c r="AH13" s="3">
        <f>AH5*4</f>
        <v>2065.895831599998</v>
      </c>
      <c r="AI13" s="108">
        <f>AI5*4</f>
        <v>2065.895831599998</v>
      </c>
      <c r="AJ13" s="3">
        <f>AJ5</f>
        <v>2083.4514606600005</v>
      </c>
      <c r="AK13" s="3">
        <f>AK5*4</f>
        <v>2223.8633884399992</v>
      </c>
      <c r="AL13" s="3">
        <f>AL5/3*4</f>
        <v>2036.6474847333345</v>
      </c>
      <c r="AM13" s="3">
        <f>AM5*4</f>
        <v>2442.1057517600025</v>
      </c>
      <c r="AN13" s="3">
        <f>AN5/2*4</f>
        <v>1833.9183512200007</v>
      </c>
      <c r="AO13" s="3">
        <f>AO5*4</f>
        <v>2055.8527562399972</v>
      </c>
      <c r="AP13" s="3">
        <f>AP5*4</f>
        <v>1611.9839462000041</v>
      </c>
      <c r="AQ13" s="3">
        <f>AQ5*4</f>
        <v>1611.9839462000041</v>
      </c>
    </row>
    <row r="14" spans="1:65" x14ac:dyDescent="0.25">
      <c r="A14" s="21" t="s">
        <v>75</v>
      </c>
      <c r="B14" s="4">
        <f>B11</f>
        <v>25747.5</v>
      </c>
      <c r="C14" s="4">
        <f>C11</f>
        <v>25747.5</v>
      </c>
      <c r="D14" s="114">
        <f t="shared" ref="D14:E14" si="20">D11</f>
        <v>24550.6</v>
      </c>
      <c r="E14" s="4">
        <f t="shared" si="20"/>
        <v>24915</v>
      </c>
      <c r="F14" s="36">
        <f t="shared" ref="F14:G14" si="21">F11</f>
        <v>24356</v>
      </c>
      <c r="G14" s="36">
        <f t="shared" si="21"/>
        <v>24535</v>
      </c>
      <c r="H14" s="36">
        <f t="shared" ref="H14:I14" si="22">H11</f>
        <v>24307.666666666668</v>
      </c>
      <c r="I14" s="36">
        <f t="shared" si="22"/>
        <v>24190</v>
      </c>
      <c r="J14" s="4">
        <f t="shared" ref="J14:K14" si="23">J11</f>
        <v>24177</v>
      </c>
      <c r="K14" s="4">
        <f t="shared" si="23"/>
        <v>24177</v>
      </c>
      <c r="L14" s="114">
        <f t="shared" ref="L14:M14" si="24">L11</f>
        <v>23590.400000000001</v>
      </c>
      <c r="M14" s="4">
        <f t="shared" si="24"/>
        <v>24228.5</v>
      </c>
      <c r="N14" s="36">
        <f t="shared" ref="N14:O14" si="25">N11</f>
        <v>23352.25</v>
      </c>
      <c r="O14" s="36">
        <f t="shared" si="25"/>
        <v>23633.5</v>
      </c>
      <c r="P14" s="36">
        <f t="shared" ref="P14:Q14" si="26">P11</f>
        <v>23165</v>
      </c>
      <c r="Q14" s="36">
        <f t="shared" si="26"/>
        <v>23255.5</v>
      </c>
      <c r="R14" s="4">
        <f t="shared" ref="R14:AP14" si="27">R11</f>
        <v>23071</v>
      </c>
      <c r="S14" s="4">
        <f t="shared" si="27"/>
        <v>23071</v>
      </c>
      <c r="T14" s="114">
        <f t="shared" si="27"/>
        <v>22074.332607797998</v>
      </c>
      <c r="U14" s="4">
        <f t="shared" si="27"/>
        <v>22689.5</v>
      </c>
      <c r="V14" s="36">
        <f t="shared" si="27"/>
        <v>21846.915759747499</v>
      </c>
      <c r="W14" s="36">
        <f t="shared" si="27"/>
        <v>22119.5</v>
      </c>
      <c r="X14" s="36">
        <f t="shared" si="27"/>
        <v>21664.221012996666</v>
      </c>
      <c r="Y14" s="36">
        <f t="shared" si="27"/>
        <v>21979</v>
      </c>
      <c r="Z14" s="4">
        <f t="shared" si="27"/>
        <v>21574.331519494997</v>
      </c>
      <c r="AA14" s="115">
        <f t="shared" si="27"/>
        <v>21574.331519494997</v>
      </c>
      <c r="AB14" s="114">
        <f t="shared" si="27"/>
        <v>20247.928906977981</v>
      </c>
      <c r="AC14" s="4">
        <f t="shared" si="27"/>
        <v>20746.356195860048</v>
      </c>
      <c r="AD14" s="36">
        <f t="shared" si="27"/>
        <v>20051.245373974973</v>
      </c>
      <c r="AE14" s="36">
        <f t="shared" si="27"/>
        <v>20107.973822450098</v>
      </c>
      <c r="AF14" s="36">
        <f t="shared" si="27"/>
        <v>19915.644047723268</v>
      </c>
      <c r="AG14" s="36">
        <f t="shared" si="27"/>
        <v>20003.975615195101</v>
      </c>
      <c r="AH14" s="4">
        <f t="shared" si="27"/>
        <v>19994.516925499847</v>
      </c>
      <c r="AI14" s="115">
        <f t="shared" si="27"/>
        <v>19994.516925499847</v>
      </c>
      <c r="AJ14" s="4">
        <f t="shared" si="27"/>
        <v>18885.288483171702</v>
      </c>
      <c r="AK14" s="4">
        <f t="shared" si="27"/>
        <v>19461.473091094602</v>
      </c>
      <c r="AL14" s="4">
        <f t="shared" si="27"/>
        <v>18671.865375769725</v>
      </c>
      <c r="AM14" s="4">
        <f t="shared" si="27"/>
        <v>18883.810521449603</v>
      </c>
      <c r="AN14" s="4">
        <f t="shared" si="27"/>
        <v>18501.165411223101</v>
      </c>
      <c r="AO14" s="4">
        <f t="shared" si="27"/>
        <v>18607.798732769603</v>
      </c>
      <c r="AP14" s="4">
        <f t="shared" si="27"/>
        <v>18459.920230089851</v>
      </c>
      <c r="AQ14" s="4">
        <f>AQ11</f>
        <v>18459.920230089851</v>
      </c>
      <c r="AR14" s="17"/>
      <c r="AS14" s="17"/>
      <c r="AT14" s="17"/>
      <c r="AU14" s="17"/>
      <c r="AV14" s="17"/>
      <c r="AW14" s="17"/>
      <c r="AX14" s="17"/>
      <c r="AY14" s="17"/>
      <c r="AZ14" s="17"/>
      <c r="BA14" s="17"/>
      <c r="BB14" s="17"/>
      <c r="BC14" s="17"/>
      <c r="BD14" s="17"/>
      <c r="BE14" s="17"/>
      <c r="BF14" s="17"/>
      <c r="BG14" s="17"/>
      <c r="BH14" s="17"/>
      <c r="BI14" s="17"/>
      <c r="BJ14" s="17"/>
      <c r="BK14" s="17"/>
      <c r="BL14" s="17"/>
      <c r="BM14" s="17"/>
    </row>
    <row r="15" spans="1:65" ht="15.75" thickBot="1" x14ac:dyDescent="0.3">
      <c r="A15" s="47" t="s">
        <v>76</v>
      </c>
      <c r="B15" s="44">
        <f t="shared" ref="B15" si="28">B13/B14</f>
        <v>0.11397953199339741</v>
      </c>
      <c r="C15" s="44">
        <f>C13/C14</f>
        <v>0.11397953199339741</v>
      </c>
      <c r="D15" s="117">
        <f t="shared" ref="D15:E15" si="29">D13/D14</f>
        <v>0.12583769846765458</v>
      </c>
      <c r="E15" s="44">
        <f t="shared" si="29"/>
        <v>0.13988055388320289</v>
      </c>
      <c r="F15" s="43">
        <f t="shared" ref="F15:G15" si="30">F13/F14</f>
        <v>0.12142716373788799</v>
      </c>
      <c r="G15" s="43">
        <f t="shared" si="30"/>
        <v>0.11670788669248013</v>
      </c>
      <c r="H15" s="43">
        <f t="shared" ref="H15" si="31">H13/H14</f>
        <v>0.12360322531985792</v>
      </c>
      <c r="I15" s="43">
        <f>I13/I14-0.0002</f>
        <v>0.13240669698222404</v>
      </c>
      <c r="J15" s="44">
        <f t="shared" ref="J15" si="32">J13/J14</f>
        <v>0.11586449931753319</v>
      </c>
      <c r="K15" s="44">
        <f>K13/K14</f>
        <v>0.11586449931753319</v>
      </c>
      <c r="L15" s="117">
        <f t="shared" ref="L15:M15" si="33">L13/L14</f>
        <v>6.3686584373304392E-2</v>
      </c>
      <c r="M15" s="44">
        <f t="shared" si="33"/>
        <v>9.6910663062096294E-2</v>
      </c>
      <c r="N15" s="43">
        <f t="shared" ref="N15:O15" si="34">N13/N14</f>
        <v>5.2265741702262808E-2</v>
      </c>
      <c r="O15" s="43">
        <f t="shared" si="34"/>
        <v>8.2425370766073577E-2</v>
      </c>
      <c r="P15" s="43">
        <f t="shared" ref="P15:Q15" si="35">P13/P14</f>
        <v>3.6986142887977552E-2</v>
      </c>
      <c r="Q15" s="43">
        <f t="shared" si="35"/>
        <v>3.9902646685730257E-2</v>
      </c>
      <c r="R15" s="44">
        <f t="shared" ref="R15" si="36">R13/R14</f>
        <v>3.4051926661176374E-2</v>
      </c>
      <c r="S15" s="44">
        <f>S13/S14</f>
        <v>3.4051926661176374E-2</v>
      </c>
      <c r="T15" s="117">
        <f t="shared" ref="T15:U15" si="37">T13/T14</f>
        <v>0.13970977310138669</v>
      </c>
      <c r="U15" s="44">
        <f t="shared" si="37"/>
        <v>8.2857709513210961E-2</v>
      </c>
      <c r="V15" s="43">
        <f t="shared" ref="V15:W15" si="38">V13/V14</f>
        <v>0.15953434213148704</v>
      </c>
      <c r="W15" s="43">
        <f t="shared" si="38"/>
        <v>0.1050656660412758</v>
      </c>
      <c r="X15" s="43">
        <f t="shared" ref="X15:Y15" si="39">X13/X14</f>
        <v>0.1876827233972895</v>
      </c>
      <c r="Y15" s="43">
        <f t="shared" si="39"/>
        <v>0.16215478411210701</v>
      </c>
      <c r="Z15" s="44">
        <f t="shared" ref="Z15:AJ15" si="40">Z13/Z14</f>
        <v>0.21173309568698637</v>
      </c>
      <c r="AA15" s="118">
        <f>AA13/AA14</f>
        <v>0.21173309568698637</v>
      </c>
      <c r="AB15" s="117">
        <f t="shared" si="40"/>
        <v>0.11315466991690269</v>
      </c>
      <c r="AC15" s="44">
        <f t="shared" si="40"/>
        <v>0.1014691325824309</v>
      </c>
      <c r="AD15" s="43">
        <f t="shared" si="40"/>
        <v>0.11735723390698778</v>
      </c>
      <c r="AE15" s="43">
        <f t="shared" si="40"/>
        <v>0.12586498646294655</v>
      </c>
      <c r="AF15" s="43">
        <f t="shared" si="40"/>
        <v>0.11369419479049435</v>
      </c>
      <c r="AG15" s="43">
        <f t="shared" si="40"/>
        <v>0.12311004788514784</v>
      </c>
      <c r="AH15" s="44">
        <f t="shared" si="40"/>
        <v>0.10332311799767836</v>
      </c>
      <c r="AI15" s="118">
        <f t="shared" si="40"/>
        <v>0.10332311799767836</v>
      </c>
      <c r="AJ15" s="44">
        <f t="shared" si="40"/>
        <v>0.11032139977721399</v>
      </c>
      <c r="AK15" s="44">
        <f t="shared" ref="AK15:AP15" si="41">AK13/AK14</f>
        <v>0.11427004410357916</v>
      </c>
      <c r="AL15" s="44">
        <f t="shared" si="41"/>
        <v>0.10907573741273165</v>
      </c>
      <c r="AM15" s="44">
        <f t="shared" si="41"/>
        <v>0.12932272059106298</v>
      </c>
      <c r="AN15" s="44">
        <f t="shared" si="41"/>
        <v>9.9124477321170079E-2</v>
      </c>
      <c r="AO15" s="44">
        <f t="shared" si="41"/>
        <v>0.11048339385891466</v>
      </c>
      <c r="AP15" s="44">
        <f t="shared" si="41"/>
        <v>8.732345135340587E-2</v>
      </c>
      <c r="AQ15" s="44">
        <f>AQ13/AQ14</f>
        <v>8.732345135340587E-2</v>
      </c>
      <c r="AR15" s="74"/>
      <c r="AS15" s="17"/>
      <c r="AT15" s="17"/>
      <c r="AU15" s="17"/>
      <c r="AV15" s="17"/>
      <c r="AW15" s="17"/>
      <c r="AX15" s="17"/>
      <c r="AY15" s="17"/>
      <c r="AZ15" s="17"/>
      <c r="BA15" s="17"/>
      <c r="BB15" s="17"/>
      <c r="BC15" s="17"/>
      <c r="BD15" s="17"/>
      <c r="BE15" s="17"/>
      <c r="BF15" s="17"/>
      <c r="BG15" s="17"/>
      <c r="BH15" s="17"/>
      <c r="BI15" s="17"/>
      <c r="BJ15" s="17"/>
      <c r="BK15" s="17"/>
      <c r="BL15" s="17"/>
      <c r="BM15" s="17"/>
    </row>
    <row r="16" spans="1:65" x14ac:dyDescent="0.25">
      <c r="A16" s="46"/>
      <c r="B16" s="189"/>
      <c r="C16" s="189"/>
      <c r="D16" s="200"/>
      <c r="E16" s="46"/>
      <c r="F16" s="191"/>
      <c r="G16" s="46"/>
      <c r="H16" s="189"/>
      <c r="I16" s="189"/>
      <c r="J16" s="189"/>
      <c r="K16" s="189"/>
      <c r="L16" s="200"/>
      <c r="M16" s="46"/>
      <c r="N16" s="191"/>
      <c r="O16" s="46"/>
      <c r="P16" s="191"/>
      <c r="Q16" s="46"/>
      <c r="R16" s="189"/>
      <c r="S16" s="189"/>
      <c r="T16" s="200"/>
      <c r="U16" s="46"/>
      <c r="V16" s="191"/>
      <c r="W16" s="46"/>
      <c r="X16" s="191"/>
      <c r="Y16" s="46"/>
      <c r="Z16" s="189"/>
      <c r="AA16" s="189"/>
      <c r="AB16" s="190"/>
      <c r="AC16" s="189"/>
      <c r="AD16" s="191"/>
      <c r="AE16" s="191"/>
      <c r="AF16" s="191"/>
      <c r="AG16" s="191"/>
      <c r="AH16" s="189"/>
      <c r="AI16" s="192"/>
      <c r="AJ16" s="189"/>
      <c r="AK16" s="189"/>
      <c r="AL16" s="189"/>
      <c r="AM16" s="189"/>
      <c r="AN16" s="189"/>
      <c r="AO16" s="189"/>
      <c r="AP16" s="189"/>
      <c r="AQ16" s="189"/>
      <c r="AR16" s="74"/>
      <c r="AS16" s="17"/>
      <c r="AT16" s="17"/>
      <c r="AU16" s="17"/>
      <c r="AV16" s="17"/>
      <c r="AW16" s="17"/>
      <c r="AX16" s="17"/>
      <c r="AY16" s="17"/>
      <c r="AZ16" s="17"/>
      <c r="BA16" s="17"/>
      <c r="BB16" s="17"/>
      <c r="BC16" s="17"/>
      <c r="BD16" s="17"/>
      <c r="BE16" s="17"/>
      <c r="BF16" s="17"/>
      <c r="BG16" s="17"/>
      <c r="BH16" s="17"/>
      <c r="BI16" s="17"/>
      <c r="BJ16" s="17"/>
      <c r="BK16" s="17"/>
      <c r="BL16" s="17"/>
      <c r="BM16" s="17"/>
    </row>
    <row r="17" spans="1:65" x14ac:dyDescent="0.25">
      <c r="A17" t="s">
        <v>77</v>
      </c>
      <c r="B17" s="76">
        <f>C17</f>
        <v>695</v>
      </c>
      <c r="C17" s="3">
        <v>695</v>
      </c>
      <c r="D17" s="120">
        <f>K17+I17+G17+E17</f>
        <v>2714</v>
      </c>
      <c r="E17">
        <v>755</v>
      </c>
      <c r="F17" s="3">
        <f>G17+I17+K17</f>
        <v>1959</v>
      </c>
      <c r="G17" s="14">
        <v>666</v>
      </c>
      <c r="H17" s="76">
        <f>K17+I17</f>
        <v>1293</v>
      </c>
      <c r="I17" s="76">
        <v>681</v>
      </c>
      <c r="J17" s="76">
        <f>K17</f>
        <v>612</v>
      </c>
      <c r="K17" s="3">
        <v>612</v>
      </c>
      <c r="L17" s="120">
        <f>S17+Q17+O17+M17</f>
        <v>2386</v>
      </c>
      <c r="M17">
        <v>629</v>
      </c>
      <c r="N17" s="3">
        <f>O17+Q17+S17</f>
        <v>1757</v>
      </c>
      <c r="O17" s="14">
        <v>595</v>
      </c>
      <c r="P17" s="3">
        <f>Q17+S17</f>
        <v>1162</v>
      </c>
      <c r="Q17" s="3">
        <v>570</v>
      </c>
      <c r="R17" s="76">
        <f>S17</f>
        <v>592</v>
      </c>
      <c r="S17" s="3">
        <v>592</v>
      </c>
      <c r="T17" s="120">
        <f>AA17+Y17+W17+U17</f>
        <v>2478</v>
      </c>
      <c r="U17">
        <v>678</v>
      </c>
      <c r="V17" s="3">
        <f>W17+Y17+AA17</f>
        <v>1800</v>
      </c>
      <c r="W17">
        <v>615</v>
      </c>
      <c r="X17" s="3">
        <f>Y17+AA17</f>
        <v>1185</v>
      </c>
      <c r="Y17" s="3">
        <v>602</v>
      </c>
      <c r="Z17" s="76">
        <f>AA17</f>
        <v>583</v>
      </c>
      <c r="AA17" s="3">
        <v>583</v>
      </c>
      <c r="AB17" s="120">
        <f>AI17+AG17+AE17+AC17</f>
        <v>2229.4154961199997</v>
      </c>
      <c r="AC17" s="3">
        <v>575.99125096</v>
      </c>
      <c r="AD17" s="3">
        <f>AI17+AG17+AE17</f>
        <v>1653.4242451599998</v>
      </c>
      <c r="AE17" s="3">
        <v>542.60172895999995</v>
      </c>
      <c r="AF17" s="3">
        <f>AG17+AI17</f>
        <v>1110.8225161999999</v>
      </c>
      <c r="AG17" s="3">
        <v>571.92680112999994</v>
      </c>
      <c r="AH17" s="3">
        <f>AI17</f>
        <v>538.89571507000005</v>
      </c>
      <c r="AI17" s="108">
        <v>538.89571507000005</v>
      </c>
      <c r="AJ17" s="3">
        <f>AQ17+AO17+AM17+AK17</f>
        <v>2166.7143709199991</v>
      </c>
      <c r="AK17" s="3">
        <v>569.35506624999903</v>
      </c>
      <c r="AL17" s="3">
        <f>AQ17+AO17+AM17</f>
        <v>1597.3593046700003</v>
      </c>
      <c r="AM17" s="3">
        <v>530.28978420999999</v>
      </c>
      <c r="AN17" s="3">
        <f>AQ17+AO17</f>
        <v>1067.0695204600001</v>
      </c>
      <c r="AO17" s="3">
        <v>547.69052364000004</v>
      </c>
      <c r="AP17" s="3">
        <f>AQ17</f>
        <v>519.37899682</v>
      </c>
      <c r="AQ17" s="3">
        <v>519.37899682</v>
      </c>
      <c r="AR17" s="17"/>
      <c r="AS17" s="17"/>
      <c r="AT17" s="17"/>
      <c r="AU17" s="17"/>
      <c r="AV17" s="17"/>
      <c r="AW17" s="17"/>
      <c r="AX17" s="17"/>
      <c r="AY17" s="17"/>
      <c r="AZ17" s="17"/>
      <c r="BA17" s="17"/>
      <c r="BB17" s="17"/>
      <c r="BC17" s="17"/>
      <c r="BD17" s="17"/>
      <c r="BE17" s="17"/>
      <c r="BF17" s="17"/>
      <c r="BG17" s="17"/>
      <c r="BH17" s="17"/>
      <c r="BI17" s="17"/>
      <c r="BJ17" s="17"/>
      <c r="BK17" s="17"/>
      <c r="BL17" s="17"/>
      <c r="BM17" s="17"/>
    </row>
    <row r="18" spans="1:65" x14ac:dyDescent="0.25">
      <c r="A18" s="38" t="s">
        <v>78</v>
      </c>
      <c r="B18" s="92">
        <f>C18</f>
        <v>1631</v>
      </c>
      <c r="C18" s="4">
        <v>1631</v>
      </c>
      <c r="D18" s="121">
        <f>K18+I18+G18+E18</f>
        <v>6744</v>
      </c>
      <c r="E18" s="4">
        <v>1804</v>
      </c>
      <c r="F18" s="4">
        <f>G18+I18+K18</f>
        <v>4940</v>
      </c>
      <c r="G18" s="4">
        <v>1629</v>
      </c>
      <c r="H18" s="92">
        <f>K18+I18</f>
        <v>3311</v>
      </c>
      <c r="I18" s="92">
        <v>1698</v>
      </c>
      <c r="J18" s="92">
        <f>K18</f>
        <v>1613</v>
      </c>
      <c r="K18" s="4">
        <v>1613</v>
      </c>
      <c r="L18" s="121">
        <f>S18+Q18+O18+M18</f>
        <v>6237</v>
      </c>
      <c r="M18" s="4">
        <v>1604</v>
      </c>
      <c r="N18" s="4">
        <f>O18+Q18+S18</f>
        <v>4633</v>
      </c>
      <c r="O18" s="4">
        <v>1567</v>
      </c>
      <c r="P18" s="4">
        <f>Q18+S18</f>
        <v>3066</v>
      </c>
      <c r="Q18" s="4">
        <v>1667</v>
      </c>
      <c r="R18" s="92">
        <f>S18</f>
        <v>1399</v>
      </c>
      <c r="S18" s="4">
        <v>1399</v>
      </c>
      <c r="T18" s="121">
        <f>AA18+Y18+W18+U18</f>
        <v>6530</v>
      </c>
      <c r="U18" s="4">
        <v>1443</v>
      </c>
      <c r="V18" s="4">
        <f>W18+Y18+AA18</f>
        <v>5087</v>
      </c>
      <c r="W18" s="4">
        <v>1440</v>
      </c>
      <c r="X18" s="4">
        <f>Y18+AA18</f>
        <v>3647</v>
      </c>
      <c r="Y18" s="4">
        <v>1692</v>
      </c>
      <c r="Z18" s="92">
        <f>AA18</f>
        <v>1955</v>
      </c>
      <c r="AA18" s="4">
        <v>1955</v>
      </c>
      <c r="AB18" s="121">
        <f>AI18+AG18+AE18+AC18</f>
        <v>5445.0939397799593</v>
      </c>
      <c r="AC18" s="4">
        <v>1344.04428511997</v>
      </c>
      <c r="AD18" s="4">
        <f>AI18+AG18+AE18</f>
        <v>4101.0496546599898</v>
      </c>
      <c r="AE18" s="4">
        <v>1395.36743137999</v>
      </c>
      <c r="AF18" s="4">
        <f>AG18+AI18</f>
        <v>2705.6822232799996</v>
      </c>
      <c r="AG18" s="4">
        <v>1424.6105378499999</v>
      </c>
      <c r="AH18" s="4">
        <f>AI18</f>
        <v>1281.0716854299999</v>
      </c>
      <c r="AI18" s="115">
        <v>1281.0716854299999</v>
      </c>
      <c r="AJ18" s="4">
        <f>AQ18+AO18+AM18+AK18</f>
        <v>5319.8942357599999</v>
      </c>
      <c r="AK18" s="4">
        <v>1388.9683926</v>
      </c>
      <c r="AL18" s="4">
        <f>AQ18+AO18+AM18</f>
        <v>3930.9258431600001</v>
      </c>
      <c r="AM18" s="4">
        <v>1405.59626551</v>
      </c>
      <c r="AN18" s="4">
        <f>AQ18+AO18</f>
        <v>2525.3295776499999</v>
      </c>
      <c r="AO18" s="4">
        <v>1326.04926705</v>
      </c>
      <c r="AP18" s="4">
        <f>AQ18</f>
        <v>1199.2803105999999</v>
      </c>
      <c r="AQ18" s="4">
        <v>1199.2803105999999</v>
      </c>
      <c r="AR18" s="17"/>
      <c r="AS18" s="17"/>
      <c r="AT18" s="17"/>
      <c r="AU18" s="17"/>
      <c r="AV18" s="17"/>
      <c r="AW18" s="17"/>
      <c r="AX18" s="17"/>
      <c r="AY18" s="17"/>
      <c r="AZ18" s="17"/>
      <c r="BA18" s="17"/>
      <c r="BB18" s="17"/>
      <c r="BC18" s="17"/>
      <c r="BD18" s="17"/>
      <c r="BE18" s="17"/>
      <c r="BF18" s="17"/>
      <c r="BG18" s="17"/>
      <c r="BH18" s="17"/>
      <c r="BI18" s="17"/>
      <c r="BJ18" s="17"/>
      <c r="BK18" s="17"/>
      <c r="BL18" s="17"/>
      <c r="BM18" s="17"/>
    </row>
    <row r="19" spans="1:65" s="23" customFormat="1" ht="15.75" thickBot="1" x14ac:dyDescent="0.3">
      <c r="A19" s="45" t="s">
        <v>7</v>
      </c>
      <c r="B19" s="51">
        <f>B17/B18</f>
        <v>0.42611894543225015</v>
      </c>
      <c r="C19" s="51">
        <f t="shared" ref="C19" si="42">C17/C18</f>
        <v>0.42611894543225015</v>
      </c>
      <c r="D19" s="122">
        <f>D17/D18</f>
        <v>0.40243179122182682</v>
      </c>
      <c r="E19" s="93">
        <f t="shared" ref="E19" si="43">E17/E18</f>
        <v>0.41851441241685144</v>
      </c>
      <c r="F19" s="51">
        <f>F17/F18</f>
        <v>0.39655870445344127</v>
      </c>
      <c r="G19" s="51">
        <f t="shared" ref="G19" si="44">G17/G18</f>
        <v>0.40883977900552487</v>
      </c>
      <c r="H19" s="51">
        <f>H17/H18</f>
        <v>0.39051646028390213</v>
      </c>
      <c r="I19" s="51">
        <f t="shared" ref="I19" si="45">I17/I18</f>
        <v>0.40106007067137811</v>
      </c>
      <c r="J19" s="51">
        <f>J17/J18</f>
        <v>0.37941723496590207</v>
      </c>
      <c r="K19" s="51">
        <f t="shared" ref="K19" si="46">K17/K18</f>
        <v>0.37941723496590207</v>
      </c>
      <c r="L19" s="122">
        <f>L17/L18</f>
        <v>0.38255571588904924</v>
      </c>
      <c r="M19" s="93">
        <f t="shared" ref="M19" si="47">M17/M18</f>
        <v>0.39214463840399</v>
      </c>
      <c r="N19" s="51">
        <f>N17/N18</f>
        <v>0.37923591625296782</v>
      </c>
      <c r="O19" s="51">
        <f t="shared" ref="O19" si="48">O17/O18</f>
        <v>0.37970644543714105</v>
      </c>
      <c r="P19" s="51">
        <f>P17/P18</f>
        <v>0.37899543378995432</v>
      </c>
      <c r="Q19" s="51">
        <f t="shared" ref="Q19" si="49">Q17/Q18</f>
        <v>0.34193161367726455</v>
      </c>
      <c r="R19" s="51">
        <f>R17/R18</f>
        <v>0.42315939957112225</v>
      </c>
      <c r="S19" s="51">
        <f t="shared" ref="S19" si="50">S17/S18</f>
        <v>0.42315939957112225</v>
      </c>
      <c r="T19" s="122">
        <f>T17/T18</f>
        <v>0.37947932618683</v>
      </c>
      <c r="U19" s="93">
        <f t="shared" ref="U19" si="51">U17/U18</f>
        <v>0.46985446985446988</v>
      </c>
      <c r="V19" s="51">
        <f>V17/V18</f>
        <v>0.3538431295459013</v>
      </c>
      <c r="W19" s="51">
        <f t="shared" ref="W19:Y19" si="52">W17/W18</f>
        <v>0.42708333333333331</v>
      </c>
      <c r="X19" s="51">
        <f>X17/X18</f>
        <v>0.32492459555799286</v>
      </c>
      <c r="Y19" s="51">
        <f t="shared" si="52"/>
        <v>0.35579196217494091</v>
      </c>
      <c r="Z19" s="51">
        <f>Z17/Z18</f>
        <v>0.29820971867007673</v>
      </c>
      <c r="AA19" s="123">
        <f t="shared" ref="AA19:AQ19" si="53">AA17/AA18</f>
        <v>0.29820971867007673</v>
      </c>
      <c r="AB19" s="122">
        <f>AB17/AB18</f>
        <v>0.40943563522984733</v>
      </c>
      <c r="AC19" s="93">
        <f t="shared" si="53"/>
        <v>0.4285507980182266</v>
      </c>
      <c r="AD19" s="51">
        <f>AD17/AD18</f>
        <v>0.40317098898844766</v>
      </c>
      <c r="AE19" s="51">
        <f t="shared" si="53"/>
        <v>0.38885939055018498</v>
      </c>
      <c r="AF19" s="51">
        <f>AF17/AF18</f>
        <v>0.41055172948336499</v>
      </c>
      <c r="AG19" s="51">
        <f t="shared" si="53"/>
        <v>0.40146186338979561</v>
      </c>
      <c r="AH19" s="51">
        <f>AH17/AH18</f>
        <v>0.42066007796364357</v>
      </c>
      <c r="AI19" s="123">
        <f>AI17/AI18</f>
        <v>0.42066007796364357</v>
      </c>
      <c r="AJ19" s="51">
        <f t="shared" si="53"/>
        <v>0.40728523442354908</v>
      </c>
      <c r="AK19" s="51">
        <f t="shared" si="53"/>
        <v>0.40991218323134576</v>
      </c>
      <c r="AL19" s="51">
        <f t="shared" si="53"/>
        <v>0.40635701827076748</v>
      </c>
      <c r="AM19" s="51">
        <f t="shared" si="53"/>
        <v>0.37727034228964185</v>
      </c>
      <c r="AN19" s="51">
        <f t="shared" si="53"/>
        <v>0.42254663704251416</v>
      </c>
      <c r="AO19" s="51">
        <f t="shared" si="53"/>
        <v>0.41302426482118693</v>
      </c>
      <c r="AP19" s="51">
        <f t="shared" si="53"/>
        <v>0.43307556392729796</v>
      </c>
      <c r="AQ19" s="51">
        <f t="shared" si="53"/>
        <v>0.43307556392729796</v>
      </c>
      <c r="AR19" s="46"/>
      <c r="AS19" s="46"/>
      <c r="AT19" s="46"/>
      <c r="AU19" s="46"/>
      <c r="AV19" s="46"/>
      <c r="AW19" s="46"/>
      <c r="AX19" s="46"/>
      <c r="AY19" s="46"/>
      <c r="AZ19" s="46"/>
      <c r="BA19" s="46"/>
      <c r="BB19" s="46"/>
      <c r="BC19" s="46"/>
      <c r="BD19" s="46"/>
      <c r="BE19" s="46"/>
      <c r="BF19" s="46"/>
      <c r="BG19" s="46"/>
      <c r="BH19" s="46"/>
      <c r="BI19" s="46"/>
      <c r="BJ19" s="46"/>
      <c r="BK19" s="46"/>
      <c r="BL19" s="46"/>
      <c r="BM19" s="46"/>
    </row>
    <row r="20" spans="1:65" x14ac:dyDescent="0.25">
      <c r="B20" s="17"/>
      <c r="C20" s="17"/>
      <c r="D20" s="178"/>
      <c r="F20" s="7"/>
      <c r="L20" s="178"/>
      <c r="N20" s="7"/>
      <c r="P20" s="7"/>
      <c r="T20" s="178"/>
      <c r="V20" s="7"/>
      <c r="X20" s="7"/>
      <c r="AB20" s="105"/>
      <c r="AD20" s="7"/>
      <c r="AE20" s="7"/>
      <c r="AF20" s="7"/>
      <c r="AG20" s="7"/>
      <c r="AH20" s="7"/>
      <c r="AI20" s="119"/>
      <c r="AJ20" s="7"/>
      <c r="AK20" s="7"/>
      <c r="AL20" s="7"/>
      <c r="AM20" s="7"/>
      <c r="AN20" s="7"/>
      <c r="AO20" s="7"/>
      <c r="AP20" s="7"/>
      <c r="AQ20" s="7"/>
      <c r="AR20" s="17"/>
      <c r="AS20" s="17"/>
      <c r="AT20" s="17"/>
      <c r="AU20" s="17"/>
      <c r="AV20" s="17"/>
      <c r="AW20" s="17"/>
      <c r="AX20" s="17"/>
      <c r="AY20" s="17"/>
      <c r="AZ20" s="17"/>
      <c r="BA20" s="17"/>
      <c r="BB20" s="17"/>
      <c r="BC20" s="17"/>
      <c r="BD20" s="17"/>
      <c r="BE20" s="17"/>
      <c r="BF20" s="17"/>
      <c r="BG20" s="17"/>
      <c r="BH20" s="17"/>
      <c r="BI20" s="17"/>
      <c r="BJ20" s="17"/>
      <c r="BK20" s="17"/>
      <c r="BL20" s="17"/>
      <c r="BM20" s="17"/>
    </row>
    <row r="21" spans="1:65" ht="15" customHeight="1" x14ac:dyDescent="0.25">
      <c r="A21" s="52" t="s">
        <v>79</v>
      </c>
      <c r="B21" s="76">
        <f>C21</f>
        <v>1009</v>
      </c>
      <c r="C21" s="3">
        <v>1009</v>
      </c>
      <c r="D21" s="120">
        <f>K21+I21+G21+E21</f>
        <v>3990</v>
      </c>
      <c r="E21" s="3">
        <v>1005</v>
      </c>
      <c r="F21" s="3">
        <f>G21+I21+K21</f>
        <v>2985</v>
      </c>
      <c r="G21" s="3">
        <v>989</v>
      </c>
      <c r="H21" s="76">
        <f>K21+I21</f>
        <v>1996</v>
      </c>
      <c r="I21" s="76">
        <v>1001</v>
      </c>
      <c r="J21" s="76">
        <f>K21</f>
        <v>995</v>
      </c>
      <c r="K21" s="3">
        <v>995</v>
      </c>
      <c r="L21" s="120">
        <f>S21+Q21+O21+M21</f>
        <v>4142</v>
      </c>
      <c r="M21" s="3">
        <v>994</v>
      </c>
      <c r="N21" s="3">
        <f>O21+Q21+S21</f>
        <v>3148</v>
      </c>
      <c r="O21" s="3">
        <v>1041</v>
      </c>
      <c r="P21" s="3">
        <f>Q21+S21</f>
        <v>2107</v>
      </c>
      <c r="Q21" s="76">
        <v>1026</v>
      </c>
      <c r="R21" s="76">
        <f>S21</f>
        <v>1081</v>
      </c>
      <c r="S21" s="3">
        <v>1081</v>
      </c>
      <c r="T21" s="120">
        <f>AA21+Y21+W21+U21</f>
        <v>3987</v>
      </c>
      <c r="U21" s="3">
        <v>1062</v>
      </c>
      <c r="V21" s="3">
        <f>W21+Y21+AA21</f>
        <v>2925</v>
      </c>
      <c r="W21" s="3">
        <v>1019</v>
      </c>
      <c r="X21" s="3">
        <f>Y21+AA21</f>
        <v>1906</v>
      </c>
      <c r="Y21" s="52">
        <v>968</v>
      </c>
      <c r="Z21" s="76">
        <f>AA21</f>
        <v>938</v>
      </c>
      <c r="AA21" s="3">
        <v>938</v>
      </c>
      <c r="AB21" s="120">
        <f>AI21+AG21+AE21+AC21</f>
        <v>3439.1798141099853</v>
      </c>
      <c r="AC21" s="3">
        <v>925.775245509976</v>
      </c>
      <c r="AD21" s="3">
        <f>AI21+AG21+AE21</f>
        <v>2513.404568600009</v>
      </c>
      <c r="AE21" s="3">
        <v>871.06052092000698</v>
      </c>
      <c r="AF21" s="3">
        <f>AG21+AI21</f>
        <v>1642.3440476800019</v>
      </c>
      <c r="AG21" s="3">
        <v>842.01406414000098</v>
      </c>
      <c r="AH21" s="3">
        <f>AI21</f>
        <v>800.32998354000097</v>
      </c>
      <c r="AI21" s="108">
        <v>800.32998354000097</v>
      </c>
      <c r="AJ21" s="3">
        <f>AQ21+AO21+AM21+AK21</f>
        <v>3161.6730513899993</v>
      </c>
      <c r="AK21" s="3">
        <v>818.47981789000005</v>
      </c>
      <c r="AL21" s="3">
        <f>AQ21+AO21+AM21</f>
        <v>2343.1932334999992</v>
      </c>
      <c r="AM21" s="3">
        <v>820.63921234999896</v>
      </c>
      <c r="AN21" s="3">
        <f>AQ21+AO21</f>
        <v>1522.5540211500002</v>
      </c>
      <c r="AO21" s="3">
        <v>783.80171598000004</v>
      </c>
      <c r="AP21" s="3">
        <f>AQ21</f>
        <v>738.75230517</v>
      </c>
      <c r="AQ21" s="3">
        <v>738.75230517</v>
      </c>
      <c r="AR21" s="17"/>
      <c r="AS21" s="17"/>
      <c r="AT21" s="17"/>
      <c r="AU21" s="17"/>
      <c r="AV21" s="17"/>
      <c r="AW21" s="17"/>
      <c r="AX21" s="17"/>
      <c r="AY21" s="17"/>
      <c r="AZ21" s="17"/>
      <c r="BA21" s="17"/>
      <c r="BB21" s="17"/>
      <c r="BC21" s="17"/>
      <c r="BD21" s="17"/>
      <c r="BE21" s="17"/>
      <c r="BF21" s="17"/>
      <c r="BG21" s="17"/>
      <c r="BH21" s="17"/>
      <c r="BI21" s="17"/>
      <c r="BJ21" s="17"/>
      <c r="BK21" s="17"/>
      <c r="BL21" s="17"/>
      <c r="BM21" s="17"/>
    </row>
    <row r="22" spans="1:65" x14ac:dyDescent="0.25">
      <c r="A22" s="52"/>
      <c r="B22" s="17"/>
      <c r="C22" s="17"/>
      <c r="D22" s="116"/>
      <c r="E22" s="52"/>
      <c r="G22" s="52"/>
      <c r="L22" s="116"/>
      <c r="M22" s="52"/>
      <c r="O22" s="52"/>
      <c r="Q22" s="52"/>
      <c r="T22" s="116"/>
      <c r="U22" s="52"/>
      <c r="W22" s="52"/>
      <c r="Y22" s="52"/>
      <c r="AB22" s="105"/>
      <c r="AI22" s="106"/>
      <c r="AR22" s="17"/>
      <c r="AS22" s="17"/>
      <c r="AT22" s="17"/>
      <c r="AU22" s="17"/>
      <c r="AV22" s="17"/>
      <c r="AW22" s="17"/>
      <c r="AX22" s="17"/>
      <c r="AY22" s="17"/>
      <c r="AZ22" s="17"/>
      <c r="BA22" s="17"/>
      <c r="BB22" s="17"/>
      <c r="BC22" s="17"/>
      <c r="BD22" s="17"/>
      <c r="BE22" s="17"/>
      <c r="BF22" s="17"/>
      <c r="BG22" s="17"/>
      <c r="BH22" s="17"/>
      <c r="BI22" s="17"/>
      <c r="BJ22" s="17"/>
      <c r="BK22" s="17"/>
      <c r="BL22" s="17"/>
      <c r="BM22" s="17"/>
    </row>
    <row r="23" spans="1:65" x14ac:dyDescent="0.25">
      <c r="A23" s="52" t="s">
        <v>80</v>
      </c>
      <c r="B23" s="3">
        <f>C23</f>
        <v>318295</v>
      </c>
      <c r="C23" s="3">
        <v>318295</v>
      </c>
      <c r="D23" s="107">
        <f>E23</f>
        <v>304402</v>
      </c>
      <c r="E23" s="3">
        <v>304402</v>
      </c>
      <c r="F23" s="3">
        <f>G23</f>
        <v>296987</v>
      </c>
      <c r="G23" s="3">
        <v>296987</v>
      </c>
      <c r="H23" s="3">
        <f>I23</f>
        <v>299939</v>
      </c>
      <c r="I23" s="3">
        <v>299939</v>
      </c>
      <c r="J23" s="3">
        <f>K23</f>
        <v>296492</v>
      </c>
      <c r="K23" s="3">
        <v>296492</v>
      </c>
      <c r="L23" s="107">
        <f>M23</f>
        <v>287049</v>
      </c>
      <c r="M23" s="3">
        <v>287049</v>
      </c>
      <c r="N23" s="3">
        <f>O23</f>
        <v>280338</v>
      </c>
      <c r="O23" s="3">
        <v>280338</v>
      </c>
      <c r="P23" s="3">
        <f>Q23</f>
        <v>278715</v>
      </c>
      <c r="Q23" s="3">
        <v>278715</v>
      </c>
      <c r="R23" s="3">
        <f>S23</f>
        <v>278639</v>
      </c>
      <c r="S23" s="3">
        <v>278639</v>
      </c>
      <c r="T23" s="107">
        <f>U23</f>
        <v>255895</v>
      </c>
      <c r="U23" s="3">
        <v>255895</v>
      </c>
      <c r="V23" s="3">
        <f>W23</f>
        <v>251604</v>
      </c>
      <c r="W23" s="3">
        <v>251604</v>
      </c>
      <c r="X23" s="3">
        <f>Y23</f>
        <v>246462</v>
      </c>
      <c r="Y23" s="3">
        <v>246462</v>
      </c>
      <c r="Z23" s="3">
        <f>AA23</f>
        <v>241926</v>
      </c>
      <c r="AA23" s="3">
        <v>241926</v>
      </c>
      <c r="AB23" s="107">
        <f>AC23</f>
        <v>234061</v>
      </c>
      <c r="AC23" s="3">
        <v>234061</v>
      </c>
      <c r="AD23" s="3">
        <v>226023</v>
      </c>
      <c r="AE23" s="3">
        <f>AD23</f>
        <v>226023</v>
      </c>
      <c r="AF23" s="3">
        <v>223954</v>
      </c>
      <c r="AG23" s="3">
        <f>AF23</f>
        <v>223954</v>
      </c>
      <c r="AH23" s="3">
        <v>217370</v>
      </c>
      <c r="AI23" s="108">
        <f>AH23</f>
        <v>217370</v>
      </c>
      <c r="AJ23" s="3">
        <v>216618</v>
      </c>
      <c r="AK23" s="3">
        <f>AJ23</f>
        <v>216618</v>
      </c>
      <c r="AL23" s="3">
        <v>215309</v>
      </c>
      <c r="AM23" s="3">
        <f>AL23</f>
        <v>215309</v>
      </c>
      <c r="AN23" s="3">
        <v>212879</v>
      </c>
      <c r="AO23" s="3">
        <f>AN23</f>
        <v>212879</v>
      </c>
      <c r="AP23" s="3">
        <v>200182</v>
      </c>
      <c r="AQ23" s="3">
        <f>AP23</f>
        <v>200182</v>
      </c>
      <c r="AR23" s="3"/>
      <c r="AS23" s="3"/>
      <c r="AT23" s="3"/>
      <c r="AU23" s="3"/>
      <c r="AV23" s="17"/>
      <c r="AW23" s="17"/>
      <c r="AX23" s="17"/>
      <c r="AY23" s="17"/>
      <c r="AZ23" s="17"/>
      <c r="BA23" s="17"/>
      <c r="BB23" s="17"/>
      <c r="BC23" s="17"/>
      <c r="BD23" s="17"/>
      <c r="BE23" s="17"/>
      <c r="BF23" s="17"/>
      <c r="BG23" s="17"/>
      <c r="BH23" s="17"/>
      <c r="BI23" s="17"/>
      <c r="BJ23" s="17"/>
      <c r="BK23" s="17"/>
      <c r="BL23" s="17"/>
      <c r="BM23" s="17"/>
    </row>
    <row r="24" spans="1:65" x14ac:dyDescent="0.25">
      <c r="A24" s="52" t="s">
        <v>81</v>
      </c>
      <c r="B24" s="3">
        <f>C24</f>
        <v>308512</v>
      </c>
      <c r="C24" s="3">
        <v>308512</v>
      </c>
      <c r="D24" s="107">
        <v>295753</v>
      </c>
      <c r="E24" s="3">
        <v>301021</v>
      </c>
      <c r="F24" s="3">
        <v>293769</v>
      </c>
      <c r="G24" s="3">
        <v>300562</v>
      </c>
      <c r="H24" s="3">
        <v>290768</v>
      </c>
      <c r="I24" s="3">
        <v>295347</v>
      </c>
      <c r="J24" s="3">
        <f>K24</f>
        <v>287629</v>
      </c>
      <c r="K24" s="3">
        <v>287629</v>
      </c>
      <c r="L24" s="107">
        <v>275235</v>
      </c>
      <c r="M24" s="3">
        <v>282912</v>
      </c>
      <c r="N24" s="3">
        <v>272674</v>
      </c>
      <c r="O24" s="3">
        <v>280147</v>
      </c>
      <c r="P24" s="3">
        <v>269266</v>
      </c>
      <c r="Q24" s="3">
        <v>275917</v>
      </c>
      <c r="R24" s="3">
        <f>S24</f>
        <v>264959</v>
      </c>
      <c r="S24" s="3">
        <v>264959</v>
      </c>
      <c r="T24" s="107">
        <v>247923</v>
      </c>
      <c r="U24" s="3">
        <v>256488</v>
      </c>
      <c r="V24" s="3">
        <v>244865</v>
      </c>
      <c r="W24" s="3">
        <v>251291</v>
      </c>
      <c r="X24" s="3">
        <v>241421</v>
      </c>
      <c r="Y24" s="3">
        <v>245009</v>
      </c>
      <c r="Z24" s="3">
        <f>AA24</f>
        <v>237959</v>
      </c>
      <c r="AA24" s="3">
        <v>237959</v>
      </c>
      <c r="AB24" s="107">
        <v>223838</v>
      </c>
      <c r="AC24" s="3">
        <v>231062</v>
      </c>
      <c r="AD24" s="3">
        <v>221168</v>
      </c>
      <c r="AE24" s="3">
        <v>225472</v>
      </c>
      <c r="AF24" s="3">
        <v>219106</v>
      </c>
      <c r="AG24" s="3">
        <v>221838</v>
      </c>
      <c r="AH24" s="3">
        <v>215940</v>
      </c>
      <c r="AI24" s="108">
        <v>215940</v>
      </c>
      <c r="AJ24" s="3">
        <v>207562</v>
      </c>
      <c r="AK24" s="53">
        <v>217202</v>
      </c>
      <c r="AL24" s="3">
        <v>204481</v>
      </c>
      <c r="AM24" s="3">
        <v>211111</v>
      </c>
      <c r="AN24" s="3">
        <v>201892</v>
      </c>
      <c r="AO24" s="3">
        <v>207389</v>
      </c>
      <c r="AP24" s="3">
        <v>195967</v>
      </c>
      <c r="AQ24" s="3">
        <v>195967</v>
      </c>
      <c r="AR24" s="3"/>
      <c r="AS24" s="3"/>
      <c r="AT24" s="3"/>
      <c r="AU24" s="3"/>
      <c r="AV24" s="17"/>
      <c r="AW24" s="17"/>
      <c r="AX24" s="17"/>
      <c r="AY24" s="17"/>
      <c r="AZ24" s="17"/>
      <c r="BA24" s="17"/>
      <c r="BB24" s="17"/>
      <c r="BC24" s="17"/>
      <c r="BD24" s="17"/>
      <c r="BE24" s="17"/>
      <c r="BF24" s="17"/>
      <c r="BG24" s="17"/>
      <c r="BH24" s="17"/>
      <c r="BI24" s="17"/>
      <c r="BJ24" s="17"/>
      <c r="BK24" s="17"/>
      <c r="BL24" s="17"/>
      <c r="BM24" s="17"/>
    </row>
    <row r="25" spans="1:65" x14ac:dyDescent="0.25">
      <c r="A25" s="52"/>
      <c r="B25" s="17"/>
      <c r="C25" s="17"/>
      <c r="D25" s="116"/>
      <c r="E25" s="52"/>
      <c r="G25" s="52"/>
      <c r="L25" s="116"/>
      <c r="M25" s="52"/>
      <c r="O25" s="52"/>
      <c r="Q25" s="3"/>
      <c r="T25" s="116"/>
      <c r="U25" s="52"/>
      <c r="W25" s="52"/>
      <c r="Y25" s="3"/>
      <c r="AB25" s="105"/>
      <c r="AI25" s="106"/>
      <c r="AR25" s="17"/>
      <c r="AS25" s="17"/>
      <c r="AT25" s="17"/>
      <c r="AU25" s="17"/>
      <c r="AV25" s="17"/>
      <c r="AW25" s="17"/>
      <c r="AX25" s="17"/>
      <c r="AY25" s="17"/>
      <c r="AZ25" s="17"/>
      <c r="BA25" s="17"/>
      <c r="BB25" s="17"/>
      <c r="BC25" s="17"/>
      <c r="BD25" s="17"/>
      <c r="BE25" s="17"/>
      <c r="BF25" s="17"/>
      <c r="BG25" s="17"/>
      <c r="BH25" s="17"/>
      <c r="BI25" s="17"/>
      <c r="BJ25" s="17"/>
      <c r="BK25" s="17"/>
      <c r="BL25" s="17"/>
      <c r="BM25" s="17"/>
    </row>
    <row r="26" spans="1:65" ht="15.75" thickBot="1" x14ac:dyDescent="0.3">
      <c r="A26" s="54" t="s">
        <v>9</v>
      </c>
      <c r="B26" s="57">
        <f>(B21/90*365)/B24</f>
        <v>1.3263845670688839E-2</v>
      </c>
      <c r="C26" s="57">
        <f>(C21/90*365)/C24</f>
        <v>1.3263845670688839E-2</v>
      </c>
      <c r="D26" s="124">
        <f>(D21/365*365)/D24</f>
        <v>1.3490987411792948E-2</v>
      </c>
      <c r="E26" s="57">
        <f>(E21/92*365)/E24</f>
        <v>1.3245681400532073E-2</v>
      </c>
      <c r="F26" s="56">
        <f>(F21/273*365)/F24</f>
        <v>1.3585279814868369E-2</v>
      </c>
      <c r="G26" s="57">
        <f>(G21/92*365)/G24</f>
        <v>1.3054710841689901E-2</v>
      </c>
      <c r="H26" s="56">
        <f>(H21/181*365)/H24</f>
        <v>1.3842936199747486E-2</v>
      </c>
      <c r="I26" s="57">
        <f>(I21/91*365)/I24</f>
        <v>1.3594179050405117E-2</v>
      </c>
      <c r="J26" s="57">
        <f>(J21/90*365)/J24</f>
        <v>1.4029453837331346E-2</v>
      </c>
      <c r="K26" s="57">
        <f>(K21/90*365)/K24</f>
        <v>1.4029453837331346E-2</v>
      </c>
      <c r="L26" s="124">
        <f>(L21/366*366)/L24</f>
        <v>1.5048958163024324E-2</v>
      </c>
      <c r="M26" s="57">
        <f>(M21/92*366)/M24</f>
        <v>1.3977460497779615E-2</v>
      </c>
      <c r="N26" s="56">
        <f>(N21/273*366)/N24</f>
        <v>1.5477807214459773E-2</v>
      </c>
      <c r="O26" s="57">
        <f>(O21/92*366)/O24</f>
        <v>1.4782844596648871E-2</v>
      </c>
      <c r="P26" s="56">
        <f>(P21/182*366)/P24</f>
        <v>1.5735940839741541E-2</v>
      </c>
      <c r="Q26" s="57">
        <f>(Q21/91*366)/Q24</f>
        <v>1.4955763691796631E-2</v>
      </c>
      <c r="R26" s="57">
        <f>(R21/91*366)/R24</f>
        <v>1.6409173652369768E-2</v>
      </c>
      <c r="S26" s="57">
        <f>(S21/91*366)/S24</f>
        <v>1.6409173652369768E-2</v>
      </c>
      <c r="T26" s="124">
        <f>(T21/365*365)/T24</f>
        <v>1.6081605982502634E-2</v>
      </c>
      <c r="U26" s="57">
        <f>(U21/92*365)/U24</f>
        <v>1.6427160589257164E-2</v>
      </c>
      <c r="V26" s="56">
        <f>(V21/273*365)/V24</f>
        <v>1.5970899416879854E-2</v>
      </c>
      <c r="W26" s="57">
        <f>(W21/92*365)/W24</f>
        <v>1.6088008480727261E-2</v>
      </c>
      <c r="X26" s="56">
        <f>(X21/181*365)/X24</f>
        <v>1.5920699360126064E-2</v>
      </c>
      <c r="Y26" s="57">
        <f>(Y21/91*365)/Y24</f>
        <v>1.5846917307679974E-2</v>
      </c>
      <c r="Z26" s="57">
        <f>(Z21/90*365)/Z24</f>
        <v>1.5986414092810573E-2</v>
      </c>
      <c r="AA26" s="125">
        <f>(AA21/90*365)/AA24</f>
        <v>1.5986414092810573E-2</v>
      </c>
      <c r="AB26" s="124">
        <f>(AB21/365*365)/AB24</f>
        <v>1.5364593206291985E-2</v>
      </c>
      <c r="AC26" s="57">
        <f>(AC21/92*365)/AC24</f>
        <v>1.5895788397991675E-2</v>
      </c>
      <c r="AD26" s="56">
        <f>(AD21/273*365)/AD24</f>
        <v>1.5193937195290779E-2</v>
      </c>
      <c r="AE26" s="57">
        <f>(AE21/92*365)/AE24</f>
        <v>1.53271268106848E-2</v>
      </c>
      <c r="AF26" s="56">
        <f>(AF21/181*365)/AF24</f>
        <v>1.5115557161469784E-2</v>
      </c>
      <c r="AG26" s="57">
        <f>(AG21/91*365)/AG24</f>
        <v>1.5224213878432643E-2</v>
      </c>
      <c r="AH26" s="57">
        <f>(AH21/90*365)/AH24</f>
        <v>1.5030947073369164E-2</v>
      </c>
      <c r="AI26" s="125">
        <f>(AI21/90*365)/AI24</f>
        <v>1.5030947073369164E-2</v>
      </c>
      <c r="AJ26" s="56">
        <f>(AJ21/365*365)/AJ24</f>
        <v>1.5232427185082045E-2</v>
      </c>
      <c r="AK26" s="56">
        <f>(AK21/92*365)/AK24</f>
        <v>1.4950275376290173E-2</v>
      </c>
      <c r="AL26" s="56">
        <f>(AL21/273*365)/AL24</f>
        <v>1.5320938229293193E-2</v>
      </c>
      <c r="AM26" s="57">
        <f>(AM21/92*365)/AM24</f>
        <v>1.5422203841032609E-2</v>
      </c>
      <c r="AN26" s="56">
        <f>(AN21/181*365)/AN24</f>
        <v>1.5207852437481481E-2</v>
      </c>
      <c r="AO26" s="57">
        <f>(AO21/91*365)/AO24</f>
        <v>1.5159049272575257E-2</v>
      </c>
      <c r="AP26" s="57">
        <f>(AP21/90*365)/AP24</f>
        <v>1.5288548660803435E-2</v>
      </c>
      <c r="AQ26" s="57">
        <f>(AQ21/90*365)/AQ24</f>
        <v>1.5288548660803435E-2</v>
      </c>
      <c r="AR26" s="17"/>
      <c r="AS26" s="17"/>
      <c r="AT26" s="17"/>
      <c r="AU26" s="17"/>
      <c r="AV26" s="17"/>
      <c r="AW26" s="17"/>
      <c r="AX26" s="17"/>
      <c r="AY26" s="17"/>
      <c r="AZ26" s="17"/>
      <c r="BA26" s="17"/>
      <c r="BB26" s="17"/>
      <c r="BC26" s="17"/>
      <c r="BD26" s="17"/>
      <c r="BE26" s="17"/>
      <c r="BF26" s="17"/>
      <c r="BG26" s="17"/>
      <c r="BH26" s="17"/>
      <c r="BI26" s="17"/>
      <c r="BJ26" s="17"/>
      <c r="BK26" s="17"/>
      <c r="BL26" s="17"/>
      <c r="BM26" s="17"/>
    </row>
    <row r="27" spans="1:65" customFormat="1" x14ac:dyDescent="0.25">
      <c r="D27" s="179"/>
      <c r="F27" s="89"/>
      <c r="L27" s="179"/>
      <c r="N27" s="89"/>
      <c r="P27" s="89"/>
      <c r="T27" s="179"/>
      <c r="V27" s="89"/>
      <c r="X27" s="89"/>
      <c r="AB27" s="126"/>
      <c r="AD27" s="89"/>
      <c r="AE27" s="89"/>
      <c r="AF27" s="89"/>
      <c r="AG27" s="89"/>
      <c r="AH27" s="89"/>
      <c r="AI27" s="127"/>
      <c r="AJ27" s="89"/>
      <c r="AK27" s="89"/>
      <c r="AL27" s="89"/>
      <c r="AM27" s="89"/>
      <c r="AN27" s="89"/>
      <c r="AO27" s="89"/>
      <c r="AP27" s="89"/>
      <c r="AQ27" s="89"/>
    </row>
    <row r="28" spans="1:65" x14ac:dyDescent="0.25">
      <c r="A28" s="17" t="s">
        <v>294</v>
      </c>
      <c r="B28" s="3">
        <f>C28</f>
        <v>575</v>
      </c>
      <c r="C28" s="3">
        <v>575</v>
      </c>
      <c r="D28" s="107">
        <f>E28+G28+I28+K28</f>
        <v>2031.6679849100001</v>
      </c>
      <c r="E28" s="3">
        <v>545.57996581000009</v>
      </c>
      <c r="F28" s="3">
        <f>K28+I28+G28</f>
        <v>1486.0880191000001</v>
      </c>
      <c r="G28" s="14">
        <v>486.5437509799998</v>
      </c>
      <c r="H28" s="3">
        <f>K28+I28</f>
        <v>999.5442681200002</v>
      </c>
      <c r="I28" s="3">
        <v>483.48174381000007</v>
      </c>
      <c r="J28" s="3">
        <f>K28</f>
        <v>516.06252431000019</v>
      </c>
      <c r="K28" s="3">
        <v>516.06252431000019</v>
      </c>
      <c r="L28" s="107">
        <f>M28+O28+Q28+S28</f>
        <v>2251.6491353300003</v>
      </c>
      <c r="M28" s="3">
        <v>493.9912728299999</v>
      </c>
      <c r="N28" s="3">
        <f>S28+Q28+O28</f>
        <v>1757.6578625000004</v>
      </c>
      <c r="O28" s="14">
        <v>522.14563047000024</v>
      </c>
      <c r="P28" s="3">
        <f>S28+Q28</f>
        <v>1235.5122320300002</v>
      </c>
      <c r="Q28" s="3">
        <v>567.10037039000008</v>
      </c>
      <c r="R28" s="3">
        <f>S28</f>
        <v>668.4118616400001</v>
      </c>
      <c r="S28" s="3">
        <v>668.4118616400001</v>
      </c>
      <c r="T28" s="107">
        <f>U28+W28+Y28+AA28</f>
        <v>2437.8292300200005</v>
      </c>
      <c r="U28" s="3">
        <v>659.17671024000003</v>
      </c>
      <c r="V28" s="3">
        <f>AA28+Y28+W28</f>
        <v>1778.6525197800004</v>
      </c>
      <c r="W28" s="3">
        <v>630.21066969000026</v>
      </c>
      <c r="X28" s="3">
        <f>AA28+Y28</f>
        <v>1148.4418500900001</v>
      </c>
      <c r="Y28" s="3">
        <v>590.29957838000007</v>
      </c>
      <c r="Z28" s="3">
        <f>AA28</f>
        <v>558.14227171000005</v>
      </c>
      <c r="AA28" s="3">
        <v>558.14227171000005</v>
      </c>
      <c r="AB28" s="53"/>
      <c r="AC28" s="53"/>
      <c r="AD28" s="53"/>
      <c r="AE28" s="53"/>
      <c r="AF28" s="53"/>
      <c r="AG28" s="53"/>
      <c r="AH28" s="53"/>
      <c r="AI28" s="53"/>
      <c r="AJ28" s="53"/>
      <c r="AK28" s="53"/>
      <c r="AL28" s="53"/>
      <c r="AM28" s="53"/>
      <c r="AN28" s="53"/>
      <c r="AO28" s="53"/>
      <c r="AP28" s="53"/>
      <c r="AQ28" s="53"/>
      <c r="AR28" s="17"/>
      <c r="AS28" s="17"/>
      <c r="AT28" s="17"/>
      <c r="AU28" s="17"/>
      <c r="AV28" s="17"/>
      <c r="AW28" s="17"/>
      <c r="AX28" s="17"/>
      <c r="AY28" s="17"/>
      <c r="AZ28" s="17"/>
      <c r="BA28" s="17"/>
      <c r="BB28" s="17"/>
      <c r="BC28" s="17"/>
      <c r="BD28" s="17"/>
      <c r="BE28" s="17"/>
      <c r="BF28" s="17"/>
      <c r="BG28" s="17"/>
      <c r="BH28" s="17"/>
      <c r="BI28" s="17"/>
      <c r="BJ28" s="17"/>
      <c r="BK28" s="17"/>
      <c r="BL28" s="17"/>
      <c r="BM28" s="17"/>
    </row>
    <row r="29" spans="1:65" x14ac:dyDescent="0.25">
      <c r="A29" s="21" t="s">
        <v>82</v>
      </c>
      <c r="B29" s="4">
        <f>C29</f>
        <v>-134</v>
      </c>
      <c r="C29" s="4">
        <v>-134</v>
      </c>
      <c r="D29" s="114">
        <f>K29+I29+G29+E29</f>
        <v>-209.42268865870432</v>
      </c>
      <c r="E29" s="4">
        <v>-89.280522002242648</v>
      </c>
      <c r="F29" s="4">
        <f>G29+I29+K29</f>
        <v>-120.14216665646167</v>
      </c>
      <c r="G29" s="4">
        <v>-42.403755637136683</v>
      </c>
      <c r="H29" s="4">
        <f>K29+I29</f>
        <v>-77.738411019324985</v>
      </c>
      <c r="I29" s="4">
        <v>-29.682531687304401</v>
      </c>
      <c r="J29" s="4">
        <f>K29</f>
        <v>-48.055879332020581</v>
      </c>
      <c r="K29" s="4">
        <v>-48.055879332020581</v>
      </c>
      <c r="L29" s="114">
        <f>S29+Q29+O29+M29</f>
        <v>-303.77155377885913</v>
      </c>
      <c r="M29" s="4">
        <v>-41.462952697426637</v>
      </c>
      <c r="N29" s="4">
        <f>S29+Q29+O29</f>
        <v>-262.30860108143247</v>
      </c>
      <c r="O29" s="4">
        <v>-30.373803184125823</v>
      </c>
      <c r="P29" s="4">
        <f>S29+Q29</f>
        <v>-231.93479789730662</v>
      </c>
      <c r="Q29" s="4">
        <v>-51.579647335510245</v>
      </c>
      <c r="R29" s="4">
        <f>S29</f>
        <v>-180.35515056179639</v>
      </c>
      <c r="S29" s="4">
        <v>-180.35515056179639</v>
      </c>
      <c r="T29" s="114">
        <f>AA29+Y29+W29+U29</f>
        <v>-673.69755763024159</v>
      </c>
      <c r="U29" s="4">
        <v>-203.98911885898565</v>
      </c>
      <c r="V29" s="4">
        <f>AA29+Y29+W29</f>
        <v>-469.70843877125594</v>
      </c>
      <c r="W29" s="4">
        <v>-177.7791221391949</v>
      </c>
      <c r="X29" s="4">
        <f>AA29+Y29</f>
        <v>-291.92931663206105</v>
      </c>
      <c r="Y29" s="4">
        <v>-157.42748252399144</v>
      </c>
      <c r="Z29" s="4">
        <f>AA29</f>
        <v>-134.50183410806957</v>
      </c>
      <c r="AA29" s="4">
        <v>-134.50183410806957</v>
      </c>
      <c r="AB29" s="53"/>
      <c r="AC29" s="53"/>
      <c r="AD29" s="53"/>
      <c r="AE29" s="53"/>
      <c r="AF29" s="53"/>
      <c r="AG29" s="53"/>
      <c r="AH29" s="53"/>
      <c r="AI29" s="53"/>
      <c r="AJ29" s="53"/>
      <c r="AK29" s="53"/>
      <c r="AL29" s="53"/>
      <c r="AM29" s="53"/>
      <c r="AN29" s="53"/>
      <c r="AO29" s="53"/>
      <c r="AP29" s="53"/>
      <c r="AQ29" s="53"/>
      <c r="AR29" s="17"/>
      <c r="AS29" s="17"/>
      <c r="AT29" s="17"/>
      <c r="AU29" s="17"/>
      <c r="AV29" s="17"/>
      <c r="AW29" s="17"/>
      <c r="AX29" s="17"/>
      <c r="AY29" s="17"/>
      <c r="AZ29" s="17"/>
      <c r="BA29" s="17"/>
      <c r="BB29" s="17"/>
      <c r="BC29" s="17"/>
      <c r="BD29" s="17"/>
      <c r="BE29" s="17"/>
      <c r="BF29" s="17"/>
      <c r="BG29" s="17"/>
      <c r="BH29" s="17"/>
      <c r="BI29" s="17"/>
      <c r="BJ29" s="17"/>
      <c r="BK29" s="17"/>
      <c r="BL29" s="17"/>
      <c r="BM29" s="17"/>
    </row>
    <row r="30" spans="1:65" x14ac:dyDescent="0.25">
      <c r="A30" s="17" t="s">
        <v>295</v>
      </c>
      <c r="B30" s="3">
        <f t="shared" ref="B30:C30" si="54">SUM(B28:B29)</f>
        <v>441</v>
      </c>
      <c r="C30" s="3">
        <f t="shared" si="54"/>
        <v>441</v>
      </c>
      <c r="D30" s="107">
        <f t="shared" ref="D30:E30" si="55">SUM(D28:D29)</f>
        <v>1822.2452962512957</v>
      </c>
      <c r="E30" s="3">
        <f t="shared" si="55"/>
        <v>456.29944380775743</v>
      </c>
      <c r="F30" s="3">
        <f t="shared" ref="F30:G30" si="56">SUM(F28:F29)</f>
        <v>1365.9458524435383</v>
      </c>
      <c r="G30" s="3">
        <f t="shared" si="56"/>
        <v>444.13999534286313</v>
      </c>
      <c r="H30" s="3">
        <f t="shared" ref="H30:I30" si="57">SUM(H28:H29)</f>
        <v>921.80585710067521</v>
      </c>
      <c r="I30" s="3">
        <f t="shared" si="57"/>
        <v>453.79921212269568</v>
      </c>
      <c r="J30" s="3">
        <f t="shared" ref="J30:K30" si="58">SUM(J28:J29)</f>
        <v>468.00664497797959</v>
      </c>
      <c r="K30" s="3">
        <f t="shared" si="58"/>
        <v>468.00664497797959</v>
      </c>
      <c r="L30" s="107">
        <f t="shared" ref="L30:M30" si="59">SUM(L28:L29)</f>
        <v>1947.8775815511412</v>
      </c>
      <c r="M30" s="3">
        <f t="shared" si="59"/>
        <v>452.52832013257324</v>
      </c>
      <c r="N30" s="3">
        <f t="shared" ref="N30:O30" si="60">SUM(N28:N29)</f>
        <v>1495.3492614185679</v>
      </c>
      <c r="O30" s="3">
        <f t="shared" si="60"/>
        <v>491.77182728587439</v>
      </c>
      <c r="P30" s="3">
        <f t="shared" ref="P30:Q30" si="61">SUM(P28:P29)</f>
        <v>1003.5774341326935</v>
      </c>
      <c r="Q30" s="3">
        <f t="shared" si="61"/>
        <v>515.52072305448985</v>
      </c>
      <c r="R30" s="3">
        <f t="shared" ref="R30:S30" si="62">SUM(R28:R29)</f>
        <v>488.0567110782037</v>
      </c>
      <c r="S30" s="3">
        <f t="shared" si="62"/>
        <v>488.0567110782037</v>
      </c>
      <c r="T30" s="107">
        <f t="shared" ref="T30:X30" si="63">SUM(T28:T29)</f>
        <v>1764.1316723897589</v>
      </c>
      <c r="U30" s="3">
        <f t="shared" si="63"/>
        <v>455.18759138101439</v>
      </c>
      <c r="V30" s="3">
        <f t="shared" si="63"/>
        <v>1308.9440810087444</v>
      </c>
      <c r="W30" s="3">
        <f t="shared" ref="W30:AA30" si="64">SUM(W28:W29)</f>
        <v>452.43154755080536</v>
      </c>
      <c r="X30" s="3">
        <f t="shared" si="63"/>
        <v>856.51253345793907</v>
      </c>
      <c r="Y30" s="3">
        <f t="shared" si="64"/>
        <v>432.87209585600863</v>
      </c>
      <c r="Z30" s="3">
        <f t="shared" si="64"/>
        <v>423.64043760193044</v>
      </c>
      <c r="AA30" s="3">
        <f t="shared" si="64"/>
        <v>423.64043760193044</v>
      </c>
      <c r="AB30" s="53"/>
      <c r="AC30" s="53"/>
      <c r="AD30" s="53"/>
      <c r="AE30" s="53"/>
      <c r="AF30" s="53"/>
      <c r="AG30" s="53"/>
      <c r="AH30" s="53"/>
      <c r="AI30" s="53"/>
      <c r="AJ30" s="53"/>
      <c r="AK30" s="53"/>
      <c r="AL30" s="53"/>
      <c r="AM30" s="53"/>
      <c r="AN30" s="53"/>
      <c r="AO30" s="53"/>
      <c r="AP30" s="53"/>
      <c r="AQ30" s="53"/>
      <c r="AR30" s="17"/>
      <c r="AS30" s="17"/>
      <c r="AT30" s="17"/>
      <c r="AU30" s="17"/>
      <c r="AV30" s="17"/>
      <c r="AW30" s="17"/>
      <c r="AX30" s="17"/>
      <c r="AY30" s="17"/>
      <c r="AZ30" s="17"/>
      <c r="BA30" s="17"/>
      <c r="BB30" s="17"/>
      <c r="BC30" s="17"/>
      <c r="BD30" s="17"/>
      <c r="BE30" s="17"/>
      <c r="BF30" s="17"/>
      <c r="BG30" s="17"/>
      <c r="BH30" s="17"/>
      <c r="BI30" s="17"/>
      <c r="BJ30" s="17"/>
      <c r="BK30" s="17"/>
      <c r="BL30" s="17"/>
      <c r="BM30" s="17"/>
    </row>
    <row r="31" spans="1:65" x14ac:dyDescent="0.25">
      <c r="A31" s="17" t="s">
        <v>296</v>
      </c>
      <c r="B31" s="3">
        <f>C31</f>
        <v>68747</v>
      </c>
      <c r="C31" s="3">
        <v>68747</v>
      </c>
      <c r="D31" s="107">
        <v>66364.403078796662</v>
      </c>
      <c r="E31" s="3">
        <v>68132.101721960003</v>
      </c>
      <c r="F31" s="3">
        <v>65775.17019774222</v>
      </c>
      <c r="G31" s="3">
        <v>67167.735902873334</v>
      </c>
      <c r="H31" s="3">
        <v>65078.88734517667</v>
      </c>
      <c r="I31" s="3">
        <v>65627.698813786657</v>
      </c>
      <c r="J31" s="3">
        <f>K31</f>
        <v>64530.075876566676</v>
      </c>
      <c r="K31" s="3">
        <v>64530.075876566676</v>
      </c>
      <c r="L31" s="107">
        <v>66391.252441626668</v>
      </c>
      <c r="M31" s="3">
        <v>66161.310027663349</v>
      </c>
      <c r="N31" s="3">
        <v>66467.899912947789</v>
      </c>
      <c r="O31" s="3">
        <v>66746.928895463323</v>
      </c>
      <c r="P31" s="3">
        <v>66328.385421690007</v>
      </c>
      <c r="Q31" s="3">
        <v>66866.053933449992</v>
      </c>
      <c r="R31" s="3">
        <f>S31</f>
        <v>65790.716909930023</v>
      </c>
      <c r="S31" s="3">
        <v>65790.716909930023</v>
      </c>
      <c r="T31" s="107">
        <v>64641.349902755006</v>
      </c>
      <c r="U31" s="3">
        <v>65875.015612706673</v>
      </c>
      <c r="V31" s="3">
        <v>64230.127999437776</v>
      </c>
      <c r="W31" s="3">
        <v>64591.337801726659</v>
      </c>
      <c r="X31" s="3">
        <v>64049.523098293335</v>
      </c>
      <c r="Y31" s="3">
        <v>64997.240915163333</v>
      </c>
      <c r="Z31" s="3">
        <f>AA31</f>
        <v>63101.805281423331</v>
      </c>
      <c r="AA31" s="3">
        <v>63101.805281423331</v>
      </c>
      <c r="AB31" s="53"/>
      <c r="AC31" s="53"/>
      <c r="AD31" s="53"/>
      <c r="AE31" s="53"/>
      <c r="AF31" s="53"/>
      <c r="AG31" s="53"/>
      <c r="AH31" s="53"/>
      <c r="AI31" s="53"/>
      <c r="AJ31" s="53"/>
      <c r="AK31" s="53"/>
      <c r="AL31" s="53"/>
      <c r="AM31" s="53"/>
      <c r="AN31" s="53"/>
      <c r="AO31" s="53"/>
      <c r="AP31" s="53"/>
      <c r="AQ31" s="53"/>
      <c r="AR31" s="17"/>
      <c r="AS31" s="17"/>
      <c r="AT31" s="17"/>
      <c r="AU31" s="17"/>
      <c r="AV31" s="17"/>
      <c r="AW31" s="17"/>
      <c r="AX31" s="17"/>
      <c r="AY31" s="17"/>
      <c r="AZ31" s="17"/>
      <c r="BA31" s="17"/>
      <c r="BB31" s="17"/>
      <c r="BC31" s="17"/>
      <c r="BD31" s="17"/>
      <c r="BE31" s="17"/>
      <c r="BF31" s="17"/>
      <c r="BG31" s="17"/>
      <c r="BH31" s="17"/>
      <c r="BI31" s="17"/>
      <c r="BJ31" s="17"/>
      <c r="BK31" s="17"/>
      <c r="BL31" s="17"/>
      <c r="BM31" s="17"/>
    </row>
    <row r="32" spans="1:65" ht="15.75" thickBot="1" x14ac:dyDescent="0.3">
      <c r="A32" s="47" t="s">
        <v>292</v>
      </c>
      <c r="B32" s="57">
        <f>(B30/90*365)/B31</f>
        <v>2.6015680684248043E-2</v>
      </c>
      <c r="C32" s="57">
        <f>(C30/90*365)/C31</f>
        <v>2.6015680684248043E-2</v>
      </c>
      <c r="D32" s="124">
        <f>(D30/365*365)/D31</f>
        <v>2.7458173534502875E-2</v>
      </c>
      <c r="E32" s="57">
        <f>(E30/92*365)/E31</f>
        <v>2.6570711893335791E-2</v>
      </c>
      <c r="F32" s="57">
        <f>(F30/273*365)/F31</f>
        <v>2.7765258467017051E-2</v>
      </c>
      <c r="G32" s="57">
        <f>(G30/92*365)/G31</f>
        <v>2.6233981713845146E-2</v>
      </c>
      <c r="H32" s="57">
        <f>(H30/181*365)/H31</f>
        <v>2.8563645448631245E-2</v>
      </c>
      <c r="I32" s="57">
        <f>(I30/91*365)/I31</f>
        <v>2.7734991260081037E-2</v>
      </c>
      <c r="J32" s="57">
        <f>(J30/90*365)/J31</f>
        <v>2.9413059310636997E-2</v>
      </c>
      <c r="K32" s="57">
        <f>(K30/90*365)/K31</f>
        <v>2.9413059310636997E-2</v>
      </c>
      <c r="L32" s="124">
        <f>(L30/366*366)/L31</f>
        <v>2.9339370924863606E-2</v>
      </c>
      <c r="M32" s="57">
        <f>(M30/92*366)/M31</f>
        <v>2.7210399969419697E-2</v>
      </c>
      <c r="N32" s="57">
        <f>(N30/273*366)/N31</f>
        <v>3.0161235084822172E-2</v>
      </c>
      <c r="O32" s="57">
        <f>(O30/92*366)/O31</f>
        <v>2.9310661173789995E-2</v>
      </c>
      <c r="P32" s="57">
        <f>(P30/182*366)/P31</f>
        <v>3.0427141847137889E-2</v>
      </c>
      <c r="Q32" s="57">
        <f>(Q30/91*366)/Q31</f>
        <v>3.100845490393361E-2</v>
      </c>
      <c r="R32" s="57">
        <f>(R30/91*366)/R31</f>
        <v>2.9836327336617566E-2</v>
      </c>
      <c r="S32" s="57">
        <f>(S30/91*366)/S31</f>
        <v>2.9836327336617566E-2</v>
      </c>
      <c r="T32" s="124">
        <f>(T30/365*365)/T31</f>
        <v>2.7291071041116544E-2</v>
      </c>
      <c r="U32" s="57">
        <f>(U30/92*365)/U31</f>
        <v>2.7414145941298651E-2</v>
      </c>
      <c r="V32" s="57">
        <f>(V30/273*365)/V31</f>
        <v>2.7246613017134991E-2</v>
      </c>
      <c r="W32" s="57">
        <f>(W30/92*365)/W31</f>
        <v>2.7789685872053757E-2</v>
      </c>
      <c r="X32" s="57">
        <f>(X30/181*365)/X31</f>
        <v>2.6966967491682363E-2</v>
      </c>
      <c r="Y32" s="57">
        <f>(Y30/91*365)/Y31</f>
        <v>2.6712598799515815E-2</v>
      </c>
      <c r="Z32" s="57">
        <f>(Z30/90*365)/Z31</f>
        <v>2.7227387910885803E-2</v>
      </c>
      <c r="AA32" s="57">
        <f>(AA30/90*365)/AA31</f>
        <v>2.7227387910885803E-2</v>
      </c>
      <c r="AB32" s="196"/>
      <c r="AC32" s="196"/>
      <c r="AD32" s="196"/>
      <c r="AE32" s="196"/>
      <c r="AF32" s="196"/>
      <c r="AG32" s="196"/>
      <c r="AH32" s="196"/>
      <c r="AI32" s="196"/>
      <c r="AJ32" s="196"/>
      <c r="AK32" s="196"/>
      <c r="AL32" s="196"/>
      <c r="AM32" s="196"/>
      <c r="AN32" s="196"/>
      <c r="AO32" s="196"/>
      <c r="AP32" s="196"/>
      <c r="AQ32" s="196"/>
      <c r="AR32" s="17"/>
      <c r="AS32" s="17"/>
      <c r="AT32" s="17"/>
      <c r="AU32" s="17"/>
      <c r="AV32" s="17"/>
      <c r="AW32" s="17"/>
      <c r="AX32" s="17"/>
      <c r="AY32" s="17"/>
      <c r="AZ32" s="17"/>
      <c r="BA32" s="17"/>
      <c r="BB32" s="17"/>
      <c r="BC32" s="17"/>
      <c r="BD32" s="17"/>
      <c r="BE32" s="17"/>
      <c r="BF32" s="17"/>
      <c r="BG32" s="17"/>
      <c r="BH32" s="17"/>
      <c r="BI32" s="17"/>
      <c r="BJ32" s="17"/>
      <c r="BK32" s="17"/>
      <c r="BL32" s="17"/>
      <c r="BM32" s="17"/>
    </row>
    <row r="33" spans="1:65" x14ac:dyDescent="0.25">
      <c r="A33" s="46"/>
      <c r="B33" s="196"/>
      <c r="C33" s="196"/>
      <c r="D33" s="197"/>
      <c r="E33" s="196"/>
      <c r="F33" s="196"/>
      <c r="G33" s="196"/>
      <c r="H33" s="196"/>
      <c r="I33" s="196"/>
      <c r="J33" s="196"/>
      <c r="K33" s="196"/>
      <c r="L33" s="197"/>
      <c r="M33" s="196"/>
      <c r="N33" s="196"/>
      <c r="O33" s="196"/>
      <c r="P33" s="196"/>
      <c r="Q33" s="196"/>
      <c r="R33" s="196"/>
      <c r="S33" s="196"/>
      <c r="T33" s="197"/>
      <c r="U33" s="196"/>
      <c r="V33" s="196"/>
      <c r="W33" s="196"/>
      <c r="X33" s="196"/>
      <c r="Y33" s="196"/>
      <c r="Z33" s="196"/>
      <c r="AA33" s="196"/>
      <c r="AB33" s="197"/>
      <c r="AC33" s="196"/>
      <c r="AD33" s="196"/>
      <c r="AE33" s="196"/>
      <c r="AF33" s="196"/>
      <c r="AG33" s="196"/>
      <c r="AH33" s="196"/>
      <c r="AI33" s="208"/>
      <c r="AJ33" s="196"/>
      <c r="AK33" s="196"/>
      <c r="AL33" s="196"/>
      <c r="AM33" s="196"/>
      <c r="AN33" s="196"/>
      <c r="AO33" s="196"/>
      <c r="AP33" s="196"/>
      <c r="AQ33" s="196"/>
      <c r="AR33" s="17"/>
      <c r="AS33" s="17"/>
      <c r="AT33" s="17"/>
      <c r="AU33" s="17"/>
      <c r="AV33" s="17"/>
      <c r="AW33" s="17"/>
      <c r="AX33" s="17"/>
      <c r="AY33" s="17"/>
      <c r="AZ33" s="17"/>
      <c r="BA33" s="17"/>
      <c r="BB33" s="17"/>
      <c r="BC33" s="17"/>
      <c r="BD33" s="17"/>
      <c r="BE33" s="17"/>
      <c r="BF33" s="17"/>
      <c r="BG33" s="17"/>
      <c r="BH33" s="17"/>
      <c r="BI33" s="17"/>
      <c r="BJ33" s="17"/>
      <c r="BK33" s="17"/>
      <c r="BL33" s="17"/>
      <c r="BM33" s="17"/>
    </row>
    <row r="34" spans="1:65" x14ac:dyDescent="0.25">
      <c r="A34" s="17" t="s">
        <v>83</v>
      </c>
      <c r="B34" s="3">
        <f>C34</f>
        <v>154</v>
      </c>
      <c r="C34" s="3">
        <v>154</v>
      </c>
      <c r="D34" s="107">
        <f>E34+G34+I34+K34</f>
        <v>541.34106891999988</v>
      </c>
      <c r="E34" s="3">
        <v>143.43230831</v>
      </c>
      <c r="F34" s="3">
        <f>K34+I34+G34</f>
        <v>397.90876060999994</v>
      </c>
      <c r="G34" s="14">
        <v>132.97665442000002</v>
      </c>
      <c r="H34" s="3">
        <f>K34+I34</f>
        <v>264.93210618999996</v>
      </c>
      <c r="I34" s="3">
        <v>133.11863704999999</v>
      </c>
      <c r="J34" s="3">
        <f>K34</f>
        <v>131.81346913999997</v>
      </c>
      <c r="K34" s="3">
        <v>131.81346913999997</v>
      </c>
      <c r="L34" s="107">
        <f>M34+O34+Q34+S34</f>
        <v>599.37898340000004</v>
      </c>
      <c r="M34" s="3">
        <v>135.16534423000002</v>
      </c>
      <c r="N34" s="3">
        <f>S34+Q34+O34</f>
        <v>464.21363917000008</v>
      </c>
      <c r="O34" s="14">
        <v>136.96116714000001</v>
      </c>
      <c r="P34" s="3">
        <f>S34+Q34</f>
        <v>327.25247203000004</v>
      </c>
      <c r="Q34" s="3">
        <v>150.10060804999998</v>
      </c>
      <c r="R34" s="3">
        <f>S34</f>
        <v>177.15186398000003</v>
      </c>
      <c r="S34" s="3">
        <v>177.15186398000003</v>
      </c>
      <c r="T34" s="107">
        <f>U34+W34+Y34+AA34</f>
        <v>633.11383910000006</v>
      </c>
      <c r="U34" s="3">
        <v>172.30233657999997</v>
      </c>
      <c r="V34" s="3">
        <f>AA34+Y34+W34</f>
        <v>460.81150252000003</v>
      </c>
      <c r="W34" s="3">
        <v>162.75755686000008</v>
      </c>
      <c r="X34" s="3">
        <f>AA34+Y34</f>
        <v>298.05394565999995</v>
      </c>
      <c r="Y34" s="3">
        <v>151.46602739999994</v>
      </c>
      <c r="Z34" s="3">
        <f>AA34</f>
        <v>146.58791826000001</v>
      </c>
      <c r="AA34" s="3">
        <v>146.58791826000001</v>
      </c>
      <c r="AB34" s="53"/>
      <c r="AC34" s="53"/>
      <c r="AD34" s="53"/>
      <c r="AE34" s="53"/>
      <c r="AF34" s="53"/>
      <c r="AG34" s="53"/>
      <c r="AH34" s="53"/>
      <c r="AI34" s="53"/>
      <c r="AJ34" s="53"/>
      <c r="AK34" s="53"/>
      <c r="AL34" s="53"/>
      <c r="AM34" s="53"/>
      <c r="AN34" s="53"/>
      <c r="AO34" s="53"/>
      <c r="AP34" s="53"/>
      <c r="AQ34" s="53"/>
      <c r="AR34" s="17"/>
      <c r="AS34" s="17"/>
      <c r="AT34" s="17"/>
      <c r="AU34" s="17"/>
      <c r="AV34" s="17"/>
      <c r="AW34" s="17"/>
      <c r="AX34" s="17"/>
      <c r="AY34" s="17"/>
      <c r="AZ34" s="17"/>
      <c r="BA34" s="17"/>
      <c r="BB34" s="17"/>
      <c r="BC34" s="17"/>
      <c r="BD34" s="17"/>
      <c r="BE34" s="17"/>
      <c r="BF34" s="17"/>
      <c r="BG34" s="17"/>
      <c r="BH34" s="17"/>
      <c r="BI34" s="17"/>
      <c r="BJ34" s="17"/>
      <c r="BK34" s="17"/>
      <c r="BL34" s="17"/>
      <c r="BM34" s="17"/>
    </row>
    <row r="35" spans="1:65" x14ac:dyDescent="0.25">
      <c r="A35" s="21" t="s">
        <v>82</v>
      </c>
      <c r="B35" s="4">
        <f>C35</f>
        <v>-49.1</v>
      </c>
      <c r="C35" s="4">
        <v>-49.1</v>
      </c>
      <c r="D35" s="114">
        <f>K35+I35+G35+E35</f>
        <v>-92.659918779103293</v>
      </c>
      <c r="E35" s="4">
        <v>-35.171240442173961</v>
      </c>
      <c r="F35" s="4">
        <f>G35+I35+K35</f>
        <v>-57.488678336929325</v>
      </c>
      <c r="G35" s="4">
        <v>-19.855022970997201</v>
      </c>
      <c r="H35" s="4">
        <f>K35+I35</f>
        <v>-37.633655365932128</v>
      </c>
      <c r="I35" s="4">
        <v>-15.66742200397953</v>
      </c>
      <c r="J35" s="4">
        <f>K35</f>
        <v>-21.9662333619526</v>
      </c>
      <c r="K35" s="4">
        <v>-21.9662333619526</v>
      </c>
      <c r="L35" s="114">
        <f>S35+Q35+O35+M35</f>
        <v>-124.03945264374124</v>
      </c>
      <c r="M35" s="4">
        <v>-19.716870455731971</v>
      </c>
      <c r="N35" s="4">
        <f>S35+Q35+O35</f>
        <v>-104.32258218800928</v>
      </c>
      <c r="O35" s="4">
        <v>-16.030074947263124</v>
      </c>
      <c r="P35" s="4">
        <f>S35+Q35</f>
        <v>-88.292507240746147</v>
      </c>
      <c r="Q35" s="4">
        <v>-22.965391150851026</v>
      </c>
      <c r="R35" s="4">
        <f>S35</f>
        <v>-65.327116089895128</v>
      </c>
      <c r="S35" s="4">
        <v>-65.327116089895128</v>
      </c>
      <c r="T35" s="114">
        <f>AA35+Y35+W35+U35</f>
        <v>-235.66449007508285</v>
      </c>
      <c r="U35" s="4">
        <v>-70.59928728176115</v>
      </c>
      <c r="V35" s="4">
        <f>AA35+Y35+W35</f>
        <v>-165.0652027933217</v>
      </c>
      <c r="W35" s="4">
        <v>-61.650678206709621</v>
      </c>
      <c r="X35" s="4">
        <f>AA35+Y35</f>
        <v>-103.41452458661207</v>
      </c>
      <c r="Y35" s="4">
        <v>-55.219453195990333</v>
      </c>
      <c r="Z35" s="4">
        <f>AA35</f>
        <v>-48.195071390621742</v>
      </c>
      <c r="AA35" s="4">
        <v>-48.195071390621742</v>
      </c>
      <c r="AB35" s="53"/>
      <c r="AC35" s="53"/>
      <c r="AD35" s="53"/>
      <c r="AE35" s="53"/>
      <c r="AF35" s="53"/>
      <c r="AG35" s="53"/>
      <c r="AH35" s="53"/>
      <c r="AI35" s="53"/>
      <c r="AJ35" s="53"/>
      <c r="AK35" s="53"/>
      <c r="AL35" s="53"/>
      <c r="AM35" s="53"/>
      <c r="AN35" s="53"/>
      <c r="AO35" s="53"/>
      <c r="AP35" s="53"/>
      <c r="AQ35" s="53"/>
      <c r="AR35" s="17"/>
      <c r="AS35" s="17"/>
      <c r="AT35" s="17"/>
      <c r="AU35" s="17"/>
      <c r="AV35" s="17"/>
      <c r="AW35" s="17"/>
      <c r="AX35" s="17"/>
      <c r="AY35" s="17"/>
      <c r="AZ35" s="17"/>
      <c r="BA35" s="17"/>
      <c r="BB35" s="17"/>
      <c r="BC35" s="17"/>
      <c r="BD35" s="17"/>
      <c r="BE35" s="17"/>
      <c r="BF35" s="17"/>
      <c r="BG35" s="17"/>
      <c r="BH35" s="17"/>
      <c r="BI35" s="17"/>
      <c r="BJ35" s="17"/>
      <c r="BK35" s="17"/>
      <c r="BL35" s="17"/>
      <c r="BM35" s="17"/>
    </row>
    <row r="36" spans="1:65" x14ac:dyDescent="0.25">
      <c r="A36" s="17" t="s">
        <v>84</v>
      </c>
      <c r="B36" s="3">
        <f t="shared" ref="B36" si="65">SUM(B34:B35)</f>
        <v>104.9</v>
      </c>
      <c r="C36" s="3">
        <v>104.9</v>
      </c>
      <c r="D36" s="107">
        <f t="shared" ref="D36:E36" si="66">SUM(D34:D35)</f>
        <v>448.68115014089659</v>
      </c>
      <c r="E36" s="3">
        <f t="shared" si="66"/>
        <v>108.26106786782603</v>
      </c>
      <c r="F36" s="3">
        <f t="shared" ref="F36:G36" si="67">SUM(F34:F35)</f>
        <v>340.42008227307065</v>
      </c>
      <c r="G36" s="3">
        <f t="shared" si="67"/>
        <v>113.12163144900282</v>
      </c>
      <c r="H36" s="3">
        <f t="shared" ref="H36:AA36" si="68">SUM(H34:H35)</f>
        <v>227.29845082406783</v>
      </c>
      <c r="I36" s="3">
        <f t="shared" si="68"/>
        <v>117.45121504602047</v>
      </c>
      <c r="J36" s="3">
        <f t="shared" si="68"/>
        <v>109.84723577804736</v>
      </c>
      <c r="K36" s="3">
        <f t="shared" si="68"/>
        <v>109.84723577804736</v>
      </c>
      <c r="L36" s="107">
        <f t="shared" si="68"/>
        <v>475.3395307562588</v>
      </c>
      <c r="M36" s="3">
        <f t="shared" si="68"/>
        <v>115.44847377426805</v>
      </c>
      <c r="N36" s="3">
        <f t="shared" si="68"/>
        <v>359.8910569819908</v>
      </c>
      <c r="O36" s="3">
        <f t="shared" si="68"/>
        <v>120.93109219273688</v>
      </c>
      <c r="P36" s="3">
        <f t="shared" si="68"/>
        <v>238.95996478925389</v>
      </c>
      <c r="Q36" s="3">
        <f t="shared" si="68"/>
        <v>127.13521689914896</v>
      </c>
      <c r="R36" s="3">
        <f t="shared" si="68"/>
        <v>111.8247478901049</v>
      </c>
      <c r="S36" s="3">
        <f t="shared" si="68"/>
        <v>111.8247478901049</v>
      </c>
      <c r="T36" s="107">
        <f t="shared" si="68"/>
        <v>397.44934902491718</v>
      </c>
      <c r="U36" s="3">
        <f t="shared" si="68"/>
        <v>101.70304929823882</v>
      </c>
      <c r="V36" s="3">
        <f t="shared" si="68"/>
        <v>295.74629972667833</v>
      </c>
      <c r="W36" s="3">
        <f t="shared" si="68"/>
        <v>101.10687865329047</v>
      </c>
      <c r="X36" s="3">
        <f t="shared" si="68"/>
        <v>194.63942107338789</v>
      </c>
      <c r="Y36" s="3">
        <f t="shared" si="68"/>
        <v>96.246574204009619</v>
      </c>
      <c r="Z36" s="3">
        <f t="shared" si="68"/>
        <v>98.392846869378275</v>
      </c>
      <c r="AA36" s="3">
        <f t="shared" si="68"/>
        <v>98.392846869378275</v>
      </c>
      <c r="AB36" s="53"/>
      <c r="AC36" s="53"/>
      <c r="AD36" s="53"/>
      <c r="AE36" s="53"/>
      <c r="AF36" s="53"/>
      <c r="AG36" s="53"/>
      <c r="AH36" s="53"/>
      <c r="AI36" s="53"/>
      <c r="AJ36" s="53"/>
      <c r="AK36" s="53"/>
      <c r="AL36" s="53"/>
      <c r="AM36" s="53"/>
      <c r="AN36" s="53"/>
      <c r="AO36" s="53"/>
      <c r="AP36" s="53"/>
      <c r="AQ36" s="53"/>
      <c r="AR36" s="17"/>
      <c r="AS36" s="17"/>
      <c r="AT36" s="17"/>
      <c r="AU36" s="17"/>
      <c r="AV36" s="17"/>
      <c r="AW36" s="17"/>
      <c r="AX36" s="17"/>
      <c r="AY36" s="17"/>
      <c r="AZ36" s="17"/>
      <c r="BA36" s="17"/>
      <c r="BB36" s="17"/>
      <c r="BC36" s="17"/>
      <c r="BD36" s="17"/>
      <c r="BE36" s="17"/>
      <c r="BF36" s="17"/>
      <c r="BG36" s="17"/>
      <c r="BH36" s="17"/>
      <c r="BI36" s="17"/>
      <c r="BJ36" s="17"/>
      <c r="BK36" s="17"/>
      <c r="BL36" s="17"/>
      <c r="BM36" s="17"/>
    </row>
    <row r="37" spans="1:65" x14ac:dyDescent="0.25">
      <c r="A37" s="17" t="s">
        <v>85</v>
      </c>
      <c r="B37" s="3">
        <f>C37</f>
        <v>16338</v>
      </c>
      <c r="C37" s="3">
        <v>16338</v>
      </c>
      <c r="D37" s="107">
        <v>15867.937732373332</v>
      </c>
      <c r="E37" s="3">
        <v>16161.485690873335</v>
      </c>
      <c r="F37" s="3">
        <v>15770.088412873343</v>
      </c>
      <c r="G37" s="3">
        <v>15855.541456403345</v>
      </c>
      <c r="H37" s="3">
        <v>15727.361891108343</v>
      </c>
      <c r="I37" s="3">
        <v>15765.47026992334</v>
      </c>
      <c r="J37" s="3">
        <f>K37</f>
        <v>15689.253512293348</v>
      </c>
      <c r="K37" s="3">
        <v>15689.253512293348</v>
      </c>
      <c r="L37" s="107">
        <v>15738.003264761679</v>
      </c>
      <c r="M37" s="3">
        <v>15720.406665473352</v>
      </c>
      <c r="N37" s="3">
        <v>15743.868797857787</v>
      </c>
      <c r="O37" s="3">
        <v>15691.093277353326</v>
      </c>
      <c r="P37" s="3">
        <v>15770.256558110015</v>
      </c>
      <c r="Q37" s="3">
        <v>15834.156385583365</v>
      </c>
      <c r="R37" s="3">
        <f>S37</f>
        <v>15706.356730636668</v>
      </c>
      <c r="S37" s="3">
        <v>15706.356730636668</v>
      </c>
      <c r="T37" s="107">
        <v>14918.412125474997</v>
      </c>
      <c r="U37" s="3">
        <v>15235.66317416667</v>
      </c>
      <c r="V37" s="3">
        <v>14812.661775911109</v>
      </c>
      <c r="W37" s="3">
        <v>14909.16962656666</v>
      </c>
      <c r="X37" s="3">
        <v>14764.407850583333</v>
      </c>
      <c r="Y37" s="3">
        <v>14876.746436526659</v>
      </c>
      <c r="Z37" s="3">
        <f>AA37</f>
        <v>14652.069264640006</v>
      </c>
      <c r="AA37" s="3">
        <v>14652.069264640006</v>
      </c>
      <c r="AB37" s="53"/>
      <c r="AC37" s="53"/>
      <c r="AD37" s="53"/>
      <c r="AE37" s="53"/>
      <c r="AF37" s="53"/>
      <c r="AG37" s="53"/>
      <c r="AH37" s="53"/>
      <c r="AI37" s="53"/>
      <c r="AJ37" s="53"/>
      <c r="AK37" s="53"/>
      <c r="AL37" s="53"/>
      <c r="AM37" s="53"/>
      <c r="AN37" s="53"/>
      <c r="AO37" s="53"/>
      <c r="AP37" s="53"/>
      <c r="AQ37" s="53"/>
      <c r="AR37" s="17"/>
      <c r="AS37" s="17"/>
      <c r="AT37" s="17"/>
      <c r="AU37" s="17"/>
      <c r="AV37" s="17"/>
      <c r="AW37" s="17"/>
      <c r="AX37" s="17"/>
      <c r="AY37" s="17"/>
      <c r="AZ37" s="17"/>
      <c r="BA37" s="17"/>
      <c r="BB37" s="17"/>
      <c r="BC37" s="17"/>
      <c r="BD37" s="17"/>
      <c r="BE37" s="17"/>
      <c r="BF37" s="17"/>
      <c r="BG37" s="17"/>
      <c r="BH37" s="17"/>
      <c r="BI37" s="17"/>
      <c r="BJ37" s="17"/>
      <c r="BK37" s="17"/>
      <c r="BL37" s="17"/>
      <c r="BM37" s="17"/>
    </row>
    <row r="38" spans="1:65" ht="15.75" thickBot="1" x14ac:dyDescent="0.3">
      <c r="A38" s="47" t="s">
        <v>86</v>
      </c>
      <c r="B38" s="57">
        <f>(B36/90*365)/B37</f>
        <v>2.6039158879775849E-2</v>
      </c>
      <c r="C38" s="57">
        <f>(C36/90*365)/C37</f>
        <v>2.6039158879775849E-2</v>
      </c>
      <c r="D38" s="124">
        <f>(D36/365*365)/D37</f>
        <v>2.8275958584429634E-2</v>
      </c>
      <c r="E38" s="57">
        <f>(E36/92*365)/E37</f>
        <v>2.6576394489572001E-2</v>
      </c>
      <c r="F38" s="57">
        <f>(F36/273*365)/F37</f>
        <v>2.8860992476589395E-2</v>
      </c>
      <c r="G38" s="57">
        <f>(G36/92*365)/G37</f>
        <v>2.8305421052849885E-2</v>
      </c>
      <c r="H38" s="57">
        <f>(H36/181*365)/H37</f>
        <v>2.9144384319486256E-2</v>
      </c>
      <c r="I38" s="57">
        <f>(I36/91*365)/I37</f>
        <v>2.9881476721670033E-2</v>
      </c>
      <c r="J38" s="57">
        <f>(J36/90*365)/J37</f>
        <v>2.8394694940266925E-2</v>
      </c>
      <c r="K38" s="57">
        <f>(K36/90*365)/K37</f>
        <v>2.8394694940266925E-2</v>
      </c>
      <c r="L38" s="124">
        <f>(L36/366*366)/L37</f>
        <v>3.0203293439427105E-2</v>
      </c>
      <c r="M38" s="57">
        <f>(M36/92*366)/M37</f>
        <v>2.9215792914309285E-2</v>
      </c>
      <c r="N38" s="57">
        <f>(N36/273*366)/N37</f>
        <v>3.0646298781930897E-2</v>
      </c>
      <c r="O38" s="57">
        <f>(O36/92*366)/O37</f>
        <v>3.066041501891429E-2</v>
      </c>
      <c r="P38" s="57">
        <f>(P36/182*366)/P37</f>
        <v>3.0471657926857562E-2</v>
      </c>
      <c r="Q38" s="57">
        <f>(Q36/91*366)/Q37</f>
        <v>3.2293166477334066E-2</v>
      </c>
      <c r="R38" s="57">
        <f>(R36/91*366)/R37</f>
        <v>2.8635328105718116E-2</v>
      </c>
      <c r="S38" s="57">
        <f>(S36/91*366)/S37</f>
        <v>2.8635328105718116E-2</v>
      </c>
      <c r="T38" s="124">
        <f>(T36/365*365)/T37</f>
        <v>2.6641531664500961E-2</v>
      </c>
      <c r="U38" s="57">
        <f>(U36/92*365)/U37</f>
        <v>2.6483638342415679E-2</v>
      </c>
      <c r="V38" s="57">
        <f>(V36/273*365)/V37</f>
        <v>2.6694170527664561E-2</v>
      </c>
      <c r="W38" s="57">
        <f>(W36/92*365)/W37</f>
        <v>2.6904955891308705E-2</v>
      </c>
      <c r="X38" s="57">
        <f>(X36/181*365)/X37</f>
        <v>2.6584534501589627E-2</v>
      </c>
      <c r="Y38" s="57">
        <f>(Y36/91*365)/Y37</f>
        <v>2.5949487888680615E-2</v>
      </c>
      <c r="Z38" s="57">
        <f>(Z36/90*365)/Z37</f>
        <v>2.7234218562632369E-2</v>
      </c>
      <c r="AA38" s="57">
        <f>(AA36/90*365)/AA37</f>
        <v>2.7234218562632369E-2</v>
      </c>
      <c r="AB38" s="196"/>
      <c r="AC38" s="196"/>
      <c r="AD38" s="196"/>
      <c r="AE38" s="196"/>
      <c r="AF38" s="196"/>
      <c r="AG38" s="196"/>
      <c r="AH38" s="196"/>
      <c r="AI38" s="196"/>
      <c r="AJ38" s="196"/>
      <c r="AK38" s="196"/>
      <c r="AL38" s="196"/>
      <c r="AM38" s="196"/>
      <c r="AN38" s="196"/>
      <c r="AO38" s="196"/>
      <c r="AP38" s="196"/>
      <c r="AQ38" s="196"/>
      <c r="AR38" s="17"/>
      <c r="AS38" s="17"/>
      <c r="AT38" s="17"/>
      <c r="AU38" s="17"/>
      <c r="AV38" s="17"/>
      <c r="AW38" s="17"/>
      <c r="AX38" s="17"/>
      <c r="AY38" s="17"/>
      <c r="AZ38" s="17"/>
      <c r="BA38" s="17"/>
      <c r="BB38" s="17"/>
      <c r="BC38" s="17"/>
      <c r="BD38" s="17"/>
      <c r="BE38" s="17"/>
      <c r="BF38" s="17"/>
      <c r="BG38" s="17"/>
      <c r="BH38" s="17"/>
      <c r="BI38" s="17"/>
      <c r="BJ38" s="17"/>
      <c r="BK38" s="17"/>
      <c r="BL38" s="17"/>
      <c r="BM38" s="17"/>
    </row>
    <row r="39" spans="1:65" x14ac:dyDescent="0.25">
      <c r="B39" s="3"/>
      <c r="C39" s="3"/>
      <c r="D39" s="107"/>
      <c r="F39" s="3"/>
      <c r="H39" s="3"/>
      <c r="I39" s="3"/>
      <c r="J39" s="3"/>
      <c r="K39" s="3"/>
      <c r="L39" s="107"/>
      <c r="N39" s="3"/>
      <c r="P39" s="3"/>
      <c r="R39" s="3"/>
      <c r="S39" s="3"/>
      <c r="T39" s="107"/>
      <c r="V39" s="3"/>
      <c r="X39" s="3"/>
      <c r="Z39" s="3"/>
      <c r="AA39" s="3"/>
      <c r="AB39" s="53"/>
      <c r="AC39" s="53"/>
      <c r="AD39" s="53"/>
      <c r="AE39" s="53"/>
      <c r="AF39" s="53"/>
      <c r="AG39" s="7"/>
      <c r="AH39" s="7"/>
      <c r="AI39" s="7"/>
      <c r="AJ39" s="7"/>
      <c r="AK39" s="7"/>
      <c r="AL39" s="7"/>
      <c r="AM39" s="7"/>
      <c r="AN39" s="7"/>
      <c r="AO39" s="7"/>
      <c r="AP39" s="7"/>
      <c r="AQ39" s="7"/>
      <c r="AR39" s="17"/>
      <c r="AS39" s="17"/>
      <c r="AT39" s="17"/>
      <c r="AU39" s="17"/>
      <c r="AV39" s="17"/>
      <c r="AW39" s="17"/>
      <c r="AX39" s="17"/>
      <c r="AY39" s="17"/>
      <c r="AZ39" s="17"/>
      <c r="BA39" s="17"/>
      <c r="BB39" s="17"/>
      <c r="BC39" s="17"/>
      <c r="BD39" s="17"/>
      <c r="BE39" s="17"/>
      <c r="BF39" s="17"/>
      <c r="BG39" s="17"/>
      <c r="BH39" s="17"/>
      <c r="BI39" s="17"/>
      <c r="BJ39" s="17"/>
      <c r="BK39" s="17"/>
      <c r="BL39" s="17"/>
      <c r="BM39" s="17"/>
    </row>
    <row r="40" spans="1:65" x14ac:dyDescent="0.25">
      <c r="A40" s="17" t="s">
        <v>87</v>
      </c>
      <c r="B40" s="3">
        <f>C40</f>
        <v>782</v>
      </c>
      <c r="C40" s="3">
        <v>782</v>
      </c>
      <c r="D40" s="107">
        <f>E40+G40+I40+K40</f>
        <v>2772.3701573500007</v>
      </c>
      <c r="E40" s="3">
        <v>722.04480222000007</v>
      </c>
      <c r="F40" s="3">
        <f>K40+I40+G40</f>
        <v>2050.3253551300004</v>
      </c>
      <c r="G40" s="3">
        <v>686.31828846000019</v>
      </c>
      <c r="H40" s="3">
        <f>K40+I40</f>
        <v>1364.0070666700003</v>
      </c>
      <c r="I40" s="3">
        <v>682.77233806000038</v>
      </c>
      <c r="J40" s="3">
        <f>K40</f>
        <v>681.23472860999993</v>
      </c>
      <c r="K40" s="3">
        <v>681.23472860999993</v>
      </c>
      <c r="L40" s="107">
        <f>M40+O40+Q40+S40</f>
        <v>3188.1699927699997</v>
      </c>
      <c r="M40" s="3">
        <v>699.38590301000011</v>
      </c>
      <c r="N40" s="3">
        <f>S40+Q40+O40</f>
        <v>2488.7840897599995</v>
      </c>
      <c r="O40" s="3">
        <v>706.1022263499998</v>
      </c>
      <c r="P40" s="3">
        <f>S40+Q40</f>
        <v>1782.6818634099998</v>
      </c>
      <c r="Q40" s="3">
        <v>780.42429911000011</v>
      </c>
      <c r="R40" s="3">
        <f>S40</f>
        <v>1002.2575642999997</v>
      </c>
      <c r="S40" s="3">
        <v>1002.2575642999997</v>
      </c>
      <c r="T40" s="107">
        <f>U40+W40+Y40+AA40</f>
        <v>3600.6030821300001</v>
      </c>
      <c r="U40" s="3">
        <v>994.52734243999987</v>
      </c>
      <c r="V40" s="3">
        <f>AA40+Y40+W40</f>
        <v>2606.0757396899999</v>
      </c>
      <c r="W40" s="3">
        <v>930.5182697300005</v>
      </c>
      <c r="X40" s="3">
        <f>AA40+Y40</f>
        <v>1675.5574699599995</v>
      </c>
      <c r="Y40" s="3">
        <v>859.89762385999984</v>
      </c>
      <c r="Z40" s="3">
        <f>AA40</f>
        <v>815.65984609999964</v>
      </c>
      <c r="AA40" s="3">
        <v>815.65984609999964</v>
      </c>
      <c r="AB40" s="53"/>
      <c r="AC40" s="53"/>
      <c r="AD40" s="53"/>
      <c r="AE40" s="53"/>
      <c r="AF40" s="53"/>
      <c r="AG40" s="53"/>
      <c r="AH40" s="53"/>
      <c r="AI40" s="53"/>
      <c r="AJ40" s="53"/>
      <c r="AK40" s="53"/>
      <c r="AL40" s="53"/>
      <c r="AM40" s="53"/>
      <c r="AN40" s="53"/>
      <c r="AO40" s="53"/>
      <c r="AP40" s="53"/>
      <c r="AQ40" s="53"/>
    </row>
    <row r="41" spans="1:65" x14ac:dyDescent="0.25">
      <c r="A41" s="21" t="s">
        <v>82</v>
      </c>
      <c r="B41" s="4">
        <f>C41</f>
        <v>-429</v>
      </c>
      <c r="C41" s="4">
        <v>-429</v>
      </c>
      <c r="D41" s="114">
        <f>K41+I41+G41+E41</f>
        <v>-791.82214994517562</v>
      </c>
      <c r="E41" s="4">
        <v>-302.71973660942496</v>
      </c>
      <c r="F41" s="4">
        <f>G41+I41+K41</f>
        <v>-489.10241333575067</v>
      </c>
      <c r="G41" s="4">
        <v>-168.84962632093524</v>
      </c>
      <c r="H41" s="4">
        <f>K41+I41</f>
        <v>-320.25278701481545</v>
      </c>
      <c r="I41" s="4">
        <v>-131.50967479618299</v>
      </c>
      <c r="J41" s="4">
        <f>K41</f>
        <v>-188.74311221863246</v>
      </c>
      <c r="K41" s="4">
        <v>-188.74311221863246</v>
      </c>
      <c r="L41" s="114">
        <f>S41+Q41+O41+M41</f>
        <v>-1032.7048147865603</v>
      </c>
      <c r="M41" s="4">
        <v>-169.51529697706218</v>
      </c>
      <c r="N41" s="4">
        <f>S41+Q41+O41</f>
        <v>-863.18951780949806</v>
      </c>
      <c r="O41" s="4">
        <v>-135.71146094586931</v>
      </c>
      <c r="P41" s="4">
        <f>S41+Q41</f>
        <v>-727.47805686362881</v>
      </c>
      <c r="Q41" s="4">
        <v>-191.08013730211223</v>
      </c>
      <c r="R41" s="4">
        <f>S41</f>
        <v>-536.39791956151657</v>
      </c>
      <c r="S41" s="4">
        <v>-536.39791956151657</v>
      </c>
      <c r="T41" s="114">
        <f>AA41+Y41+W41+U41</f>
        <v>-1975.4216872360462</v>
      </c>
      <c r="U41" s="4">
        <v>-590.97697825249099</v>
      </c>
      <c r="V41" s="4">
        <f>AA41+Y41+W41</f>
        <v>-1384.4447089835553</v>
      </c>
      <c r="W41" s="4">
        <v>-519.63803986439791</v>
      </c>
      <c r="X41" s="4">
        <f>AA41+Y41</f>
        <v>-864.80666911915728</v>
      </c>
      <c r="Y41" s="4">
        <v>-460.69759626106702</v>
      </c>
      <c r="Z41" s="4">
        <f>AA41</f>
        <v>-404.10907285809031</v>
      </c>
      <c r="AA41" s="4">
        <v>-404.10907285809031</v>
      </c>
      <c r="AB41" s="53"/>
      <c r="AC41" s="53"/>
      <c r="AD41" s="53"/>
      <c r="AE41" s="53"/>
      <c r="AF41" s="53"/>
      <c r="AG41" s="53"/>
      <c r="AH41" s="53"/>
      <c r="AI41" s="53"/>
      <c r="AJ41" s="53"/>
      <c r="AK41" s="53"/>
      <c r="AL41" s="53"/>
      <c r="AM41" s="53"/>
      <c r="AN41" s="53"/>
      <c r="AO41" s="53"/>
      <c r="AP41" s="53"/>
      <c r="AQ41" s="53"/>
    </row>
    <row r="42" spans="1:65" x14ac:dyDescent="0.25">
      <c r="A42" s="17" t="s">
        <v>88</v>
      </c>
      <c r="B42" s="3">
        <f t="shared" ref="B42:C42" si="69">SUM(B40:B41)</f>
        <v>353</v>
      </c>
      <c r="C42" s="3">
        <f t="shared" si="69"/>
        <v>353</v>
      </c>
      <c r="D42" s="107">
        <f t="shared" ref="D42:E42" si="70">SUM(D40:D41)</f>
        <v>1980.5480074048251</v>
      </c>
      <c r="E42" s="3">
        <f t="shared" si="70"/>
        <v>419.32506561057511</v>
      </c>
      <c r="F42" s="3">
        <f t="shared" ref="F42:G42" si="71">SUM(F40:F41)</f>
        <v>1561.2229417942497</v>
      </c>
      <c r="G42" s="3">
        <f t="shared" si="71"/>
        <v>517.46866213906492</v>
      </c>
      <c r="H42" s="3">
        <f t="shared" ref="H42" si="72">SUM(H40:H41)</f>
        <v>1043.7542796551847</v>
      </c>
      <c r="I42" s="3">
        <f t="shared" ref="I42:K42" si="73">SUM(I40:I41)</f>
        <v>551.26266326381733</v>
      </c>
      <c r="J42" s="3">
        <f t="shared" si="73"/>
        <v>492.49161639136747</v>
      </c>
      <c r="K42" s="3">
        <f t="shared" si="73"/>
        <v>492.49161639136747</v>
      </c>
      <c r="L42" s="107">
        <f t="shared" ref="L42:M42" si="74">SUM(L40:L41)</f>
        <v>2155.4651779834394</v>
      </c>
      <c r="M42" s="3">
        <f t="shared" si="74"/>
        <v>529.87060603293799</v>
      </c>
      <c r="N42" s="3">
        <f t="shared" ref="N42:O42" si="75">SUM(N40:N41)</f>
        <v>1625.5945719505014</v>
      </c>
      <c r="O42" s="3">
        <f t="shared" si="75"/>
        <v>570.39076540413043</v>
      </c>
      <c r="P42" s="3">
        <f t="shared" ref="P42:Q42" si="76">SUM(P40:P41)</f>
        <v>1055.203806546371</v>
      </c>
      <c r="Q42" s="3">
        <f t="shared" si="76"/>
        <v>589.34416180788787</v>
      </c>
      <c r="R42" s="3">
        <f t="shared" ref="R42:S42" si="77">SUM(R40:R41)</f>
        <v>465.8596447384831</v>
      </c>
      <c r="S42" s="3">
        <f t="shared" si="77"/>
        <v>465.8596447384831</v>
      </c>
      <c r="T42" s="107">
        <f t="shared" ref="T42:X42" si="78">SUM(T40:T41)</f>
        <v>1625.1813948939539</v>
      </c>
      <c r="U42" s="3">
        <f t="shared" si="78"/>
        <v>403.55036418750888</v>
      </c>
      <c r="V42" s="3">
        <f t="shared" si="78"/>
        <v>1221.6310307064446</v>
      </c>
      <c r="W42" s="3">
        <f t="shared" si="78"/>
        <v>410.88022986560259</v>
      </c>
      <c r="X42" s="3">
        <f t="shared" si="78"/>
        <v>810.7508008408422</v>
      </c>
      <c r="Y42" s="3">
        <f t="shared" ref="Y42:AA42" si="79">SUM(Y40:Y41)</f>
        <v>399.20002759893282</v>
      </c>
      <c r="Z42" s="3">
        <f t="shared" si="79"/>
        <v>411.55077324190933</v>
      </c>
      <c r="AA42" s="3">
        <f t="shared" si="79"/>
        <v>411.55077324190933</v>
      </c>
      <c r="AB42" s="53"/>
      <c r="AC42" s="53"/>
      <c r="AD42" s="53"/>
      <c r="AE42" s="53"/>
      <c r="AF42" s="53"/>
      <c r="AG42" s="53"/>
      <c r="AH42" s="53"/>
      <c r="AI42" s="53"/>
      <c r="AJ42" s="53"/>
      <c r="AK42" s="53"/>
      <c r="AL42" s="53"/>
      <c r="AM42" s="53"/>
      <c r="AN42" s="53"/>
      <c r="AO42" s="53"/>
      <c r="AP42" s="53"/>
      <c r="AQ42" s="53"/>
    </row>
    <row r="43" spans="1:65" x14ac:dyDescent="0.25">
      <c r="A43" s="17" t="s">
        <v>89</v>
      </c>
      <c r="B43" s="3">
        <f>C43</f>
        <v>142251</v>
      </c>
      <c r="C43" s="3">
        <v>142251</v>
      </c>
      <c r="D43" s="107">
        <v>138447.21086330165</v>
      </c>
      <c r="E43" s="3">
        <v>140800.86621862996</v>
      </c>
      <c r="F43" s="3">
        <v>137662.65907819223</v>
      </c>
      <c r="G43" s="3">
        <v>139374.90365135999</v>
      </c>
      <c r="H43" s="3">
        <v>136806.53679160835</v>
      </c>
      <c r="I43" s="3">
        <v>137559.14146992666</v>
      </c>
      <c r="J43" s="3">
        <f>K43</f>
        <v>136053.93211329001</v>
      </c>
      <c r="K43" s="3">
        <v>136053.93211329001</v>
      </c>
      <c r="L43" s="107">
        <v>131294.93526577501</v>
      </c>
      <c r="M43" s="3">
        <v>134833.09862445667</v>
      </c>
      <c r="N43" s="3">
        <v>130115.54747954779</v>
      </c>
      <c r="O43" s="3">
        <v>132576.32141994333</v>
      </c>
      <c r="P43" s="3">
        <v>128885.16050935003</v>
      </c>
      <c r="Q43" s="3">
        <v>129923.51587895001</v>
      </c>
      <c r="R43" s="3">
        <f>S43</f>
        <v>127846.80513974999</v>
      </c>
      <c r="S43" s="3">
        <v>127846.80513974999</v>
      </c>
      <c r="T43" s="107">
        <v>124140.01272877501</v>
      </c>
      <c r="U43" s="3">
        <v>126631.47838592999</v>
      </c>
      <c r="V43" s="3">
        <v>123309.52417639</v>
      </c>
      <c r="W43" s="3">
        <v>124741.73977031336</v>
      </c>
      <c r="X43" s="3">
        <v>122593.41637942834</v>
      </c>
      <c r="Y43" s="3">
        <v>123227.18169221998</v>
      </c>
      <c r="Z43" s="3">
        <f>AA43</f>
        <v>121959.65106663667</v>
      </c>
      <c r="AA43" s="3">
        <v>121959.65106663667</v>
      </c>
      <c r="AB43" s="53"/>
      <c r="AC43" s="53"/>
      <c r="AD43" s="53"/>
      <c r="AE43" s="53"/>
      <c r="AF43" s="53"/>
      <c r="AG43" s="53"/>
      <c r="AH43" s="53"/>
      <c r="AI43" s="53"/>
      <c r="AJ43" s="53"/>
      <c r="AK43" s="53"/>
      <c r="AL43" s="53"/>
      <c r="AM43" s="53"/>
      <c r="AN43" s="53"/>
      <c r="AO43" s="53"/>
      <c r="AP43" s="53"/>
      <c r="AQ43" s="53"/>
    </row>
    <row r="44" spans="1:65" ht="15.75" thickBot="1" x14ac:dyDescent="0.3">
      <c r="A44" s="47" t="s">
        <v>90</v>
      </c>
      <c r="B44" s="57">
        <f>(B42/90*365)/B43</f>
        <v>1.0063979241700311E-2</v>
      </c>
      <c r="C44" s="57">
        <f>(C42/90*365)/C43</f>
        <v>1.0063979241700311E-2</v>
      </c>
      <c r="D44" s="124">
        <f>(D42/365*365)/D43</f>
        <v>1.4305438116484376E-2</v>
      </c>
      <c r="E44" s="57">
        <f>(E42/92*365)/E43</f>
        <v>1.1815457274355574E-2</v>
      </c>
      <c r="F44" s="57">
        <f>(F42/273*365)/F43</f>
        <v>1.5162785379788031E-2</v>
      </c>
      <c r="G44" s="57">
        <f>(G42/92*365)/G43</f>
        <v>1.4730059836156139E-2</v>
      </c>
      <c r="H44" s="57">
        <f>(H42/181*365)/H43</f>
        <v>1.5385290815503598E-2</v>
      </c>
      <c r="I44" s="57">
        <f>(I42/91*365)/I43</f>
        <v>1.6073875286602469E-2</v>
      </c>
      <c r="J44" s="57">
        <f>(J42/90*365)/J43</f>
        <v>1.4680407099571385E-2</v>
      </c>
      <c r="K44" s="57">
        <f>(K42/90*365)/K43</f>
        <v>1.4680407099571385E-2</v>
      </c>
      <c r="L44" s="124">
        <f>(L42/366*366)/L43</f>
        <v>1.6416971253462434E-2</v>
      </c>
      <c r="M44" s="57">
        <f>(M42/92*366)/M43</f>
        <v>1.5633872687186703E-2</v>
      </c>
      <c r="N44" s="57">
        <f>(N42/273*366)/N43</f>
        <v>1.6749486047031591E-2</v>
      </c>
      <c r="O44" s="57">
        <f>(O42/92*366)/O43</f>
        <v>1.7115901528002856E-2</v>
      </c>
      <c r="P44" s="57">
        <f>(P42/182*366)/P43</f>
        <v>1.6464294655276348E-2</v>
      </c>
      <c r="Q44" s="57">
        <f>(Q42/91*366)/Q43</f>
        <v>1.824403573238292E-2</v>
      </c>
      <c r="R44" s="57">
        <f>(R42/91*366)/R43</f>
        <v>1.4655643920210149E-2</v>
      </c>
      <c r="S44" s="57">
        <f>(S42/91*366)/S43</f>
        <v>1.4655643920210149E-2</v>
      </c>
      <c r="T44" s="124">
        <f>(T42/365*365)/T43</f>
        <v>1.3091519480062415E-2</v>
      </c>
      <c r="U44" s="57">
        <f>(U42/92*365)/U43</f>
        <v>1.26433192295559E-2</v>
      </c>
      <c r="V44" s="57">
        <f>(V42/273*365)/V43</f>
        <v>1.3245661469581001E-2</v>
      </c>
      <c r="W44" s="57">
        <f>(W42/92*365)/W43</f>
        <v>1.3067980726409365E-2</v>
      </c>
      <c r="X44" s="57">
        <f>(X42/181*365)/X43</f>
        <v>1.3336274561425032E-2</v>
      </c>
      <c r="Y44" s="57">
        <f>(Y42/91*365)/Y43</f>
        <v>1.2993780283680067E-2</v>
      </c>
      <c r="Z44" s="57">
        <f>(Z42/90*365)/Z43</f>
        <v>1.3685403411842005E-2</v>
      </c>
      <c r="AA44" s="57">
        <f>(AA42/90*365)/AA43</f>
        <v>1.3685403411842005E-2</v>
      </c>
      <c r="AB44" s="196"/>
      <c r="AC44" s="196"/>
      <c r="AD44" s="196"/>
      <c r="AE44" s="196"/>
      <c r="AF44" s="196"/>
      <c r="AG44" s="196"/>
      <c r="AH44" s="196"/>
      <c r="AI44" s="196"/>
      <c r="AJ44" s="196"/>
      <c r="AK44" s="196"/>
      <c r="AL44" s="196"/>
      <c r="AM44" s="196"/>
      <c r="AN44" s="196"/>
      <c r="AO44" s="196"/>
      <c r="AP44" s="196"/>
      <c r="AQ44" s="196"/>
    </row>
    <row r="45" spans="1:65" x14ac:dyDescent="0.25">
      <c r="B45" s="3"/>
      <c r="C45" s="3"/>
      <c r="D45" s="107"/>
      <c r="F45" s="3"/>
      <c r="H45" s="3"/>
      <c r="I45" s="3"/>
      <c r="J45" s="3"/>
      <c r="K45" s="3"/>
      <c r="L45" s="107"/>
      <c r="N45" s="3"/>
      <c r="P45" s="3"/>
      <c r="R45" s="3"/>
      <c r="S45" s="3"/>
      <c r="T45" s="107"/>
      <c r="V45" s="3"/>
      <c r="X45" s="3"/>
      <c r="Z45" s="3"/>
      <c r="AA45" s="3"/>
      <c r="AB45" s="53"/>
      <c r="AC45" s="53"/>
      <c r="AD45" s="53"/>
      <c r="AE45" s="53"/>
      <c r="AF45" s="53"/>
      <c r="AG45" s="7"/>
      <c r="AH45" s="7"/>
      <c r="AI45" s="7"/>
      <c r="AJ45" s="7"/>
      <c r="AK45" s="7"/>
      <c r="AL45" s="7"/>
      <c r="AM45" s="7"/>
      <c r="AN45" s="7"/>
      <c r="AO45" s="7"/>
      <c r="AP45" s="7"/>
      <c r="AQ45" s="7"/>
      <c r="AR45" s="17"/>
      <c r="AS45" s="17"/>
      <c r="AT45" s="17"/>
      <c r="AU45" s="17"/>
      <c r="AV45" s="17"/>
      <c r="AW45" s="17"/>
      <c r="AX45" s="17"/>
      <c r="AY45" s="17"/>
      <c r="AZ45" s="17"/>
      <c r="BA45" s="17"/>
      <c r="BB45" s="17"/>
      <c r="BC45" s="17"/>
      <c r="BD45" s="17"/>
      <c r="BE45" s="17"/>
      <c r="BF45" s="17"/>
      <c r="BG45" s="17"/>
      <c r="BH45" s="17"/>
      <c r="BI45" s="17"/>
      <c r="BJ45" s="17"/>
      <c r="BK45" s="17"/>
      <c r="BL45" s="17"/>
      <c r="BM45" s="17"/>
    </row>
    <row r="46" spans="1:65" x14ac:dyDescent="0.25">
      <c r="A46" s="17" t="s">
        <v>297</v>
      </c>
      <c r="B46" s="3">
        <f>C46</f>
        <v>-203</v>
      </c>
      <c r="C46" s="3">
        <v>-203</v>
      </c>
      <c r="D46" s="107">
        <f>E46+G46+I46+K46</f>
        <v>-418.51362763000009</v>
      </c>
      <c r="E46" s="3">
        <v>-149.21742387999996</v>
      </c>
      <c r="F46" s="3">
        <f>K46+I46+G46</f>
        <v>-269.29620375000007</v>
      </c>
      <c r="G46" s="3">
        <v>-98.647674710000032</v>
      </c>
      <c r="H46" s="3">
        <f>K46+I46</f>
        <v>-170.64852904000006</v>
      </c>
      <c r="I46" s="3">
        <v>-85.998909300000022</v>
      </c>
      <c r="J46" s="3">
        <f>K46</f>
        <v>-84.649619740000034</v>
      </c>
      <c r="K46" s="3">
        <v>-84.649619740000034</v>
      </c>
      <c r="L46" s="107">
        <f>M46+O46+Q46+S46</f>
        <v>-372.82273823000003</v>
      </c>
      <c r="M46" s="3">
        <v>-74.893136349999992</v>
      </c>
      <c r="N46" s="3">
        <f>S46+Q46+O46</f>
        <v>-297.92960188000001</v>
      </c>
      <c r="O46" s="3">
        <v>-59.804079190000003</v>
      </c>
      <c r="P46" s="3">
        <f>S46+Q46</f>
        <v>-238.12552269000003</v>
      </c>
      <c r="Q46" s="3">
        <v>-70.309296160000017</v>
      </c>
      <c r="R46" s="3">
        <f>S46</f>
        <v>-167.81622652999999</v>
      </c>
      <c r="S46" s="3">
        <v>-167.81622652999999</v>
      </c>
      <c r="T46" s="107">
        <f>U46+W46+Y46+AA46</f>
        <v>-621.11509245999991</v>
      </c>
      <c r="U46" s="3">
        <v>-178.12037195000002</v>
      </c>
      <c r="V46" s="3">
        <f>AA46+Y46+W46</f>
        <v>-442.99472050999992</v>
      </c>
      <c r="W46" s="3">
        <v>-163.84864740999996</v>
      </c>
      <c r="X46" s="3">
        <f>AA46+Y46</f>
        <v>-279.14607309999997</v>
      </c>
      <c r="Y46" s="3">
        <v>-150.44912184999993</v>
      </c>
      <c r="Z46" s="3">
        <f>AA46</f>
        <v>-128.69695125000001</v>
      </c>
      <c r="AA46" s="3">
        <v>-128.69695125000001</v>
      </c>
      <c r="AB46" s="53"/>
      <c r="AC46" s="53"/>
      <c r="AD46" s="53"/>
      <c r="AE46" s="53"/>
      <c r="AF46" s="53"/>
      <c r="AG46" s="53"/>
      <c r="AH46" s="53"/>
      <c r="AI46" s="53"/>
      <c r="AJ46" s="53"/>
      <c r="AK46" s="53"/>
      <c r="AL46" s="53"/>
      <c r="AM46" s="53"/>
      <c r="AN46" s="53"/>
      <c r="AO46" s="53"/>
      <c r="AP46" s="53"/>
      <c r="AQ46" s="53"/>
      <c r="AR46" s="17"/>
      <c r="AS46" s="17"/>
      <c r="AT46" s="17"/>
      <c r="AU46" s="17"/>
      <c r="AV46" s="17"/>
      <c r="AW46" s="17"/>
      <c r="AX46" s="17"/>
      <c r="AY46" s="17"/>
      <c r="AZ46" s="17"/>
      <c r="BA46" s="17"/>
      <c r="BB46" s="17"/>
      <c r="BC46" s="17"/>
      <c r="BD46" s="17"/>
      <c r="BE46" s="17"/>
      <c r="BF46" s="17"/>
      <c r="BG46" s="17"/>
      <c r="BH46" s="17"/>
      <c r="BI46" s="17"/>
      <c r="BJ46" s="17"/>
      <c r="BK46" s="17"/>
      <c r="BL46" s="17"/>
      <c r="BM46" s="17"/>
    </row>
    <row r="47" spans="1:65" x14ac:dyDescent="0.25">
      <c r="A47" s="21" t="s">
        <v>82</v>
      </c>
      <c r="B47" s="20">
        <f>C47</f>
        <v>171</v>
      </c>
      <c r="C47" s="20">
        <v>171</v>
      </c>
      <c r="D47" s="114">
        <f>K47+I47+G47+E47</f>
        <v>250.1731172695583</v>
      </c>
      <c r="E47" s="4">
        <v>110.74314815810014</v>
      </c>
      <c r="F47" s="4">
        <f>G47+I47+K47</f>
        <v>139.42996911145818</v>
      </c>
      <c r="G47" s="4">
        <v>51.38932730197758</v>
      </c>
      <c r="H47" s="4">
        <f>K47+I47</f>
        <v>88.040641809480604</v>
      </c>
      <c r="I47" s="20">
        <v>36.016169539529237</v>
      </c>
      <c r="J47" s="20">
        <f>K47</f>
        <v>52.02447226995136</v>
      </c>
      <c r="K47" s="20">
        <v>52.02447226995136</v>
      </c>
      <c r="L47" s="114">
        <f>S47+Q47+O47+M47</f>
        <v>268.74815643184422</v>
      </c>
      <c r="M47" s="4">
        <v>42.326252604195716</v>
      </c>
      <c r="N47" s="4">
        <f>S47+Q47+O47</f>
        <v>226.42190382764852</v>
      </c>
      <c r="O47" s="4">
        <v>29.281257417599804</v>
      </c>
      <c r="P47" s="4">
        <f>S47+Q47</f>
        <v>197.1406464100487</v>
      </c>
      <c r="Q47" s="20">
        <v>45.587788727266627</v>
      </c>
      <c r="R47" s="20">
        <f>S47</f>
        <v>151.55285768278208</v>
      </c>
      <c r="S47" s="20">
        <v>151.55285768278208</v>
      </c>
      <c r="T47" s="114">
        <f>AA47+Y47+W47+U47</f>
        <v>570.28747970901384</v>
      </c>
      <c r="U47" s="4">
        <v>168.20753010368179</v>
      </c>
      <c r="V47" s="4">
        <f>AA47+Y47+W47</f>
        <v>402.07994960533205</v>
      </c>
      <c r="W47" s="4">
        <v>150.73065921403992</v>
      </c>
      <c r="X47" s="4">
        <f>AA47+Y47</f>
        <v>251.34929039129213</v>
      </c>
      <c r="Y47" s="20">
        <v>135.79711957772039</v>
      </c>
      <c r="Z47" s="20">
        <f>AA47</f>
        <v>115.55217081357173</v>
      </c>
      <c r="AA47" s="20">
        <v>115.55217081357173</v>
      </c>
      <c r="AB47" s="53"/>
      <c r="AC47" s="53"/>
      <c r="AD47" s="53"/>
      <c r="AE47" s="53"/>
      <c r="AF47" s="53"/>
      <c r="AG47" s="53"/>
      <c r="AH47" s="53"/>
      <c r="AI47" s="53"/>
      <c r="AJ47" s="53"/>
      <c r="AK47" s="53"/>
      <c r="AL47" s="53"/>
      <c r="AM47" s="53"/>
      <c r="AN47" s="53"/>
      <c r="AO47" s="53"/>
      <c r="AP47" s="53"/>
      <c r="AQ47" s="53"/>
      <c r="AR47" s="17"/>
      <c r="AS47" s="17"/>
      <c r="AT47" s="17"/>
      <c r="AU47" s="17"/>
      <c r="AV47" s="17"/>
      <c r="AW47" s="17"/>
      <c r="AX47" s="17"/>
      <c r="AY47" s="17"/>
      <c r="AZ47" s="17"/>
      <c r="BA47" s="17"/>
      <c r="BB47" s="17"/>
      <c r="BC47" s="17"/>
      <c r="BD47" s="17"/>
      <c r="BE47" s="17"/>
      <c r="BF47" s="17"/>
      <c r="BG47" s="17"/>
      <c r="BH47" s="17"/>
      <c r="BI47" s="17"/>
      <c r="BJ47" s="17"/>
      <c r="BK47" s="17"/>
      <c r="BL47" s="17"/>
      <c r="BM47" s="17"/>
    </row>
    <row r="48" spans="1:65" x14ac:dyDescent="0.25">
      <c r="A48" s="17" t="s">
        <v>298</v>
      </c>
      <c r="B48" s="53">
        <f t="shared" ref="B48:C48" si="80">SUM(B46:B47)</f>
        <v>-32</v>
      </c>
      <c r="C48" s="53">
        <f t="shared" si="80"/>
        <v>-32</v>
      </c>
      <c r="D48" s="107">
        <f t="shared" ref="D48:E48" si="81">SUM(D46:D47)</f>
        <v>-168.34051036044178</v>
      </c>
      <c r="E48" s="3">
        <f t="shared" si="81"/>
        <v>-38.474275721899815</v>
      </c>
      <c r="F48" s="3">
        <f t="shared" ref="F48:G48" si="82">SUM(F46:F47)</f>
        <v>-129.8662346385419</v>
      </c>
      <c r="G48" s="3">
        <f t="shared" si="82"/>
        <v>-47.258347408022452</v>
      </c>
      <c r="H48" s="3">
        <f t="shared" ref="H48:I48" si="83">SUM(H46:H47)</f>
        <v>-82.607887230519452</v>
      </c>
      <c r="I48" s="53">
        <f t="shared" si="83"/>
        <v>-49.982739760470785</v>
      </c>
      <c r="J48" s="53">
        <f t="shared" ref="J48:K48" si="84">SUM(J46:J47)</f>
        <v>-32.625147470048674</v>
      </c>
      <c r="K48" s="53">
        <f t="shared" si="84"/>
        <v>-32.625147470048674</v>
      </c>
      <c r="L48" s="107">
        <f t="shared" ref="L48:M48" si="85">SUM(L46:L47)</f>
        <v>-104.0745817981558</v>
      </c>
      <c r="M48" s="3">
        <f t="shared" si="85"/>
        <v>-32.566883745804276</v>
      </c>
      <c r="N48" s="3">
        <f t="shared" ref="N48:O48" si="86">SUM(N46:N47)</f>
        <v>-71.507698052351486</v>
      </c>
      <c r="O48" s="3">
        <f t="shared" si="86"/>
        <v>-30.522821772400199</v>
      </c>
      <c r="P48" s="3">
        <f t="shared" ref="P48:Q48" si="87">SUM(P46:P47)</f>
        <v>-40.984876279951322</v>
      </c>
      <c r="Q48" s="53">
        <f t="shared" si="87"/>
        <v>-24.721507432733389</v>
      </c>
      <c r="R48" s="53">
        <f t="shared" ref="R48:S48" si="88">SUM(R46:R47)</f>
        <v>-16.263368847217919</v>
      </c>
      <c r="S48" s="53">
        <f t="shared" si="88"/>
        <v>-16.263368847217919</v>
      </c>
      <c r="T48" s="107">
        <f t="shared" ref="T48:X48" si="89">SUM(T46:T47)</f>
        <v>-50.827612750986077</v>
      </c>
      <c r="U48" s="3">
        <f t="shared" si="89"/>
        <v>-9.91284184631823</v>
      </c>
      <c r="V48" s="3">
        <f t="shared" si="89"/>
        <v>-40.914770904667876</v>
      </c>
      <c r="W48" s="3">
        <f t="shared" si="89"/>
        <v>-13.117988195960038</v>
      </c>
      <c r="X48" s="3">
        <f t="shared" si="89"/>
        <v>-27.796782708707838</v>
      </c>
      <c r="Y48" s="53">
        <f t="shared" ref="Y48:AA48" si="90">SUM(Y46:Y47)</f>
        <v>-14.652002272279532</v>
      </c>
      <c r="Z48" s="53">
        <f t="shared" si="90"/>
        <v>-13.144780436428277</v>
      </c>
      <c r="AA48" s="53">
        <f t="shared" si="90"/>
        <v>-13.144780436428277</v>
      </c>
      <c r="AB48" s="53"/>
      <c r="AC48" s="53"/>
      <c r="AD48" s="53"/>
      <c r="AE48" s="53"/>
      <c r="AF48" s="53"/>
      <c r="AG48" s="53"/>
      <c r="AH48" s="53"/>
      <c r="AI48" s="53"/>
      <c r="AJ48" s="53"/>
      <c r="AK48" s="53"/>
      <c r="AL48" s="53"/>
      <c r="AM48" s="53"/>
      <c r="AN48" s="53"/>
      <c r="AO48" s="53"/>
      <c r="AP48" s="53"/>
      <c r="AQ48" s="53"/>
      <c r="AR48" s="17"/>
      <c r="AS48" s="17"/>
      <c r="AT48" s="17"/>
      <c r="AU48" s="17"/>
      <c r="AV48" s="17"/>
      <c r="AW48" s="17"/>
      <c r="AX48" s="17"/>
      <c r="AY48" s="17"/>
      <c r="AZ48" s="17"/>
      <c r="BA48" s="17"/>
      <c r="BB48" s="17"/>
      <c r="BC48" s="17"/>
      <c r="BD48" s="17"/>
      <c r="BE48" s="17"/>
      <c r="BF48" s="17"/>
      <c r="BG48" s="17"/>
      <c r="BH48" s="17"/>
      <c r="BI48" s="17"/>
      <c r="BJ48" s="17"/>
      <c r="BK48" s="17"/>
      <c r="BL48" s="17"/>
      <c r="BM48" s="17"/>
    </row>
    <row r="49" spans="1:65" x14ac:dyDescent="0.25">
      <c r="A49" s="17" t="s">
        <v>299</v>
      </c>
      <c r="B49" s="3">
        <f>C49</f>
        <v>62440</v>
      </c>
      <c r="C49" s="3">
        <v>62440</v>
      </c>
      <c r="D49" s="107">
        <v>56383.145765514157</v>
      </c>
      <c r="E49" s="3">
        <v>59621.155869673334</v>
      </c>
      <c r="F49" s="3">
        <v>55303.809064127774</v>
      </c>
      <c r="G49" s="3">
        <v>58328.568399406671</v>
      </c>
      <c r="H49" s="3">
        <v>53791.429396488333</v>
      </c>
      <c r="I49" s="3">
        <v>57864.569692689976</v>
      </c>
      <c r="J49" s="3">
        <f>K49</f>
        <v>49718.289100286682</v>
      </c>
      <c r="K49" s="3">
        <v>49718.289100286682</v>
      </c>
      <c r="L49" s="107">
        <v>43025.769543780829</v>
      </c>
      <c r="M49" s="3">
        <v>46990.903664999998</v>
      </c>
      <c r="N49" s="3">
        <v>41704.058170041106</v>
      </c>
      <c r="O49" s="3">
        <v>44383.363111633342</v>
      </c>
      <c r="P49" s="3">
        <v>40364.405699245006</v>
      </c>
      <c r="Q49" s="3">
        <v>41206.083450093327</v>
      </c>
      <c r="R49" s="3">
        <f>S49</f>
        <v>39522.72794839667</v>
      </c>
      <c r="S49" s="3">
        <v>39522.72794839667</v>
      </c>
      <c r="T49" s="107">
        <v>39231.396063304172</v>
      </c>
      <c r="U49" s="3">
        <v>39006.323357536676</v>
      </c>
      <c r="V49" s="3">
        <v>39306.420298559999</v>
      </c>
      <c r="W49" s="3">
        <v>39200.700319099997</v>
      </c>
      <c r="X49" s="3">
        <v>39359.28028829</v>
      </c>
      <c r="Y49" s="3">
        <v>39844.385691000003</v>
      </c>
      <c r="Z49" s="3">
        <f>AA49</f>
        <v>38874.174885579996</v>
      </c>
      <c r="AA49" s="3">
        <v>38874.174885579996</v>
      </c>
      <c r="AB49" s="53"/>
      <c r="AC49" s="53"/>
      <c r="AD49" s="53"/>
      <c r="AE49" s="53"/>
      <c r="AF49" s="53"/>
      <c r="AG49" s="53"/>
      <c r="AH49" s="53"/>
      <c r="AI49" s="53"/>
      <c r="AJ49" s="53"/>
      <c r="AK49" s="53"/>
      <c r="AL49" s="53"/>
      <c r="AM49" s="53"/>
      <c r="AN49" s="53"/>
      <c r="AO49" s="53"/>
      <c r="AP49" s="53"/>
      <c r="AQ49" s="53"/>
      <c r="AR49" s="17"/>
      <c r="AS49" s="17"/>
      <c r="AT49" s="17"/>
      <c r="AU49" s="17"/>
      <c r="AV49" s="17"/>
      <c r="AW49" s="17"/>
      <c r="AX49" s="17"/>
      <c r="AY49" s="17"/>
      <c r="AZ49" s="17"/>
      <c r="BA49" s="17"/>
      <c r="BB49" s="17"/>
      <c r="BC49" s="17"/>
      <c r="BD49" s="17"/>
      <c r="BE49" s="17"/>
      <c r="BF49" s="17"/>
      <c r="BG49" s="17"/>
      <c r="BH49" s="17"/>
      <c r="BI49" s="17"/>
      <c r="BJ49" s="17"/>
      <c r="BK49" s="17"/>
      <c r="BL49" s="17"/>
      <c r="BM49" s="17"/>
    </row>
    <row r="50" spans="1:65" ht="15.75" thickBot="1" x14ac:dyDescent="0.3">
      <c r="A50" s="47" t="s">
        <v>293</v>
      </c>
      <c r="B50" s="57">
        <f>(B48/90*365)/B49</f>
        <v>-2.0784397466011816E-3</v>
      </c>
      <c r="C50" s="57">
        <f>(C48/90*365)/C49</f>
        <v>-2.0784397466011816E-3</v>
      </c>
      <c r="D50" s="124">
        <f>(D48/365*365)/D49</f>
        <v>-2.9856530364682941E-3</v>
      </c>
      <c r="E50" s="57">
        <f>(E48/92*365)/E49</f>
        <v>-2.5602071062461331E-3</v>
      </c>
      <c r="F50" s="57">
        <f>(F48/273*365)/F49</f>
        <v>-3.1395790443638901E-3</v>
      </c>
      <c r="G50" s="57">
        <f>(G48/92*365)/G49</f>
        <v>-3.2144172522901165E-3</v>
      </c>
      <c r="H50" s="57">
        <f>(H48/181*365)/H49</f>
        <v>-3.0968681782784602E-3</v>
      </c>
      <c r="I50" s="57">
        <f>(I48/91*365)/I49</f>
        <v>-3.4646454813902897E-3</v>
      </c>
      <c r="J50" s="57">
        <f>(J48/90*365)/J49</f>
        <v>-2.6612560582301341E-3</v>
      </c>
      <c r="K50" s="57">
        <f>(K48/90*365)/K49</f>
        <v>-2.6612560582301341E-3</v>
      </c>
      <c r="L50" s="124">
        <f>(L48/366*366)/L49</f>
        <v>-2.4188894911514559E-3</v>
      </c>
      <c r="M50" s="57">
        <f>(M48/92*366)/M49</f>
        <v>-2.7571199773736605E-3</v>
      </c>
      <c r="N50" s="57">
        <f>(N48/273*366)/N49</f>
        <v>-2.2987562249229972E-3</v>
      </c>
      <c r="O50" s="57">
        <f>(O48/92*366)/O49</f>
        <v>-2.735884326305716E-3</v>
      </c>
      <c r="P50" s="57">
        <f>(P48/182*366)/P49</f>
        <v>-2.0419013828628699E-3</v>
      </c>
      <c r="Q50" s="57">
        <f>(Q48/91*366)/Q49</f>
        <v>-2.4129776780422167E-3</v>
      </c>
      <c r="R50" s="57">
        <f>(R48/91*366)/R49</f>
        <v>-1.6550201735122398E-3</v>
      </c>
      <c r="S50" s="57">
        <f>(S48/91*366)/S49</f>
        <v>-1.6550201735122398E-3</v>
      </c>
      <c r="T50" s="124">
        <f>(T48/365*365)/T49</f>
        <v>-1.2955851142531388E-3</v>
      </c>
      <c r="U50" s="57">
        <f>(U48/92*365)/U49</f>
        <v>-1.0082499235309073E-3</v>
      </c>
      <c r="V50" s="57">
        <f>(V48/273*365)/V49</f>
        <v>-1.3917039102792402E-3</v>
      </c>
      <c r="W50" s="57">
        <f>(W48/92*365)/W49</f>
        <v>-1.3276342482542707E-3</v>
      </c>
      <c r="X50" s="57">
        <f>(X48/181*365)/X49</f>
        <v>-1.4241694757179198E-3</v>
      </c>
      <c r="Y50" s="57">
        <f>(Y48/91*365)/Y49</f>
        <v>-1.4749636387636385E-3</v>
      </c>
      <c r="Z50" s="57">
        <f>(Z48/90*365)/Z49</f>
        <v>-1.3713316741107036E-3</v>
      </c>
      <c r="AA50" s="57">
        <f>(AA48/90*365)/AA49</f>
        <v>-1.3713316741107036E-3</v>
      </c>
      <c r="AB50" s="196"/>
      <c r="AC50" s="196"/>
      <c r="AD50" s="196"/>
      <c r="AE50" s="196"/>
      <c r="AF50" s="196"/>
      <c r="AG50" s="196"/>
      <c r="AH50" s="196"/>
      <c r="AI50" s="196"/>
      <c r="AJ50" s="196"/>
      <c r="AK50" s="196"/>
      <c r="AL50" s="196"/>
      <c r="AM50" s="196"/>
      <c r="AN50" s="196"/>
      <c r="AO50" s="196"/>
      <c r="AP50" s="196"/>
      <c r="AQ50" s="196"/>
      <c r="AR50" s="17"/>
      <c r="AS50" s="17"/>
      <c r="AT50" s="17"/>
      <c r="AU50" s="17"/>
      <c r="AV50" s="17"/>
      <c r="AW50" s="17"/>
      <c r="AX50" s="17"/>
      <c r="AY50" s="17"/>
      <c r="AZ50" s="17"/>
      <c r="BA50" s="17"/>
      <c r="BB50" s="17"/>
      <c r="BC50" s="17"/>
      <c r="BD50" s="17"/>
      <c r="BE50" s="17"/>
      <c r="BF50" s="17"/>
      <c r="BG50" s="17"/>
      <c r="BH50" s="17"/>
      <c r="BI50" s="17"/>
      <c r="BJ50" s="17"/>
      <c r="BK50" s="17"/>
      <c r="BL50" s="17"/>
      <c r="BM50" s="17"/>
    </row>
    <row r="51" spans="1:65" x14ac:dyDescent="0.25">
      <c r="A51" s="46"/>
      <c r="B51" s="196"/>
      <c r="C51" s="196"/>
      <c r="D51" s="197"/>
      <c r="E51" s="196"/>
      <c r="F51" s="196"/>
      <c r="G51" s="196"/>
      <c r="H51" s="196"/>
      <c r="I51" s="196"/>
      <c r="J51" s="196"/>
      <c r="K51" s="196"/>
      <c r="L51" s="197"/>
      <c r="M51" s="196"/>
      <c r="N51" s="196"/>
      <c r="O51" s="196"/>
      <c r="P51" s="196"/>
      <c r="Q51" s="196"/>
      <c r="R51" s="196"/>
      <c r="S51" s="196"/>
      <c r="T51" s="197"/>
      <c r="U51" s="196"/>
      <c r="V51" s="196"/>
      <c r="W51" s="196"/>
      <c r="X51" s="196"/>
      <c r="Y51" s="196"/>
      <c r="Z51" s="196"/>
      <c r="AA51" s="196"/>
      <c r="AB51" s="197"/>
      <c r="AC51" s="196"/>
      <c r="AD51" s="196"/>
      <c r="AE51" s="196"/>
      <c r="AF51" s="196"/>
      <c r="AG51" s="196"/>
      <c r="AH51" s="196"/>
      <c r="AI51" s="208"/>
      <c r="AJ51" s="196"/>
      <c r="AK51" s="196"/>
      <c r="AL51" s="196"/>
      <c r="AM51" s="196"/>
      <c r="AN51" s="196"/>
      <c r="AO51" s="196"/>
      <c r="AP51" s="196"/>
      <c r="AQ51" s="196"/>
      <c r="AR51" s="17"/>
      <c r="AS51" s="17"/>
      <c r="AT51" s="17"/>
      <c r="AU51" s="17"/>
      <c r="AV51" s="17"/>
      <c r="AW51" s="17"/>
      <c r="AX51" s="17"/>
      <c r="AY51" s="17"/>
      <c r="AZ51" s="17"/>
      <c r="BA51" s="17"/>
      <c r="BB51" s="17"/>
      <c r="BC51" s="17"/>
      <c r="BD51" s="17"/>
      <c r="BE51" s="17"/>
      <c r="BF51" s="17"/>
      <c r="BG51" s="17"/>
      <c r="BH51" s="17"/>
      <c r="BI51" s="17"/>
      <c r="BJ51" s="17"/>
      <c r="BK51" s="17"/>
      <c r="BL51" s="17"/>
      <c r="BM51" s="17"/>
    </row>
    <row r="52" spans="1:65" x14ac:dyDescent="0.25">
      <c r="A52" s="17" t="s">
        <v>91</v>
      </c>
      <c r="B52" s="3">
        <f>C52</f>
        <v>-11.7</v>
      </c>
      <c r="C52" s="3">
        <v>-11.7</v>
      </c>
      <c r="D52" s="107">
        <f>E52+G52+I52+K52</f>
        <v>-26.895137950000013</v>
      </c>
      <c r="E52" s="3">
        <v>-8.5233657700000016</v>
      </c>
      <c r="F52" s="3">
        <f>K52+I52+G52</f>
        <v>-18.371772180000008</v>
      </c>
      <c r="G52" s="3">
        <v>-6.2480814700000078</v>
      </c>
      <c r="H52" s="3">
        <f>K52+I52</f>
        <v>-12.123690710000002</v>
      </c>
      <c r="I52" s="3">
        <v>-5.54331716</v>
      </c>
      <c r="J52" s="3">
        <f>K52</f>
        <v>-6.5803735500000027</v>
      </c>
      <c r="K52" s="3">
        <v>-6.5803735500000027</v>
      </c>
      <c r="L52" s="107">
        <f>M52+O52+Q52+S52</f>
        <v>-42.260730080000009</v>
      </c>
      <c r="M52" s="3">
        <v>-6.271419429999999</v>
      </c>
      <c r="N52" s="3">
        <f>S52+Q52+O52</f>
        <v>-35.989310650000007</v>
      </c>
      <c r="O52" s="3">
        <v>-5.8710196799999981</v>
      </c>
      <c r="P52" s="3">
        <f>S52+Q52</f>
        <v>-30.118290970000011</v>
      </c>
      <c r="Q52" s="3">
        <v>-9.1165552100000067</v>
      </c>
      <c r="R52" s="3">
        <f>S52</f>
        <v>-21.001735760000003</v>
      </c>
      <c r="S52" s="3">
        <v>-21.001735760000003</v>
      </c>
      <c r="T52" s="107">
        <f>U52+W52+Y52+AA52</f>
        <v>-66.476978499999973</v>
      </c>
      <c r="U52" s="3">
        <v>-20.271918019999998</v>
      </c>
      <c r="V52" s="3">
        <f>AA52+Y52+W52</f>
        <v>-46.205060479999986</v>
      </c>
      <c r="W52" s="3">
        <v>-17.339757219999978</v>
      </c>
      <c r="X52" s="3">
        <f>AA52+Y52</f>
        <v>-28.865303260000005</v>
      </c>
      <c r="Y52" s="3">
        <v>-15.12231308</v>
      </c>
      <c r="Z52" s="3">
        <f>AA52</f>
        <v>-13.742990180000003</v>
      </c>
      <c r="AA52" s="3">
        <v>-13.742990180000003</v>
      </c>
      <c r="AB52" s="197"/>
      <c r="AC52" s="196"/>
      <c r="AD52" s="196"/>
      <c r="AE52" s="196"/>
      <c r="AF52" s="196"/>
      <c r="AG52" s="196"/>
      <c r="AH52" s="196"/>
      <c r="AI52" s="208"/>
      <c r="AJ52" s="196"/>
      <c r="AK52" s="196"/>
      <c r="AL52" s="196"/>
      <c r="AM52" s="196"/>
      <c r="AN52" s="196"/>
      <c r="AO52" s="196"/>
      <c r="AP52" s="196"/>
      <c r="AQ52" s="196"/>
      <c r="AR52" s="17"/>
      <c r="AS52" s="17"/>
      <c r="AT52" s="17"/>
      <c r="AU52" s="17"/>
      <c r="AV52" s="17"/>
      <c r="AW52" s="17"/>
      <c r="AX52" s="17"/>
      <c r="AY52" s="17"/>
      <c r="AZ52" s="17"/>
      <c r="BA52" s="17"/>
      <c r="BB52" s="17"/>
      <c r="BC52" s="17"/>
      <c r="BD52" s="17"/>
      <c r="BE52" s="17"/>
      <c r="BF52" s="17"/>
      <c r="BG52" s="17"/>
      <c r="BH52" s="17"/>
      <c r="BI52" s="17"/>
      <c r="BJ52" s="17"/>
      <c r="BK52" s="17"/>
      <c r="BL52" s="17"/>
      <c r="BM52" s="17"/>
    </row>
    <row r="53" spans="1:65" x14ac:dyDescent="0.25">
      <c r="A53" s="21" t="s">
        <v>82</v>
      </c>
      <c r="B53" s="20">
        <f>C53</f>
        <v>45.9</v>
      </c>
      <c r="C53" s="20">
        <v>45.9</v>
      </c>
      <c r="D53" s="114">
        <f>K53+I53+G53+E53</f>
        <v>70.858359165749263</v>
      </c>
      <c r="E53" s="4">
        <v>30.429123620056725</v>
      </c>
      <c r="F53" s="4">
        <f>G53+I53+K53</f>
        <v>40.429235545692535</v>
      </c>
      <c r="G53" s="4">
        <v>14.613930717072119</v>
      </c>
      <c r="H53" s="4">
        <f>K53+I53</f>
        <v>25.815304828620416</v>
      </c>
      <c r="I53" s="20">
        <v>9.7467165912918894</v>
      </c>
      <c r="J53" s="20">
        <f>K53</f>
        <v>16.068588237328527</v>
      </c>
      <c r="K53" s="20">
        <v>16.068588237328527</v>
      </c>
      <c r="L53" s="114">
        <f>S53+Q53+O53+M53</f>
        <v>87.869641172781243</v>
      </c>
      <c r="M53" s="4">
        <v>13.189986195566066</v>
      </c>
      <c r="N53" s="4">
        <f>S53+Q53+O53</f>
        <v>74.679654977215179</v>
      </c>
      <c r="O53" s="4">
        <v>9.4742072526045042</v>
      </c>
      <c r="P53" s="4">
        <f>S53+Q53</f>
        <v>65.205447724610679</v>
      </c>
      <c r="Q53" s="20">
        <v>15.296611685433367</v>
      </c>
      <c r="R53" s="20">
        <f>S53</f>
        <v>49.908836039177309</v>
      </c>
      <c r="S53" s="20">
        <v>49.908836039177309</v>
      </c>
      <c r="T53" s="114">
        <f>AA53+Y53+W53+U53</f>
        <v>172.7474149492574</v>
      </c>
      <c r="U53" s="4">
        <v>53.083019386738897</v>
      </c>
      <c r="V53" s="4">
        <f>AA53+Y53+W53</f>
        <v>119.66439556251852</v>
      </c>
      <c r="W53" s="4">
        <v>45.573376720941482</v>
      </c>
      <c r="X53" s="4">
        <f>AA53+Y53</f>
        <v>74.091018841577039</v>
      </c>
      <c r="Y53" s="20">
        <v>39.303883986802376</v>
      </c>
      <c r="Z53" s="20">
        <f>AA53</f>
        <v>34.787134854774656</v>
      </c>
      <c r="AA53" s="20">
        <v>34.787134854774656</v>
      </c>
      <c r="AB53" s="197"/>
      <c r="AC53" s="196"/>
      <c r="AD53" s="196"/>
      <c r="AE53" s="196"/>
      <c r="AF53" s="196"/>
      <c r="AG53" s="196"/>
      <c r="AH53" s="196"/>
      <c r="AI53" s="208"/>
      <c r="AJ53" s="196"/>
      <c r="AK53" s="196"/>
      <c r="AL53" s="196"/>
      <c r="AM53" s="196"/>
      <c r="AN53" s="196"/>
      <c r="AO53" s="196"/>
      <c r="AP53" s="196"/>
      <c r="AQ53" s="196"/>
      <c r="AR53" s="17"/>
      <c r="AS53" s="17"/>
      <c r="AT53" s="17"/>
      <c r="AU53" s="17"/>
      <c r="AV53" s="17"/>
      <c r="AW53" s="17"/>
      <c r="AX53" s="17"/>
      <c r="AY53" s="17"/>
      <c r="AZ53" s="17"/>
      <c r="BA53" s="17"/>
      <c r="BB53" s="17"/>
      <c r="BC53" s="17"/>
      <c r="BD53" s="17"/>
      <c r="BE53" s="17"/>
      <c r="BF53" s="17"/>
      <c r="BG53" s="17"/>
      <c r="BH53" s="17"/>
      <c r="BI53" s="17"/>
      <c r="BJ53" s="17"/>
      <c r="BK53" s="17"/>
      <c r="BL53" s="17"/>
      <c r="BM53" s="17"/>
    </row>
    <row r="54" spans="1:65" x14ac:dyDescent="0.25">
      <c r="A54" s="17" t="s">
        <v>92</v>
      </c>
      <c r="B54" s="53">
        <f t="shared" ref="B54:C54" si="91">SUM(B52:B53)</f>
        <v>34.200000000000003</v>
      </c>
      <c r="C54" s="53">
        <f t="shared" si="91"/>
        <v>34.200000000000003</v>
      </c>
      <c r="D54" s="107">
        <f>SUM(D52:D53)</f>
        <v>43.96322121574925</v>
      </c>
      <c r="E54" s="3">
        <f>SUM(E52:E53)</f>
        <v>21.905757850056723</v>
      </c>
      <c r="F54" s="3">
        <f t="shared" ref="F54:G54" si="92">SUM(F52:F53)</f>
        <v>22.057463365692527</v>
      </c>
      <c r="G54" s="3">
        <f t="shared" si="92"/>
        <v>8.3658492470721111</v>
      </c>
      <c r="H54" s="3">
        <f t="shared" ref="H54:K54" si="93">SUM(H52:H53)</f>
        <v>13.691614118620414</v>
      </c>
      <c r="I54" s="53">
        <f t="shared" si="93"/>
        <v>4.2033994312918894</v>
      </c>
      <c r="J54" s="53">
        <f t="shared" si="93"/>
        <v>9.488214687328524</v>
      </c>
      <c r="K54" s="53">
        <f t="shared" si="93"/>
        <v>9.488214687328524</v>
      </c>
      <c r="L54" s="107">
        <f>SUM(L52:L53)</f>
        <v>45.608911092781234</v>
      </c>
      <c r="M54" s="3">
        <f>SUM(M52:M53)</f>
        <v>6.9185667655660668</v>
      </c>
      <c r="N54" s="3">
        <f t="shared" ref="N54:S54" si="94">SUM(N52:N53)</f>
        <v>38.690344327215172</v>
      </c>
      <c r="O54" s="3">
        <f t="shared" si="94"/>
        <v>3.6031875726045062</v>
      </c>
      <c r="P54" s="3">
        <f t="shared" si="94"/>
        <v>35.087156754610668</v>
      </c>
      <c r="Q54" s="3">
        <f t="shared" si="94"/>
        <v>6.1800564754333607</v>
      </c>
      <c r="R54" s="3">
        <f t="shared" si="94"/>
        <v>28.907100279177307</v>
      </c>
      <c r="S54" s="3">
        <f t="shared" si="94"/>
        <v>28.907100279177307</v>
      </c>
      <c r="T54" s="107">
        <f>SUM(T52:T53)</f>
        <v>106.27043644925743</v>
      </c>
      <c r="U54" s="3">
        <f>SUM(U52:U53)</f>
        <v>32.811101366738896</v>
      </c>
      <c r="V54" s="3">
        <f t="shared" ref="V54:AA54" si="95">SUM(V52:V53)</f>
        <v>73.459335082518535</v>
      </c>
      <c r="W54" s="3">
        <f t="shared" si="95"/>
        <v>28.233619500941504</v>
      </c>
      <c r="X54" s="3">
        <f t="shared" si="95"/>
        <v>45.225715581577035</v>
      </c>
      <c r="Y54" s="3">
        <f t="shared" si="95"/>
        <v>24.181570906802378</v>
      </c>
      <c r="Z54" s="3">
        <f t="shared" si="95"/>
        <v>21.044144674774653</v>
      </c>
      <c r="AA54" s="3">
        <f t="shared" si="95"/>
        <v>21.044144674774653</v>
      </c>
      <c r="AB54" s="197"/>
      <c r="AC54" s="196"/>
      <c r="AD54" s="196"/>
      <c r="AE54" s="196"/>
      <c r="AF54" s="196"/>
      <c r="AG54" s="196"/>
      <c r="AH54" s="196"/>
      <c r="AI54" s="208"/>
      <c r="AJ54" s="196"/>
      <c r="AK54" s="196"/>
      <c r="AL54" s="196"/>
      <c r="AM54" s="196"/>
      <c r="AN54" s="196"/>
      <c r="AO54" s="196"/>
      <c r="AP54" s="196"/>
      <c r="AQ54" s="196"/>
      <c r="AR54" s="17"/>
      <c r="AS54" s="17"/>
      <c r="AT54" s="17"/>
      <c r="AU54" s="17"/>
      <c r="AV54" s="17"/>
      <c r="AW54" s="17"/>
      <c r="AX54" s="17"/>
      <c r="AY54" s="17"/>
      <c r="AZ54" s="17"/>
      <c r="BA54" s="17"/>
      <c r="BB54" s="17"/>
      <c r="BC54" s="17"/>
      <c r="BD54" s="17"/>
      <c r="BE54" s="17"/>
      <c r="BF54" s="17"/>
      <c r="BG54" s="17"/>
      <c r="BH54" s="17"/>
      <c r="BI54" s="17"/>
      <c r="BJ54" s="17"/>
      <c r="BK54" s="17"/>
      <c r="BL54" s="17"/>
      <c r="BM54" s="17"/>
    </row>
    <row r="55" spans="1:65" x14ac:dyDescent="0.25">
      <c r="A55" s="17" t="s">
        <v>93</v>
      </c>
      <c r="B55" s="3">
        <f>C55</f>
        <v>16358.2</v>
      </c>
      <c r="C55" s="3">
        <v>16358.2</v>
      </c>
      <c r="D55" s="107">
        <v>15384.752115156667</v>
      </c>
      <c r="E55" s="3">
        <v>15944.103837486666</v>
      </c>
      <c r="F55" s="3">
        <v>15198.301541046656</v>
      </c>
      <c r="G55" s="3">
        <v>15825.745939296663</v>
      </c>
      <c r="H55" s="3">
        <v>14884.579341921652</v>
      </c>
      <c r="I55" s="3">
        <v>15043.94836276332</v>
      </c>
      <c r="J55" s="3">
        <f>K55</f>
        <v>14725.210321079987</v>
      </c>
      <c r="K55" s="3">
        <v>14725.210321079987</v>
      </c>
      <c r="L55" s="107">
        <v>13332.968978630839</v>
      </c>
      <c r="M55" s="3">
        <v>13983.016902849991</v>
      </c>
      <c r="N55" s="3">
        <v>13116.286337224456</v>
      </c>
      <c r="O55" s="3">
        <v>13791.701639396681</v>
      </c>
      <c r="P55" s="3">
        <v>12778.578686138342</v>
      </c>
      <c r="Q55" s="3">
        <v>13211.389294623346</v>
      </c>
      <c r="R55" s="3">
        <f>S55</f>
        <v>12345.768077653336</v>
      </c>
      <c r="S55" s="3">
        <v>12345.768077653336</v>
      </c>
      <c r="T55" s="107">
        <v>11255.298132318334</v>
      </c>
      <c r="U55" s="3">
        <v>11645.494317149996</v>
      </c>
      <c r="V55" s="3">
        <v>11125.232737374447</v>
      </c>
      <c r="W55" s="3">
        <v>11300.268492106672</v>
      </c>
      <c r="X55" s="3">
        <v>11037.714860008335</v>
      </c>
      <c r="Y55" s="3">
        <v>10990.288089056665</v>
      </c>
      <c r="Z55" s="3">
        <f>AA55</f>
        <v>11085.141630960004</v>
      </c>
      <c r="AA55" s="3">
        <v>11085.141630960004</v>
      </c>
      <c r="AB55" s="197"/>
      <c r="AC55" s="196"/>
      <c r="AD55" s="196"/>
      <c r="AE55" s="196"/>
      <c r="AF55" s="196"/>
      <c r="AG55" s="196"/>
      <c r="AH55" s="196"/>
      <c r="AI55" s="208"/>
      <c r="AJ55" s="196"/>
      <c r="AK55" s="196"/>
      <c r="AL55" s="196"/>
      <c r="AM55" s="196"/>
      <c r="AN55" s="196"/>
      <c r="AO55" s="196"/>
      <c r="AP55" s="196"/>
      <c r="AQ55" s="196"/>
      <c r="AR55" s="17"/>
      <c r="AS55" s="17"/>
      <c r="AT55" s="17"/>
      <c r="AU55" s="17"/>
      <c r="AV55" s="17"/>
      <c r="AW55" s="17"/>
      <c r="AX55" s="17"/>
      <c r="AY55" s="17"/>
      <c r="AZ55" s="17"/>
      <c r="BA55" s="17"/>
      <c r="BB55" s="17"/>
      <c r="BC55" s="17"/>
      <c r="BD55" s="17"/>
      <c r="BE55" s="17"/>
      <c r="BF55" s="17"/>
      <c r="BG55" s="17"/>
      <c r="BH55" s="17"/>
      <c r="BI55" s="17"/>
      <c r="BJ55" s="17"/>
      <c r="BK55" s="17"/>
      <c r="BL55" s="17"/>
      <c r="BM55" s="17"/>
    </row>
    <row r="56" spans="1:65" ht="15.75" thickBot="1" x14ac:dyDescent="0.3">
      <c r="A56" s="47" t="s">
        <v>94</v>
      </c>
      <c r="B56" s="57">
        <f>(B54/90*365)/B55</f>
        <v>8.478927999413138E-3</v>
      </c>
      <c r="C56" s="57">
        <f>(C54/90*365)/C55</f>
        <v>8.478927999413138E-3</v>
      </c>
      <c r="D56" s="124">
        <f>(D54/365*365)/D55</f>
        <v>2.8575839822883985E-3</v>
      </c>
      <c r="E56" s="57">
        <f>(E54/92*365)/E55-0.00009%</f>
        <v>5.4499371304714194E-3</v>
      </c>
      <c r="F56" s="57">
        <f>(F54/273*365)/F55</f>
        <v>1.9403975926990901E-3</v>
      </c>
      <c r="G56" s="57">
        <f>(G54/92*365)/G55</f>
        <v>2.0972532785265841E-3</v>
      </c>
      <c r="H56" s="57">
        <f>(H54/181*365)/H55</f>
        <v>1.8549507133314544E-3</v>
      </c>
      <c r="I56" s="57">
        <f>(I54/91*365)/I55</f>
        <v>1.1207023928266372E-3</v>
      </c>
      <c r="J56" s="57">
        <f>(J54/90*365)/J55</f>
        <v>2.6132042224492171E-3</v>
      </c>
      <c r="K56" s="57">
        <f>(K54/90*365)/K55</f>
        <v>2.6132042224492171E-3</v>
      </c>
      <c r="L56" s="124">
        <f>(L54/366*366)/L55</f>
        <v>3.4207618097574551E-3</v>
      </c>
      <c r="M56" s="57">
        <f>(M54/92*366)/M55</f>
        <v>1.9683780423176067E-3</v>
      </c>
      <c r="N56" s="57">
        <f>(N54/273*366)/N55</f>
        <v>3.954669041373148E-3</v>
      </c>
      <c r="O56" s="57">
        <f>(O54/92*366)/O55</f>
        <v>1.0393510895602036E-3</v>
      </c>
      <c r="P56" s="57">
        <f>(P54/182*366)/P55</f>
        <v>5.521731985491567E-3</v>
      </c>
      <c r="Q56" s="57">
        <f>(Q54/91*366)/Q55</f>
        <v>1.8814108618305288E-3</v>
      </c>
      <c r="R56" s="57">
        <f>(R54/91*366)/R55</f>
        <v>9.4172935430733521E-3</v>
      </c>
      <c r="S56" s="57">
        <f>(S54/91*366)/S55</f>
        <v>9.4172935430733521E-3</v>
      </c>
      <c r="T56" s="124">
        <f>(T54/365*365)/T55</f>
        <v>9.4418144415129891E-3</v>
      </c>
      <c r="U56" s="57">
        <f>(U54/92*365)/U55</f>
        <v>1.1178098129915414E-2</v>
      </c>
      <c r="V56" s="57">
        <f>(V54/273*365)/V55</f>
        <v>8.8281175092695171E-3</v>
      </c>
      <c r="W56" s="57">
        <f>(W54/92*365)/W55</f>
        <v>9.91249159934059E-3</v>
      </c>
      <c r="X56" s="57">
        <f>(X54/181*365)/X55</f>
        <v>8.2626730093761855E-3</v>
      </c>
      <c r="Y56" s="57">
        <f>(Y54/91*365)/Y55</f>
        <v>8.8252477450717192E-3</v>
      </c>
      <c r="Z56" s="57">
        <f>(Z54/90*365)/Z55</f>
        <v>7.6991075702030551E-3</v>
      </c>
      <c r="AA56" s="57">
        <f>(AA54/90*365)/AA55</f>
        <v>7.6991075702030551E-3</v>
      </c>
      <c r="AB56" s="197"/>
      <c r="AC56" s="196"/>
      <c r="AD56" s="196"/>
      <c r="AE56" s="196"/>
      <c r="AF56" s="196"/>
      <c r="AG56" s="196"/>
      <c r="AH56" s="196"/>
      <c r="AI56" s="208"/>
      <c r="AJ56" s="196"/>
      <c r="AK56" s="196"/>
      <c r="AL56" s="196"/>
      <c r="AM56" s="196"/>
      <c r="AN56" s="196"/>
      <c r="AO56" s="196"/>
      <c r="AP56" s="196"/>
      <c r="AQ56" s="196"/>
      <c r="AR56" s="17"/>
      <c r="AS56" s="17"/>
      <c r="AT56" s="17"/>
      <c r="AU56" s="17"/>
      <c r="AV56" s="17"/>
      <c r="AW56" s="17"/>
      <c r="AX56" s="17"/>
      <c r="AY56" s="17"/>
      <c r="AZ56" s="17"/>
      <c r="BA56" s="17"/>
      <c r="BB56" s="17"/>
      <c r="BC56" s="17"/>
      <c r="BD56" s="17"/>
      <c r="BE56" s="17"/>
      <c r="BF56" s="17"/>
      <c r="BG56" s="17"/>
      <c r="BH56" s="17"/>
      <c r="BI56" s="17"/>
      <c r="BJ56" s="17"/>
      <c r="BK56" s="17"/>
      <c r="BL56" s="17"/>
      <c r="BM56" s="17"/>
    </row>
    <row r="57" spans="1:65" x14ac:dyDescent="0.25">
      <c r="A57" s="17"/>
      <c r="B57" s="17"/>
      <c r="C57" s="17"/>
      <c r="D57" s="178"/>
      <c r="E57" s="17"/>
      <c r="F57" s="7"/>
      <c r="G57" s="17"/>
      <c r="L57" s="178"/>
      <c r="M57" s="17"/>
      <c r="N57" s="7"/>
      <c r="O57" s="17"/>
      <c r="P57" s="7"/>
      <c r="Q57" s="17"/>
      <c r="T57" s="178"/>
      <c r="U57" s="17"/>
      <c r="V57" s="7"/>
      <c r="W57" s="17"/>
      <c r="X57" s="7"/>
      <c r="Y57" s="17"/>
      <c r="AB57" s="105"/>
      <c r="AD57" s="7"/>
      <c r="AE57" s="7"/>
      <c r="AF57" s="7"/>
      <c r="AG57" s="7"/>
      <c r="AH57" s="7"/>
      <c r="AI57" s="119"/>
      <c r="AJ57" s="7"/>
      <c r="AK57" s="7"/>
      <c r="AL57" s="7"/>
      <c r="AM57" s="7"/>
      <c r="AN57" s="7"/>
      <c r="AO57" s="7"/>
      <c r="AP57" s="7"/>
      <c r="AQ57" s="7"/>
    </row>
    <row r="58" spans="1:65" x14ac:dyDescent="0.25">
      <c r="A58" s="17" t="s">
        <v>95</v>
      </c>
      <c r="B58" s="3">
        <f>C58</f>
        <v>-97</v>
      </c>
      <c r="C58" s="3">
        <v>-97</v>
      </c>
      <c r="D58" s="107">
        <f>E58+G58+I58+K58</f>
        <v>-288.44881456999997</v>
      </c>
      <c r="E58" s="3">
        <v>-76.165852629999961</v>
      </c>
      <c r="F58" s="3">
        <f>K58+I58+G58</f>
        <v>-212.28296194000004</v>
      </c>
      <c r="G58" s="3">
        <v>-69.895308470000032</v>
      </c>
      <c r="H58" s="3">
        <f>K58+I58</f>
        <v>-142.38765347</v>
      </c>
      <c r="I58" s="3">
        <v>-69.012582070000008</v>
      </c>
      <c r="J58" s="3">
        <f>K58</f>
        <v>-73.375071399999996</v>
      </c>
      <c r="K58" s="3">
        <v>-73.375071399999996</v>
      </c>
      <c r="L58" s="107">
        <f>M58+O58+Q58+S58</f>
        <v>-444.4181768200001</v>
      </c>
      <c r="M58" s="3">
        <v>-73.96422173000002</v>
      </c>
      <c r="N58" s="3">
        <f>S58+Q58+O58</f>
        <v>-370.45395509000008</v>
      </c>
      <c r="O58" s="3">
        <v>-76.556675990000016</v>
      </c>
      <c r="P58" s="3">
        <f>S58+Q58</f>
        <v>-293.89727910000005</v>
      </c>
      <c r="Q58" s="3">
        <v>-128.72170130999999</v>
      </c>
      <c r="R58" s="3">
        <f>S58</f>
        <v>-165.17557779000006</v>
      </c>
      <c r="S58" s="3">
        <v>-165.17557779000006</v>
      </c>
      <c r="T58" s="107">
        <f>U58+W58+Y58+AA58</f>
        <v>-551.53877913000008</v>
      </c>
      <c r="U58" s="3">
        <v>-156.96161485000005</v>
      </c>
      <c r="V58" s="3">
        <f>AA58+Y58+W58</f>
        <v>-394.57716428000003</v>
      </c>
      <c r="W58" s="3">
        <v>-142.99799818999995</v>
      </c>
      <c r="X58" s="3">
        <f>AA58+Y58</f>
        <v>-251.57916609000006</v>
      </c>
      <c r="Y58" s="3">
        <v>-129.16909616000004</v>
      </c>
      <c r="Z58" s="3">
        <f>AA58</f>
        <v>-122.41006993000002</v>
      </c>
      <c r="AA58" s="3">
        <v>-122.41006993000002</v>
      </c>
      <c r="AB58" s="53"/>
      <c r="AC58" s="53"/>
      <c r="AD58" s="53"/>
      <c r="AE58" s="53"/>
      <c r="AF58" s="53"/>
      <c r="AG58" s="53"/>
      <c r="AH58" s="53"/>
      <c r="AI58" s="53"/>
      <c r="AJ58" s="53"/>
      <c r="AK58" s="53"/>
      <c r="AL58" s="53"/>
      <c r="AM58" s="53"/>
      <c r="AN58" s="53"/>
      <c r="AO58" s="53"/>
      <c r="AP58" s="53"/>
      <c r="AQ58" s="53"/>
    </row>
    <row r="59" spans="1:65" x14ac:dyDescent="0.25">
      <c r="A59" s="21" t="s">
        <v>82</v>
      </c>
      <c r="B59" s="20">
        <f>C59</f>
        <v>186</v>
      </c>
      <c r="C59" s="20">
        <v>186</v>
      </c>
      <c r="D59" s="114">
        <f>K59+I59+G59+E59</f>
        <v>288.07097712391663</v>
      </c>
      <c r="E59" s="4">
        <v>123.30967825716051</v>
      </c>
      <c r="F59" s="4">
        <f>G59+I59+K59</f>
        <v>164.76129886675614</v>
      </c>
      <c r="G59" s="4">
        <v>59.114400216903988</v>
      </c>
      <c r="H59" s="4">
        <f>K59+I59</f>
        <v>105.64689864985215</v>
      </c>
      <c r="I59" s="20">
        <v>40.181747884305473</v>
      </c>
      <c r="J59" s="20">
        <f>K59</f>
        <v>65.465150765546667</v>
      </c>
      <c r="K59" s="20">
        <v>65.465150765546667</v>
      </c>
      <c r="L59" s="114">
        <f>S59+Q59+O59+M59</f>
        <v>386.43360197631864</v>
      </c>
      <c r="M59" s="4">
        <v>55.850108077077863</v>
      </c>
      <c r="N59" s="4">
        <f>S59+Q59+O59</f>
        <v>330.58349389924081</v>
      </c>
      <c r="O59" s="4">
        <v>41.255989241917625</v>
      </c>
      <c r="P59" s="4">
        <f>S59+Q59</f>
        <v>289.32750465732317</v>
      </c>
      <c r="Q59" s="20">
        <v>68.509062597993136</v>
      </c>
      <c r="R59" s="20">
        <f>S59</f>
        <v>220.81844205933004</v>
      </c>
      <c r="S59" s="20">
        <v>220.81844205933004</v>
      </c>
      <c r="T59" s="114">
        <f>AA59+Y59+W59+U59</f>
        <v>809.57304317654575</v>
      </c>
      <c r="U59" s="4">
        <v>245.62579143569479</v>
      </c>
      <c r="V59" s="4">
        <f>AA59+Y59+W59</f>
        <v>563.94725174085102</v>
      </c>
      <c r="W59" s="4">
        <v>217.81061204386515</v>
      </c>
      <c r="X59" s="4">
        <f>AA59+Y59</f>
        <v>346.13663969698587</v>
      </c>
      <c r="Y59" s="20">
        <v>186.17565324970886</v>
      </c>
      <c r="Z59" s="20">
        <f>AA59</f>
        <v>159.96098644727701</v>
      </c>
      <c r="AA59" s="20">
        <v>159.96098644727701</v>
      </c>
      <c r="AB59" s="53"/>
      <c r="AC59" s="53"/>
      <c r="AD59" s="53"/>
      <c r="AE59" s="53"/>
      <c r="AF59" s="53"/>
      <c r="AG59" s="53"/>
      <c r="AH59" s="53"/>
      <c r="AI59" s="53"/>
      <c r="AJ59" s="53"/>
      <c r="AK59" s="53"/>
      <c r="AL59" s="53"/>
      <c r="AM59" s="53"/>
      <c r="AN59" s="53"/>
      <c r="AO59" s="53"/>
      <c r="AP59" s="53"/>
      <c r="AQ59" s="53"/>
    </row>
    <row r="60" spans="1:65" x14ac:dyDescent="0.25">
      <c r="A60" s="17" t="s">
        <v>96</v>
      </c>
      <c r="B60" s="53">
        <f t="shared" ref="B60:C60" si="96">SUM(B58:B59)</f>
        <v>89</v>
      </c>
      <c r="C60" s="53">
        <f t="shared" si="96"/>
        <v>89</v>
      </c>
      <c r="D60" s="107">
        <f>SUM(D58:D59)</f>
        <v>-0.37783744608333336</v>
      </c>
      <c r="E60" s="3">
        <f>SUM(E58:E59)</f>
        <v>47.143825627160552</v>
      </c>
      <c r="F60" s="3">
        <f t="shared" ref="F60:G60" si="97">SUM(F58:F59)</f>
        <v>-47.5216630732439</v>
      </c>
      <c r="G60" s="3">
        <f t="shared" si="97"/>
        <v>-10.780908253096044</v>
      </c>
      <c r="H60" s="3">
        <f t="shared" ref="H60" si="98">SUM(H58:H59)</f>
        <v>-36.740754820147856</v>
      </c>
      <c r="I60" s="53">
        <f t="shared" ref="I60:K60" si="99">SUM(I58:I59)</f>
        <v>-28.830834185694535</v>
      </c>
      <c r="J60" s="53">
        <f t="shared" si="99"/>
        <v>-7.9099206344533286</v>
      </c>
      <c r="K60" s="53">
        <f t="shared" si="99"/>
        <v>-7.9099206344533286</v>
      </c>
      <c r="L60" s="107">
        <f>SUM(L58:L59)</f>
        <v>-57.984574843681457</v>
      </c>
      <c r="M60" s="3">
        <f>SUM(M58:M59)</f>
        <v>-18.114113652922157</v>
      </c>
      <c r="N60" s="3">
        <f t="shared" ref="N60:O60" si="100">SUM(N58:N59)</f>
        <v>-39.870461190759272</v>
      </c>
      <c r="O60" s="3">
        <f t="shared" si="100"/>
        <v>-35.300686748082391</v>
      </c>
      <c r="P60" s="3">
        <f t="shared" ref="P60:Q60" si="101">SUM(P58:P59)</f>
        <v>-4.5697744426768736</v>
      </c>
      <c r="Q60" s="3">
        <f t="shared" si="101"/>
        <v>-60.21263871200685</v>
      </c>
      <c r="R60" s="3">
        <f t="shared" ref="R60:S60" si="102">SUM(R58:R59)</f>
        <v>55.642864269329976</v>
      </c>
      <c r="S60" s="3">
        <f t="shared" si="102"/>
        <v>55.642864269329976</v>
      </c>
      <c r="T60" s="107">
        <f>SUM(T58:T59)</f>
        <v>258.03426404654567</v>
      </c>
      <c r="U60" s="3">
        <f>SUM(U58:U59)</f>
        <v>88.664176585694747</v>
      </c>
      <c r="V60" s="3">
        <f t="shared" ref="V60:X60" si="103">SUM(V58:V59)</f>
        <v>169.37008746085098</v>
      </c>
      <c r="W60" s="3">
        <f t="shared" si="103"/>
        <v>74.812613853865201</v>
      </c>
      <c r="X60" s="3">
        <f t="shared" si="103"/>
        <v>94.557473606985809</v>
      </c>
      <c r="Y60" s="3">
        <f t="shared" ref="Y60:AA60" si="104">SUM(Y58:Y59)</f>
        <v>57.006557089708821</v>
      </c>
      <c r="Z60" s="3">
        <f t="shared" si="104"/>
        <v>37.550916517276988</v>
      </c>
      <c r="AA60" s="3">
        <f t="shared" si="104"/>
        <v>37.550916517276988</v>
      </c>
      <c r="AB60" s="53"/>
      <c r="AC60" s="53"/>
      <c r="AD60" s="53"/>
      <c r="AE60" s="53"/>
      <c r="AF60" s="53"/>
      <c r="AG60" s="53"/>
      <c r="AH60" s="53"/>
      <c r="AI60" s="53"/>
      <c r="AJ60" s="53"/>
      <c r="AK60" s="53"/>
      <c r="AL60" s="53"/>
      <c r="AM60" s="53"/>
      <c r="AN60" s="53"/>
      <c r="AO60" s="53"/>
      <c r="AP60" s="53"/>
      <c r="AQ60" s="53"/>
    </row>
    <row r="61" spans="1:65" x14ac:dyDescent="0.25">
      <c r="A61" s="17" t="s">
        <v>97</v>
      </c>
      <c r="B61" s="3">
        <f>C61</f>
        <v>64385</v>
      </c>
      <c r="C61" s="3">
        <v>64385</v>
      </c>
      <c r="D61" s="107">
        <v>61238.784147461665</v>
      </c>
      <c r="E61" s="3">
        <v>62869.274478679967</v>
      </c>
      <c r="F61" s="3">
        <v>60695.287370388869</v>
      </c>
      <c r="G61" s="3">
        <v>62708.929851516637</v>
      </c>
      <c r="H61" s="3">
        <v>59688.466129824992</v>
      </c>
      <c r="I61" s="3">
        <v>60712.827614886635</v>
      </c>
      <c r="J61" s="3">
        <f>K61</f>
        <v>58664.104644763342</v>
      </c>
      <c r="K61" s="3">
        <v>58664.104644763342</v>
      </c>
      <c r="L61" s="107">
        <v>56617.875871866672</v>
      </c>
      <c r="M61" s="3">
        <v>58142.310722409995</v>
      </c>
      <c r="N61" s="3">
        <v>56109.730921685565</v>
      </c>
      <c r="O61" s="3">
        <v>58435.096639119991</v>
      </c>
      <c r="P61" s="3">
        <v>54947.048062968344</v>
      </c>
      <c r="Q61" s="3">
        <v>56461.45098512667</v>
      </c>
      <c r="R61" s="3">
        <f>S61</f>
        <v>53432.645140810018</v>
      </c>
      <c r="S61" s="3">
        <v>53432.645140810018</v>
      </c>
      <c r="T61" s="107">
        <v>51964.521403817504</v>
      </c>
      <c r="U61" s="3">
        <v>53070.382042676647</v>
      </c>
      <c r="V61" s="3">
        <v>51595.901190864453</v>
      </c>
      <c r="W61" s="3">
        <v>53247.11816125668</v>
      </c>
      <c r="X61" s="3">
        <v>50770.292705668333</v>
      </c>
      <c r="Y61" s="3">
        <v>51229.474380420004</v>
      </c>
      <c r="Z61" s="3">
        <f>AA61</f>
        <v>50311.111030916662</v>
      </c>
      <c r="AA61" s="3">
        <v>50311.111030916662</v>
      </c>
      <c r="AB61" s="53"/>
      <c r="AC61" s="53"/>
      <c r="AD61" s="53"/>
      <c r="AE61" s="53"/>
      <c r="AF61" s="53"/>
      <c r="AG61" s="53"/>
      <c r="AH61" s="53"/>
      <c r="AI61" s="53"/>
      <c r="AJ61" s="53"/>
      <c r="AK61" s="53"/>
      <c r="AL61" s="53"/>
      <c r="AM61" s="53"/>
      <c r="AN61" s="53"/>
      <c r="AO61" s="53"/>
      <c r="AP61" s="53"/>
      <c r="AQ61" s="53"/>
    </row>
    <row r="62" spans="1:65" ht="15.75" thickBot="1" x14ac:dyDescent="0.3">
      <c r="A62" s="47" t="s">
        <v>98</v>
      </c>
      <c r="B62" s="57">
        <f>(B60/90*365)/B61</f>
        <v>5.6060331512688428E-3</v>
      </c>
      <c r="C62" s="57">
        <f>(C60/90*365)/C61</f>
        <v>5.6060331512688428E-3</v>
      </c>
      <c r="D62" s="124">
        <f>(D60/365*365)/D61</f>
        <v>-6.1699044379050538E-6</v>
      </c>
      <c r="E62" s="57">
        <f>(E60/92*365)/E61</f>
        <v>2.9750304166515354E-3</v>
      </c>
      <c r="F62" s="57">
        <f>(F60/273*365)/F61</f>
        <v>-1.0468076222981742E-3</v>
      </c>
      <c r="G62" s="57">
        <f>(G60/92*365)/G61</f>
        <v>-6.8207321919831006E-4</v>
      </c>
      <c r="H62" s="57">
        <f>(H60/181*365)/H61</f>
        <v>-1.2412862522923609E-3</v>
      </c>
      <c r="I62" s="57">
        <f>(I60/91*365)/I61</f>
        <v>-1.904707186922594E-3</v>
      </c>
      <c r="J62" s="57">
        <f>(J60/90*365)/J61</f>
        <v>-5.4682710606961029E-4</v>
      </c>
      <c r="K62" s="57">
        <f>(K60/90*365)/K61</f>
        <v>-5.4682710606961029E-4</v>
      </c>
      <c r="L62" s="124">
        <f>(L60/366*366)/L61</f>
        <v>-1.0241390011682492E-3</v>
      </c>
      <c r="M62" s="57">
        <f>(M60/92*366)/M61</f>
        <v>-1.2394187406195038E-3</v>
      </c>
      <c r="N62" s="57">
        <f>(N60/273*366)/N61</f>
        <v>-9.5264591958911873E-4</v>
      </c>
      <c r="O62" s="57">
        <f>(O60/92*366)/O61</f>
        <v>-2.4032704459439479E-3</v>
      </c>
      <c r="P62" s="57">
        <f>(P60/182*366)/P61</f>
        <v>-1.6724767773494066E-4</v>
      </c>
      <c r="Q62" s="57">
        <f>(Q60/91*366)/Q61</f>
        <v>-4.2891903293237913E-3</v>
      </c>
      <c r="R62" s="57">
        <f>(R60/91*366)/R61</f>
        <v>4.1883454689804391E-3</v>
      </c>
      <c r="S62" s="57">
        <f>(S60/91*366)/S61</f>
        <v>4.1883454689804391E-3</v>
      </c>
      <c r="T62" s="124">
        <f>(T60/365*365)/T61</f>
        <v>4.965585308509924E-3</v>
      </c>
      <c r="U62" s="57">
        <f>(U60/92*365)/U61</f>
        <v>6.62828247421269E-3</v>
      </c>
      <c r="V62" s="57">
        <f>(V60/273*365)/V61</f>
        <v>4.3888599928554334E-3</v>
      </c>
      <c r="W62" s="57">
        <f>(W60/92*365)/W61</f>
        <v>5.5742155427168285E-3</v>
      </c>
      <c r="X62" s="57">
        <f>(X60/181*365)/X61</f>
        <v>3.7557829194166687E-3</v>
      </c>
      <c r="Y62" s="57">
        <f>(Y60/91*365)/Y61</f>
        <v>4.4633031434835732E-3</v>
      </c>
      <c r="Z62" s="57">
        <f>(Z60/90*365)/Z61</f>
        <v>3.0269621357449645E-3</v>
      </c>
      <c r="AA62" s="57">
        <f>(AA60/90*365)/AA61</f>
        <v>3.0269621357449645E-3</v>
      </c>
      <c r="AB62" s="196"/>
      <c r="AC62" s="196"/>
      <c r="AD62" s="196"/>
      <c r="AE62" s="196"/>
      <c r="AF62" s="196"/>
      <c r="AG62" s="196"/>
      <c r="AH62" s="196"/>
      <c r="AI62" s="196"/>
      <c r="AJ62" s="196"/>
      <c r="AK62" s="196"/>
      <c r="AL62" s="196"/>
      <c r="AM62" s="196"/>
      <c r="AN62" s="196"/>
      <c r="AO62" s="196"/>
      <c r="AP62" s="196"/>
      <c r="AQ62" s="196"/>
    </row>
    <row r="63" spans="1:65" x14ac:dyDescent="0.25">
      <c r="B63" s="17"/>
      <c r="C63" s="17"/>
      <c r="D63" s="129"/>
      <c r="F63" s="60"/>
      <c r="L63" s="129"/>
      <c r="N63" s="60"/>
      <c r="P63" s="60"/>
      <c r="T63" s="60"/>
      <c r="V63" s="60"/>
      <c r="X63" s="60"/>
      <c r="AB63" s="105"/>
      <c r="AD63" s="7"/>
      <c r="AE63" s="60"/>
      <c r="AF63" s="60"/>
      <c r="AG63" s="60"/>
      <c r="AH63" s="60"/>
      <c r="AI63" s="128"/>
      <c r="AJ63" s="60"/>
      <c r="AK63" s="60"/>
      <c r="AL63" s="60"/>
      <c r="AM63" s="60"/>
      <c r="AN63" s="60"/>
      <c r="AO63" s="60"/>
      <c r="AP63" s="60"/>
      <c r="AQ63" s="60"/>
      <c r="AR63" s="60"/>
      <c r="AS63" s="60"/>
      <c r="AT63" s="60"/>
      <c r="AU63" s="60"/>
      <c r="AV63" s="60"/>
      <c r="AW63" s="60"/>
      <c r="AX63" s="60"/>
      <c r="AY63" s="60"/>
      <c r="AZ63" s="60"/>
      <c r="BA63" s="60"/>
      <c r="BB63" s="60"/>
      <c r="BC63" s="60"/>
      <c r="BD63" s="60"/>
      <c r="BE63" s="60"/>
    </row>
    <row r="64" spans="1:65" x14ac:dyDescent="0.25">
      <c r="B64" s="17"/>
      <c r="C64" s="17"/>
      <c r="D64" s="129"/>
      <c r="F64" s="60"/>
      <c r="L64" s="129"/>
      <c r="N64" s="60"/>
      <c r="P64" s="60"/>
      <c r="T64" s="60"/>
      <c r="V64" s="60"/>
      <c r="X64" s="60"/>
      <c r="AB64" s="105"/>
      <c r="AD64" s="7"/>
      <c r="AE64" s="60"/>
      <c r="AF64" s="60"/>
      <c r="AG64" s="60"/>
      <c r="AH64" s="60"/>
      <c r="AI64" s="128"/>
      <c r="AJ64" s="60"/>
      <c r="AK64" s="60"/>
      <c r="AL64" s="60"/>
      <c r="AM64" s="60"/>
      <c r="AN64" s="60"/>
      <c r="AO64" s="60"/>
      <c r="AP64" s="60"/>
      <c r="AQ64" s="60"/>
      <c r="AR64" s="60"/>
      <c r="AS64" s="60"/>
      <c r="AT64" s="60"/>
      <c r="AU64" s="60"/>
      <c r="AV64" s="60"/>
      <c r="AW64" s="60"/>
      <c r="AX64" s="60"/>
      <c r="AY64" s="60"/>
      <c r="AZ64" s="60"/>
      <c r="BA64" s="60"/>
      <c r="BB64" s="60"/>
      <c r="BC64" s="60"/>
      <c r="BD64" s="60"/>
      <c r="BE64" s="60"/>
    </row>
    <row r="65" spans="1:57" x14ac:dyDescent="0.25">
      <c r="A65" s="17" t="s">
        <v>99</v>
      </c>
      <c r="B65" s="60">
        <v>233581</v>
      </c>
      <c r="C65" s="60"/>
      <c r="D65" s="129">
        <v>230299</v>
      </c>
      <c r="E65" s="17"/>
      <c r="F65" s="60">
        <v>226952</v>
      </c>
      <c r="G65" s="17"/>
      <c r="H65" s="60">
        <v>225791</v>
      </c>
      <c r="I65" s="60"/>
      <c r="J65" s="60">
        <v>221291</v>
      </c>
      <c r="K65" s="60"/>
      <c r="L65" s="129">
        <v>219181</v>
      </c>
      <c r="M65" s="17"/>
      <c r="N65" s="60">
        <v>216795</v>
      </c>
      <c r="O65" s="17"/>
      <c r="P65" s="60">
        <v>214432</v>
      </c>
      <c r="Q65" s="17"/>
      <c r="R65" s="60">
        <v>212161</v>
      </c>
      <c r="S65" s="60"/>
      <c r="T65" s="60">
        <v>207114</v>
      </c>
      <c r="U65" s="17"/>
      <c r="V65" s="60">
        <v>203575</v>
      </c>
      <c r="W65" s="17"/>
      <c r="X65" s="60">
        <v>198626</v>
      </c>
      <c r="Y65" s="17"/>
      <c r="Z65" s="60">
        <v>196468</v>
      </c>
      <c r="AA65" s="60"/>
      <c r="AB65" s="129">
        <v>192105</v>
      </c>
      <c r="AC65" s="60"/>
      <c r="AD65" s="60">
        <v>183014</v>
      </c>
      <c r="AE65" s="60"/>
      <c r="AF65" s="60">
        <v>178927</v>
      </c>
      <c r="AG65" s="60"/>
      <c r="AH65" s="60">
        <v>174280</v>
      </c>
      <c r="AI65" s="128"/>
      <c r="AJ65" s="60">
        <v>172554</v>
      </c>
      <c r="AK65" s="60"/>
      <c r="AL65" s="60">
        <v>167105</v>
      </c>
      <c r="AM65" s="60"/>
      <c r="AN65" s="60">
        <v>164958</v>
      </c>
      <c r="AO65" s="60"/>
      <c r="AP65" s="60">
        <v>159843</v>
      </c>
      <c r="AQ65" s="60"/>
      <c r="AR65" s="60"/>
      <c r="AS65" s="60"/>
      <c r="AT65" s="60"/>
      <c r="AU65" s="60"/>
      <c r="AV65" s="60"/>
      <c r="AW65" s="60"/>
      <c r="AX65" s="60"/>
      <c r="AY65" s="60"/>
      <c r="AZ65" s="60"/>
      <c r="BA65" s="60"/>
      <c r="BB65" s="60"/>
      <c r="BC65" s="60"/>
      <c r="BD65" s="60"/>
      <c r="BE65" s="60"/>
    </row>
    <row r="66" spans="1:57" x14ac:dyDescent="0.25">
      <c r="A66" s="21" t="s">
        <v>100</v>
      </c>
      <c r="B66" s="92">
        <v>0</v>
      </c>
      <c r="C66" s="10"/>
      <c r="D66" s="109">
        <v>0</v>
      </c>
      <c r="E66" s="21"/>
      <c r="F66" s="61">
        <v>0</v>
      </c>
      <c r="G66" s="21"/>
      <c r="H66" s="92">
        <v>0</v>
      </c>
      <c r="I66" s="92"/>
      <c r="J66" s="92">
        <v>0</v>
      </c>
      <c r="K66" s="10"/>
      <c r="L66" s="109">
        <v>0</v>
      </c>
      <c r="M66" s="21"/>
      <c r="N66" s="61">
        <v>3390</v>
      </c>
      <c r="O66" s="21"/>
      <c r="P66" s="61">
        <v>4198</v>
      </c>
      <c r="Q66" s="21"/>
      <c r="R66" s="92">
        <v>4193</v>
      </c>
      <c r="S66" s="10"/>
      <c r="T66" s="61">
        <v>4243</v>
      </c>
      <c r="U66" s="21"/>
      <c r="V66" s="61">
        <v>6279</v>
      </c>
      <c r="W66" s="21"/>
      <c r="X66" s="61">
        <v>8887</v>
      </c>
      <c r="Y66" s="21"/>
      <c r="Z66" s="92">
        <v>8938</v>
      </c>
      <c r="AA66" s="10"/>
      <c r="AB66" s="121">
        <v>9294</v>
      </c>
      <c r="AC66" s="10"/>
      <c r="AD66" s="4">
        <v>13431</v>
      </c>
      <c r="AE66" s="73"/>
      <c r="AF66" s="61">
        <v>14547</v>
      </c>
      <c r="AG66" s="73"/>
      <c r="AH66" s="61">
        <v>14632</v>
      </c>
      <c r="AI66" s="130"/>
      <c r="AJ66" s="61">
        <v>14583</v>
      </c>
      <c r="AK66" s="73"/>
      <c r="AL66" s="61">
        <v>18045</v>
      </c>
      <c r="AM66" s="73"/>
      <c r="AN66" s="61">
        <v>19359</v>
      </c>
      <c r="AO66" s="73"/>
      <c r="AP66" s="61">
        <v>23339</v>
      </c>
      <c r="AQ66" s="73"/>
      <c r="AR66" s="60"/>
    </row>
    <row r="67" spans="1:57" ht="30" x14ac:dyDescent="0.25">
      <c r="A67" s="62" t="s">
        <v>101</v>
      </c>
      <c r="B67" s="60">
        <f>SUM(B65:B66)</f>
        <v>233581</v>
      </c>
      <c r="C67" s="33"/>
      <c r="D67" s="129">
        <f>SUM(D65:D66)</f>
        <v>230299</v>
      </c>
      <c r="E67" s="62"/>
      <c r="F67" s="60">
        <f>SUM(F65:F66)</f>
        <v>226952</v>
      </c>
      <c r="G67" s="62"/>
      <c r="H67" s="60">
        <f>SUM(H65:H66)</f>
        <v>225791</v>
      </c>
      <c r="I67" s="60"/>
      <c r="J67" s="60">
        <f>SUM(J65:J66)</f>
        <v>221291</v>
      </c>
      <c r="K67" s="33"/>
      <c r="L67" s="129">
        <f>SUM(L65:L66)</f>
        <v>219181</v>
      </c>
      <c r="M67" s="62"/>
      <c r="N67" s="60">
        <f>SUM(N65:N66)</f>
        <v>220185</v>
      </c>
      <c r="O67" s="62"/>
      <c r="P67" s="60">
        <f>SUM(P65:P66)</f>
        <v>218630</v>
      </c>
      <c r="Q67" s="62"/>
      <c r="R67" s="60">
        <f>SUM(R65:R66)</f>
        <v>216354</v>
      </c>
      <c r="S67" s="33"/>
      <c r="T67" s="60">
        <f>SUM(T65:T66)</f>
        <v>211357</v>
      </c>
      <c r="U67" s="62"/>
      <c r="V67" s="60">
        <f>SUM(V65:V66)</f>
        <v>209854</v>
      </c>
      <c r="W67" s="62"/>
      <c r="X67" s="60">
        <f>SUM(X65:X66)</f>
        <v>207513</v>
      </c>
      <c r="Y67" s="62"/>
      <c r="Z67" s="60">
        <f>SUM(Z65:Z66)</f>
        <v>205406</v>
      </c>
      <c r="AA67" s="33"/>
      <c r="AB67" s="129">
        <f>SUM(AB65:AB66)</f>
        <v>201399</v>
      </c>
      <c r="AC67" s="33"/>
      <c r="AD67" s="60">
        <f>SUM(AD65:AD66)</f>
        <v>196445</v>
      </c>
      <c r="AE67" s="13"/>
      <c r="AF67" s="60">
        <f>SUM(AF65:AF66)</f>
        <v>193474</v>
      </c>
      <c r="AG67" s="13"/>
      <c r="AH67" s="60">
        <f>SUM(AH65:AH66)</f>
        <v>188912</v>
      </c>
      <c r="AI67" s="131"/>
      <c r="AJ67" s="60">
        <f>SUM(AJ65:AJ66)</f>
        <v>187137</v>
      </c>
      <c r="AK67" s="13"/>
      <c r="AL67" s="60">
        <f>SUM(AL65:AL66)</f>
        <v>185150</v>
      </c>
      <c r="AM67" s="13"/>
      <c r="AN67" s="60">
        <f>SUM(AN65:AN66)</f>
        <v>184317</v>
      </c>
      <c r="AO67" s="13"/>
      <c r="AP67" s="60">
        <f>SUM(AP65:AP66)</f>
        <v>183182</v>
      </c>
      <c r="AQ67" s="13"/>
    </row>
    <row r="68" spans="1:57" x14ac:dyDescent="0.25">
      <c r="A68" s="62"/>
      <c r="B68" s="33"/>
      <c r="C68" s="33"/>
      <c r="D68" s="129"/>
      <c r="E68" s="62"/>
      <c r="F68" s="60"/>
      <c r="G68" s="62"/>
      <c r="H68" s="33"/>
      <c r="I68" s="33"/>
      <c r="J68" s="33"/>
      <c r="K68" s="33"/>
      <c r="L68" s="129"/>
      <c r="M68" s="62"/>
      <c r="N68" s="60"/>
      <c r="O68" s="62"/>
      <c r="P68" s="60"/>
      <c r="Q68" s="62"/>
      <c r="R68" s="33"/>
      <c r="S68" s="33"/>
      <c r="T68" s="60"/>
      <c r="U68" s="62"/>
      <c r="V68" s="60"/>
      <c r="W68" s="62"/>
      <c r="X68" s="60"/>
      <c r="Y68" s="62"/>
      <c r="Z68" s="33"/>
      <c r="AA68" s="33"/>
      <c r="AB68" s="132"/>
      <c r="AC68" s="33"/>
      <c r="AD68" s="60"/>
      <c r="AE68" s="13"/>
      <c r="AF68" s="60"/>
      <c r="AG68" s="13"/>
      <c r="AH68" s="60"/>
      <c r="AI68" s="131"/>
      <c r="AJ68" s="60"/>
      <c r="AK68" s="13"/>
      <c r="AL68" s="60"/>
      <c r="AM68" s="13"/>
      <c r="AN68" s="60"/>
      <c r="AO68" s="13"/>
      <c r="AP68" s="60"/>
      <c r="AQ68" s="13"/>
    </row>
    <row r="69" spans="1:57" x14ac:dyDescent="0.25">
      <c r="A69" s="17" t="s">
        <v>99</v>
      </c>
      <c r="B69" s="60">
        <f>B65</f>
        <v>233581</v>
      </c>
      <c r="C69" s="33"/>
      <c r="D69" s="129">
        <f>D65</f>
        <v>230299</v>
      </c>
      <c r="E69" s="17"/>
      <c r="F69" s="60">
        <f>F65</f>
        <v>226952</v>
      </c>
      <c r="G69" s="17"/>
      <c r="H69" s="60">
        <f>H65</f>
        <v>225791</v>
      </c>
      <c r="I69" s="60"/>
      <c r="J69" s="60">
        <f>J65</f>
        <v>221291</v>
      </c>
      <c r="K69" s="33"/>
      <c r="L69" s="129">
        <f>L65</f>
        <v>219181</v>
      </c>
      <c r="M69" s="17"/>
      <c r="N69" s="60">
        <f>N65</f>
        <v>216795</v>
      </c>
      <c r="O69" s="17"/>
      <c r="P69" s="60">
        <f>P65</f>
        <v>214432</v>
      </c>
      <c r="Q69" s="17"/>
      <c r="R69" s="60">
        <f>R65</f>
        <v>212161</v>
      </c>
      <c r="S69" s="33"/>
      <c r="T69" s="60">
        <f>T65</f>
        <v>207114</v>
      </c>
      <c r="U69" s="17"/>
      <c r="V69" s="60">
        <f>V65</f>
        <v>203575</v>
      </c>
      <c r="W69" s="17"/>
      <c r="X69" s="60">
        <f>X65</f>
        <v>198626</v>
      </c>
      <c r="Y69" s="17"/>
      <c r="Z69" s="60">
        <f>Z65</f>
        <v>196468</v>
      </c>
      <c r="AA69" s="33"/>
      <c r="AB69" s="129">
        <f>AB65</f>
        <v>192105</v>
      </c>
      <c r="AC69" s="33"/>
      <c r="AD69" s="60">
        <f>AD65</f>
        <v>183014</v>
      </c>
      <c r="AE69" s="33"/>
      <c r="AF69" s="60">
        <f>AF65</f>
        <v>178927</v>
      </c>
      <c r="AG69" s="33"/>
      <c r="AH69" s="60">
        <f>AH65</f>
        <v>174280</v>
      </c>
      <c r="AI69" s="133"/>
      <c r="AJ69" s="60">
        <f>AJ65</f>
        <v>172554</v>
      </c>
      <c r="AK69" s="33"/>
      <c r="AL69" s="60">
        <f>AL65</f>
        <v>167105</v>
      </c>
      <c r="AM69" s="33"/>
      <c r="AN69" s="60">
        <f>AN65</f>
        <v>164958</v>
      </c>
      <c r="AO69" s="33"/>
      <c r="AP69" s="60">
        <f>AP65</f>
        <v>159843</v>
      </c>
      <c r="AQ69" s="33"/>
    </row>
    <row r="70" spans="1:57" x14ac:dyDescent="0.25">
      <c r="A70" s="58" t="s">
        <v>102</v>
      </c>
      <c r="B70" s="61">
        <f>J65</f>
        <v>221291</v>
      </c>
      <c r="C70" s="34"/>
      <c r="D70" s="109">
        <f>L65</f>
        <v>219181</v>
      </c>
      <c r="E70" s="58"/>
      <c r="F70" s="61">
        <f>N65</f>
        <v>216795</v>
      </c>
      <c r="G70" s="58"/>
      <c r="H70" s="61">
        <f>P65</f>
        <v>214432</v>
      </c>
      <c r="I70" s="61"/>
      <c r="J70" s="61">
        <f>R65</f>
        <v>212161</v>
      </c>
      <c r="K70" s="34"/>
      <c r="L70" s="109">
        <f>T65</f>
        <v>207114</v>
      </c>
      <c r="M70" s="58"/>
      <c r="N70" s="61">
        <f>V65</f>
        <v>203575</v>
      </c>
      <c r="O70" s="58"/>
      <c r="P70" s="61">
        <f>X65</f>
        <v>198626</v>
      </c>
      <c r="Q70" s="58"/>
      <c r="R70" s="61">
        <f>Z65</f>
        <v>196468</v>
      </c>
      <c r="S70" s="34"/>
      <c r="T70" s="61">
        <f>AB65</f>
        <v>192105</v>
      </c>
      <c r="U70" s="58"/>
      <c r="V70" s="61">
        <f>AD65</f>
        <v>183014</v>
      </c>
      <c r="W70" s="58"/>
      <c r="X70" s="61">
        <f>AF65</f>
        <v>178927</v>
      </c>
      <c r="Y70" s="58"/>
      <c r="Z70" s="61">
        <f>AH65</f>
        <v>174280</v>
      </c>
      <c r="AA70" s="34"/>
      <c r="AB70" s="109">
        <f>AJ65</f>
        <v>172554</v>
      </c>
      <c r="AC70" s="34"/>
      <c r="AD70" s="61">
        <f>AL65</f>
        <v>167105</v>
      </c>
      <c r="AE70" s="34"/>
      <c r="AF70" s="61">
        <f>AN65</f>
        <v>164958</v>
      </c>
      <c r="AG70" s="34"/>
      <c r="AH70" s="61">
        <f>AP65</f>
        <v>159843</v>
      </c>
      <c r="AI70" s="134"/>
      <c r="AJ70" s="61">
        <v>157638</v>
      </c>
      <c r="AK70" s="34"/>
      <c r="AL70" s="61">
        <v>157352</v>
      </c>
      <c r="AM70" s="34"/>
      <c r="AN70" s="61">
        <v>156738</v>
      </c>
      <c r="AO70" s="34"/>
      <c r="AP70" s="61">
        <v>155172</v>
      </c>
      <c r="AQ70" s="34"/>
    </row>
    <row r="71" spans="1:57" x14ac:dyDescent="0.25">
      <c r="A71" s="62" t="s">
        <v>103</v>
      </c>
      <c r="B71" s="60">
        <f>B69-B70</f>
        <v>12290</v>
      </c>
      <c r="C71" s="33"/>
      <c r="D71" s="129">
        <f>D69-D70</f>
        <v>11118</v>
      </c>
      <c r="E71" s="62"/>
      <c r="F71" s="60">
        <f>F69-F70</f>
        <v>10157</v>
      </c>
      <c r="G71" s="62"/>
      <c r="H71" s="60">
        <f>H69-H70</f>
        <v>11359</v>
      </c>
      <c r="I71" s="60"/>
      <c r="J71" s="60">
        <f>J69-J70</f>
        <v>9130</v>
      </c>
      <c r="K71" s="33"/>
      <c r="L71" s="129">
        <f>L69-L70</f>
        <v>12067</v>
      </c>
      <c r="M71" s="62"/>
      <c r="N71" s="60">
        <f>N69-N70</f>
        <v>13220</v>
      </c>
      <c r="O71" s="62"/>
      <c r="P71" s="60">
        <f>P69-P70</f>
        <v>15806</v>
      </c>
      <c r="Q71" s="62"/>
      <c r="R71" s="60">
        <f>R69-R70</f>
        <v>15693</v>
      </c>
      <c r="S71" s="33"/>
      <c r="T71" s="60">
        <f>T69-T70</f>
        <v>15009</v>
      </c>
      <c r="U71" s="62"/>
      <c r="V71" s="60">
        <f>V69-V70</f>
        <v>20561</v>
      </c>
      <c r="W71" s="62"/>
      <c r="X71" s="60">
        <f>X69-X70</f>
        <v>19699</v>
      </c>
      <c r="Y71" s="62"/>
      <c r="Z71" s="60">
        <f>Z69-Z70</f>
        <v>22188</v>
      </c>
      <c r="AA71" s="33"/>
      <c r="AB71" s="129">
        <f>AB69-AB70</f>
        <v>19551</v>
      </c>
      <c r="AC71" s="33"/>
      <c r="AD71" s="60">
        <f>AD69-AD70</f>
        <v>15909</v>
      </c>
      <c r="AE71" s="33"/>
      <c r="AF71" s="60">
        <f>AF69-AF70</f>
        <v>13969</v>
      </c>
      <c r="AG71" s="33"/>
      <c r="AH71" s="60">
        <f>AH69-AH70</f>
        <v>14437</v>
      </c>
      <c r="AI71" s="133"/>
      <c r="AJ71" s="60">
        <f>AJ69-AJ70</f>
        <v>14916</v>
      </c>
      <c r="AK71" s="33"/>
      <c r="AL71" s="60">
        <f>AL69-AL70</f>
        <v>9753</v>
      </c>
      <c r="AM71" s="33"/>
      <c r="AN71" s="60">
        <f>AN69-AN70</f>
        <v>8220</v>
      </c>
      <c r="AO71" s="33"/>
      <c r="AP71" s="60">
        <f>AP69-AP70</f>
        <v>4671</v>
      </c>
      <c r="AQ71" s="33"/>
    </row>
    <row r="72" spans="1:57" x14ac:dyDescent="0.25">
      <c r="A72" s="62"/>
      <c r="B72" s="33"/>
      <c r="C72" s="33"/>
      <c r="D72" s="129"/>
      <c r="E72" s="62"/>
      <c r="F72" s="60"/>
      <c r="G72" s="62"/>
      <c r="H72" s="33"/>
      <c r="I72" s="33"/>
      <c r="J72" s="33"/>
      <c r="K72" s="33"/>
      <c r="L72" s="129"/>
      <c r="M72" s="62"/>
      <c r="N72" s="60"/>
      <c r="O72" s="62"/>
      <c r="P72" s="60"/>
      <c r="Q72" s="62"/>
      <c r="R72" s="33"/>
      <c r="S72" s="33"/>
      <c r="T72" s="60"/>
      <c r="U72" s="62"/>
      <c r="V72" s="60"/>
      <c r="W72" s="62"/>
      <c r="X72" s="60"/>
      <c r="Y72" s="62"/>
      <c r="Z72" s="33"/>
      <c r="AA72" s="33"/>
      <c r="AB72" s="132"/>
      <c r="AC72" s="33"/>
      <c r="AD72" s="60"/>
      <c r="AE72" s="13"/>
      <c r="AF72" s="60"/>
      <c r="AG72" s="13"/>
      <c r="AH72" s="60"/>
      <c r="AI72" s="131"/>
      <c r="AJ72" s="60"/>
      <c r="AK72" s="13"/>
      <c r="AL72" s="60"/>
      <c r="AM72" s="13"/>
      <c r="AN72" s="60"/>
      <c r="AO72" s="13"/>
      <c r="AP72" s="60"/>
      <c r="AQ72" s="13"/>
    </row>
    <row r="73" spans="1:57" ht="30" x14ac:dyDescent="0.25">
      <c r="A73" s="62" t="s">
        <v>101</v>
      </c>
      <c r="B73" s="60">
        <f>B67</f>
        <v>233581</v>
      </c>
      <c r="C73" s="33"/>
      <c r="D73" s="129">
        <f>D67</f>
        <v>230299</v>
      </c>
      <c r="E73" s="62"/>
      <c r="F73" s="60">
        <f>F67</f>
        <v>226952</v>
      </c>
      <c r="G73" s="62"/>
      <c r="H73" s="60">
        <f>H67</f>
        <v>225791</v>
      </c>
      <c r="I73" s="60"/>
      <c r="J73" s="60">
        <f>J67</f>
        <v>221291</v>
      </c>
      <c r="K73" s="33"/>
      <c r="L73" s="129">
        <f>L67</f>
        <v>219181</v>
      </c>
      <c r="M73" s="62"/>
      <c r="N73" s="60">
        <f>N67</f>
        <v>220185</v>
      </c>
      <c r="O73" s="62"/>
      <c r="P73" s="60">
        <f>P67</f>
        <v>218630</v>
      </c>
      <c r="Q73" s="62"/>
      <c r="R73" s="60">
        <f>R67</f>
        <v>216354</v>
      </c>
      <c r="S73" s="33"/>
      <c r="T73" s="60">
        <f>T67</f>
        <v>211357</v>
      </c>
      <c r="U73" s="62"/>
      <c r="V73" s="60">
        <f>V67</f>
        <v>209854</v>
      </c>
      <c r="W73" s="62"/>
      <c r="X73" s="60">
        <f>X67</f>
        <v>207513</v>
      </c>
      <c r="Y73" s="62"/>
      <c r="Z73" s="60">
        <f>Z67</f>
        <v>205406</v>
      </c>
      <c r="AA73" s="33"/>
      <c r="AB73" s="129">
        <f>AB67</f>
        <v>201399</v>
      </c>
      <c r="AC73" s="33"/>
      <c r="AD73" s="60">
        <f>AD67</f>
        <v>196445</v>
      </c>
      <c r="AE73" s="13"/>
      <c r="AF73" s="60">
        <f>AF67</f>
        <v>193474</v>
      </c>
      <c r="AG73" s="13"/>
      <c r="AH73" s="60">
        <f>AH67</f>
        <v>188912</v>
      </c>
      <c r="AI73" s="131"/>
      <c r="AJ73" s="60">
        <f>AJ67</f>
        <v>187137</v>
      </c>
      <c r="AK73" s="13"/>
      <c r="AL73" s="60">
        <f>AL67</f>
        <v>185150</v>
      </c>
      <c r="AM73" s="13"/>
      <c r="AN73" s="60">
        <f>AN67</f>
        <v>184317</v>
      </c>
      <c r="AO73" s="13"/>
      <c r="AP73" s="60">
        <f>AP67</f>
        <v>183182</v>
      </c>
      <c r="AQ73" s="13"/>
    </row>
    <row r="74" spans="1:57" ht="30" x14ac:dyDescent="0.25">
      <c r="A74" s="58" t="s">
        <v>104</v>
      </c>
      <c r="B74" s="61">
        <f>J67</f>
        <v>221291</v>
      </c>
      <c r="C74" s="34"/>
      <c r="D74" s="109">
        <f>L67</f>
        <v>219181</v>
      </c>
      <c r="E74" s="58"/>
      <c r="F74" s="61">
        <f>N67</f>
        <v>220185</v>
      </c>
      <c r="G74" s="58"/>
      <c r="H74" s="61">
        <f>P67</f>
        <v>218630</v>
      </c>
      <c r="I74" s="61"/>
      <c r="J74" s="61">
        <f>R67</f>
        <v>216354</v>
      </c>
      <c r="K74" s="34"/>
      <c r="L74" s="109">
        <f>T67</f>
        <v>211357</v>
      </c>
      <c r="M74" s="58"/>
      <c r="N74" s="61">
        <f>V67</f>
        <v>209854</v>
      </c>
      <c r="O74" s="58"/>
      <c r="P74" s="61">
        <f>X67</f>
        <v>207513</v>
      </c>
      <c r="Q74" s="58"/>
      <c r="R74" s="61">
        <f>Z67</f>
        <v>205406</v>
      </c>
      <c r="S74" s="34"/>
      <c r="T74" s="61">
        <f>AB67</f>
        <v>201399</v>
      </c>
      <c r="U74" s="58"/>
      <c r="V74" s="61">
        <f>AD67</f>
        <v>196445</v>
      </c>
      <c r="W74" s="58"/>
      <c r="X74" s="61">
        <f>AF67</f>
        <v>193474</v>
      </c>
      <c r="Y74" s="58"/>
      <c r="Z74" s="61">
        <f>AH67</f>
        <v>188912</v>
      </c>
      <c r="AA74" s="34"/>
      <c r="AB74" s="109">
        <f>AJ67</f>
        <v>187137</v>
      </c>
      <c r="AC74" s="34"/>
      <c r="AD74" s="61">
        <f>AL67</f>
        <v>185150</v>
      </c>
      <c r="AE74" s="12"/>
      <c r="AF74" s="61">
        <f>AN67</f>
        <v>184317</v>
      </c>
      <c r="AG74" s="12"/>
      <c r="AH74" s="61">
        <f>AP67</f>
        <v>183182</v>
      </c>
      <c r="AI74" s="135"/>
      <c r="AJ74" s="61">
        <v>182332</v>
      </c>
      <c r="AK74" s="61"/>
      <c r="AL74" s="61">
        <v>183042</v>
      </c>
      <c r="AM74" s="61"/>
      <c r="AN74" s="61">
        <v>183438</v>
      </c>
      <c r="AO74" s="61"/>
      <c r="AP74" s="61">
        <v>183939</v>
      </c>
      <c r="AQ74" s="61"/>
    </row>
    <row r="75" spans="1:57" x14ac:dyDescent="0.25">
      <c r="A75" s="62" t="s">
        <v>105</v>
      </c>
      <c r="B75" s="60">
        <f>B73-B74</f>
        <v>12290</v>
      </c>
      <c r="C75"/>
      <c r="D75" s="129">
        <f>D73-D74</f>
        <v>11118</v>
      </c>
      <c r="E75" s="62"/>
      <c r="F75" s="60">
        <f>F73-F74</f>
        <v>6767</v>
      </c>
      <c r="G75" s="62"/>
      <c r="H75" s="60">
        <f>H73-H74</f>
        <v>7161</v>
      </c>
      <c r="I75" s="60"/>
      <c r="J75" s="60">
        <f>J73-J74</f>
        <v>4937</v>
      </c>
      <c r="K75"/>
      <c r="L75" s="129">
        <f>L73-L74</f>
        <v>7824</v>
      </c>
      <c r="M75" s="62"/>
      <c r="N75" s="60">
        <f>N73-N74</f>
        <v>10331</v>
      </c>
      <c r="O75" s="62"/>
      <c r="P75" s="60">
        <f>P73-P74</f>
        <v>11117</v>
      </c>
      <c r="Q75" s="62"/>
      <c r="R75" s="60">
        <f>R73-R74</f>
        <v>10948</v>
      </c>
      <c r="S75"/>
      <c r="T75" s="60">
        <f>T73-T74</f>
        <v>9958</v>
      </c>
      <c r="U75" s="62"/>
      <c r="V75" s="60">
        <f>V73-V74</f>
        <v>13409</v>
      </c>
      <c r="W75" s="62"/>
      <c r="X75" s="60">
        <f>X73-X74</f>
        <v>14039</v>
      </c>
      <c r="Y75" s="62"/>
      <c r="Z75" s="60">
        <f>Z73-Z74</f>
        <v>16494</v>
      </c>
      <c r="AA75"/>
      <c r="AB75" s="129">
        <f>AB73-AB74</f>
        <v>14262</v>
      </c>
      <c r="AC75"/>
      <c r="AD75" s="60">
        <f>AD73-AD74</f>
        <v>11295</v>
      </c>
      <c r="AE75" s="13"/>
      <c r="AF75" s="60">
        <f>AF73-AF74</f>
        <v>9157</v>
      </c>
      <c r="AG75" s="13"/>
      <c r="AH75" s="60">
        <f>AH73-AH74</f>
        <v>5730</v>
      </c>
      <c r="AI75" s="131"/>
      <c r="AJ75" s="60">
        <f>AJ73-AJ74</f>
        <v>4805</v>
      </c>
      <c r="AK75" s="60"/>
      <c r="AL75" s="60">
        <f>AL73-AL74</f>
        <v>2108</v>
      </c>
      <c r="AM75" s="60"/>
      <c r="AN75" s="60">
        <f>AN73-AN74</f>
        <v>879</v>
      </c>
      <c r="AO75" s="60"/>
      <c r="AP75" s="60">
        <f>AP73-AP74</f>
        <v>-757</v>
      </c>
      <c r="AQ75" s="60"/>
    </row>
    <row r="76" spans="1:57" x14ac:dyDescent="0.25">
      <c r="A76" s="62"/>
      <c r="B76" s="62"/>
      <c r="C76" s="62"/>
      <c r="D76" s="129"/>
      <c r="E76" s="62"/>
      <c r="F76" s="60"/>
      <c r="G76" s="62"/>
      <c r="H76" s="62"/>
      <c r="I76" s="62"/>
      <c r="J76" s="62"/>
      <c r="K76" s="62"/>
      <c r="L76" s="129"/>
      <c r="M76" s="62"/>
      <c r="N76" s="60"/>
      <c r="O76" s="62"/>
      <c r="P76" s="60"/>
      <c r="Q76" s="62"/>
      <c r="R76" s="62"/>
      <c r="S76" s="62"/>
      <c r="T76" s="60"/>
      <c r="U76" s="62"/>
      <c r="V76" s="60"/>
      <c r="W76" s="62"/>
      <c r="X76" s="60"/>
      <c r="Y76" s="62"/>
      <c r="Z76" s="62"/>
      <c r="AA76" s="62"/>
      <c r="AB76" s="136"/>
      <c r="AC76" s="62"/>
      <c r="AD76" s="60"/>
      <c r="AE76" s="13"/>
      <c r="AF76" s="60"/>
      <c r="AG76" s="13"/>
      <c r="AH76" s="60"/>
      <c r="AI76" s="131"/>
      <c r="AJ76" s="60"/>
      <c r="AK76" s="60"/>
      <c r="AL76" s="60"/>
      <c r="AM76" s="60"/>
      <c r="AN76" s="60"/>
      <c r="AO76" s="60"/>
      <c r="AP76" s="60"/>
      <c r="AQ76" s="60"/>
    </row>
    <row r="77" spans="1:57" ht="15.75" thickBot="1" x14ac:dyDescent="0.3">
      <c r="A77" s="64" t="s">
        <v>106</v>
      </c>
      <c r="B77" s="43">
        <f>B71/B70</f>
        <v>5.5537730861173751E-2</v>
      </c>
      <c r="C77" s="54"/>
      <c r="D77" s="137">
        <f>D71/D70</f>
        <v>5.072519972077872E-2</v>
      </c>
      <c r="E77" s="64"/>
      <c r="F77" s="43">
        <f>F71/F70</f>
        <v>4.6850711501649024E-2</v>
      </c>
      <c r="G77" s="64"/>
      <c r="H77" s="43">
        <f>H71/H70</f>
        <v>5.2972504103865094E-2</v>
      </c>
      <c r="I77" s="43"/>
      <c r="J77" s="43">
        <f>J71/J70</f>
        <v>4.3033356743228023E-2</v>
      </c>
      <c r="K77" s="54"/>
      <c r="L77" s="137">
        <f>L71/L70</f>
        <v>5.8262599341425497E-2</v>
      </c>
      <c r="M77" s="64"/>
      <c r="N77" s="43">
        <f>N71/N70</f>
        <v>6.4939211592779073E-2</v>
      </c>
      <c r="O77" s="64"/>
      <c r="P77" s="43">
        <f>P71/P70</f>
        <v>7.9576691873168667E-2</v>
      </c>
      <c r="Q77" s="64"/>
      <c r="R77" s="43">
        <f>R71/R70</f>
        <v>7.9875603151658287E-2</v>
      </c>
      <c r="S77" s="54"/>
      <c r="T77" s="43">
        <f>T71/T70</f>
        <v>7.8129148122120712E-2</v>
      </c>
      <c r="U77" s="64"/>
      <c r="V77" s="43">
        <f>V71/V70</f>
        <v>0.11234659643524539</v>
      </c>
      <c r="W77" s="64"/>
      <c r="X77" s="43">
        <f>X71/X70</f>
        <v>0.11009517848060942</v>
      </c>
      <c r="Y77" s="64"/>
      <c r="Z77" s="43">
        <f>Z71/Z70</f>
        <v>0.12731237089740646</v>
      </c>
      <c r="AA77" s="54"/>
      <c r="AB77" s="137">
        <f>AB71/AB70</f>
        <v>0.11330366146249869</v>
      </c>
      <c r="AC77" s="54"/>
      <c r="AD77" s="43">
        <f>AD71/AD70</f>
        <v>9.5203614493881095E-2</v>
      </c>
      <c r="AE77" s="54"/>
      <c r="AF77" s="43">
        <f>AF71/AF70</f>
        <v>8.468216151990203E-2</v>
      </c>
      <c r="AG77" s="54"/>
      <c r="AH77" s="43">
        <f>AH71/AH70</f>
        <v>9.0319876378696595E-2</v>
      </c>
      <c r="AI77" s="138"/>
      <c r="AJ77" s="43">
        <f>AJ71/AJ70</f>
        <v>9.4621855136451868E-2</v>
      </c>
      <c r="AK77" s="54"/>
      <c r="AL77" s="43">
        <f>AL71/AL70</f>
        <v>6.198205297676547E-2</v>
      </c>
      <c r="AM77" s="54"/>
      <c r="AN77" s="43">
        <f>AN71/AN70</f>
        <v>5.2444206255024307E-2</v>
      </c>
      <c r="AO77" s="54"/>
      <c r="AP77" s="43">
        <f>AP71/AP70</f>
        <v>3.010208027221406E-2</v>
      </c>
      <c r="AQ77" s="54"/>
    </row>
    <row r="78" spans="1:57" x14ac:dyDescent="0.25">
      <c r="A78" s="72"/>
      <c r="B78" s="62"/>
      <c r="C78" s="62"/>
      <c r="D78" s="129"/>
      <c r="E78" s="68"/>
      <c r="F78" s="60"/>
      <c r="G78" s="68"/>
      <c r="H78" s="62"/>
      <c r="I78" s="62"/>
      <c r="J78" s="62"/>
      <c r="K78" s="62"/>
      <c r="L78" s="129"/>
      <c r="M78" s="68"/>
      <c r="N78" s="60"/>
      <c r="O78" s="68"/>
      <c r="P78" s="60"/>
      <c r="Q78" s="68"/>
      <c r="R78" s="62"/>
      <c r="S78" s="62"/>
      <c r="T78" s="60"/>
      <c r="U78" s="68"/>
      <c r="V78" s="60"/>
      <c r="W78" s="68"/>
      <c r="X78" s="60"/>
      <c r="Y78" s="68"/>
      <c r="Z78" s="62"/>
      <c r="AA78" s="62"/>
      <c r="AB78" s="136"/>
      <c r="AC78" s="62"/>
      <c r="AD78" s="60"/>
      <c r="AE78" s="13"/>
      <c r="AF78" s="60"/>
      <c r="AG78" s="13"/>
      <c r="AH78" s="60"/>
      <c r="AI78" s="131"/>
      <c r="AJ78" s="60"/>
      <c r="AK78" s="60"/>
      <c r="AL78" s="60"/>
      <c r="AM78" s="60"/>
      <c r="AN78" s="60"/>
      <c r="AO78" s="60"/>
      <c r="AP78" s="60"/>
      <c r="AQ78" s="60"/>
    </row>
    <row r="79" spans="1:57" ht="15.75" customHeight="1" thickBot="1" x14ac:dyDescent="0.3">
      <c r="A79" s="64" t="s">
        <v>107</v>
      </c>
      <c r="B79" s="43">
        <f>B75/B74</f>
        <v>5.5537730861173751E-2</v>
      </c>
      <c r="C79" s="54"/>
      <c r="D79" s="137">
        <f>D75/D74</f>
        <v>5.072519972077872E-2</v>
      </c>
      <c r="E79" s="64"/>
      <c r="F79" s="43">
        <f>F75/F74</f>
        <v>3.073324704225992E-2</v>
      </c>
      <c r="G79" s="64"/>
      <c r="H79" s="43">
        <f>H75/H74</f>
        <v>3.2753967890957324E-2</v>
      </c>
      <c r="I79" s="43"/>
      <c r="J79" s="43">
        <f>J75/J74</f>
        <v>2.2819083539014764E-2</v>
      </c>
      <c r="K79" s="54"/>
      <c r="L79" s="137">
        <f>L75/L74</f>
        <v>3.7017936477145304E-2</v>
      </c>
      <c r="M79" s="64"/>
      <c r="N79" s="43">
        <f>N75/N74</f>
        <v>4.9229464294223604E-2</v>
      </c>
      <c r="O79" s="64"/>
      <c r="P79" s="43">
        <f>P75/P74</f>
        <v>5.3572547262099243E-2</v>
      </c>
      <c r="Q79" s="64"/>
      <c r="R79" s="43">
        <f>R75/R74</f>
        <v>5.3299319396707012E-2</v>
      </c>
      <c r="S79" s="54"/>
      <c r="T79" s="43">
        <f>T75/T74</f>
        <v>4.9444138252920822E-2</v>
      </c>
      <c r="U79" s="64"/>
      <c r="V79" s="43">
        <f>V75/V74</f>
        <v>6.8258291124742299E-2</v>
      </c>
      <c r="W79" s="64"/>
      <c r="X79" s="43">
        <f>X75/X74</f>
        <v>7.256272160600391E-2</v>
      </c>
      <c r="Y79" s="64"/>
      <c r="Z79" s="43">
        <f>Z75/Z74</f>
        <v>8.7310493774879303E-2</v>
      </c>
      <c r="AA79" s="54"/>
      <c r="AB79" s="137">
        <f>AB75/AB74</f>
        <v>7.6211545552189036E-2</v>
      </c>
      <c r="AC79" s="54"/>
      <c r="AD79" s="43">
        <f>AD75/AD74</f>
        <v>6.1004590872265729E-2</v>
      </c>
      <c r="AE79" s="42"/>
      <c r="AF79" s="43">
        <f>AF75/AF74</f>
        <v>4.9680713119245649E-2</v>
      </c>
      <c r="AG79" s="42"/>
      <c r="AH79" s="43">
        <f>AH75/AH74</f>
        <v>3.1280365974822852E-2</v>
      </c>
      <c r="AI79" s="139"/>
      <c r="AJ79" s="43">
        <f>AJ75/AJ74</f>
        <v>2.6353026347541848E-2</v>
      </c>
      <c r="AK79" s="43"/>
      <c r="AL79" s="43">
        <f>AL75/AL74</f>
        <v>1.1516482555916129E-2</v>
      </c>
      <c r="AM79" s="43"/>
      <c r="AN79" s="43">
        <f>AN75/AN74</f>
        <v>4.7918097667876882E-3</v>
      </c>
      <c r="AO79" s="43"/>
      <c r="AP79" s="43">
        <f>AP75/AP74</f>
        <v>-4.1154948107796603E-3</v>
      </c>
      <c r="AQ79" s="43"/>
    </row>
    <row r="80" spans="1:57" x14ac:dyDescent="0.25">
      <c r="B80" s="17"/>
      <c r="C80" s="17"/>
      <c r="D80" s="178"/>
      <c r="F80" s="7"/>
      <c r="L80" s="178"/>
      <c r="N80" s="7"/>
      <c r="P80" s="7"/>
      <c r="T80" s="7"/>
      <c r="V80" s="7"/>
      <c r="X80" s="7"/>
      <c r="AB80" s="105"/>
      <c r="AD80" s="7"/>
      <c r="AE80" s="7"/>
      <c r="AF80" s="7"/>
      <c r="AG80" s="7"/>
      <c r="AH80" s="7"/>
      <c r="AI80" s="119"/>
      <c r="AJ80" s="7"/>
      <c r="AK80" s="7"/>
      <c r="AL80" s="7"/>
      <c r="AM80" s="7"/>
      <c r="AN80" s="7"/>
      <c r="AO80" s="7"/>
      <c r="AP80" s="7"/>
      <c r="AQ80" s="7"/>
    </row>
    <row r="81" spans="1:60" x14ac:dyDescent="0.25">
      <c r="B81" s="17"/>
      <c r="C81" s="17"/>
      <c r="D81" s="178"/>
      <c r="F81" s="7"/>
      <c r="L81" s="178"/>
      <c r="N81" s="7"/>
      <c r="P81" s="7"/>
      <c r="T81" s="7"/>
      <c r="V81" s="7"/>
      <c r="X81" s="7"/>
      <c r="AB81" s="105"/>
      <c r="AD81" s="7"/>
      <c r="AE81" s="7"/>
      <c r="AF81" s="7"/>
      <c r="AG81" s="7"/>
      <c r="AH81" s="7"/>
      <c r="AI81" s="119"/>
      <c r="AJ81" s="7"/>
      <c r="AK81" s="7"/>
      <c r="AL81" s="7"/>
      <c r="AM81" s="7"/>
      <c r="AN81" s="7"/>
      <c r="AO81" s="7"/>
      <c r="AP81" s="7"/>
      <c r="AQ81" s="7"/>
    </row>
    <row r="82" spans="1:60" x14ac:dyDescent="0.25">
      <c r="A82" s="17" t="s">
        <v>108</v>
      </c>
      <c r="B82" s="60">
        <v>141999</v>
      </c>
      <c r="C82" s="60"/>
      <c r="D82" s="129">
        <v>137664</v>
      </c>
      <c r="E82" s="17"/>
      <c r="F82" s="60">
        <v>132283</v>
      </c>
      <c r="G82" s="17"/>
      <c r="H82" s="60">
        <v>136209</v>
      </c>
      <c r="I82" s="60"/>
      <c r="J82" s="60">
        <v>128108</v>
      </c>
      <c r="K82" s="60"/>
      <c r="L82" s="129">
        <v>118170</v>
      </c>
      <c r="M82" s="17"/>
      <c r="N82" s="60">
        <v>113248</v>
      </c>
      <c r="O82" s="17"/>
      <c r="P82" s="60">
        <v>111170</v>
      </c>
      <c r="Q82" s="17"/>
      <c r="R82" s="60">
        <v>105545</v>
      </c>
      <c r="S82" s="60"/>
      <c r="T82" s="60">
        <v>103106</v>
      </c>
      <c r="U82" s="17"/>
      <c r="V82" s="60">
        <v>102181</v>
      </c>
      <c r="W82" s="17"/>
      <c r="X82" s="60">
        <v>102693</v>
      </c>
      <c r="Y82" s="17"/>
      <c r="Z82" s="60">
        <v>98991</v>
      </c>
      <c r="AA82" s="60"/>
      <c r="AB82" s="129">
        <v>98814</v>
      </c>
      <c r="AC82" s="60"/>
      <c r="AD82" s="60">
        <v>100320</v>
      </c>
      <c r="AE82" s="60"/>
      <c r="AF82" s="60">
        <v>105824</v>
      </c>
      <c r="AG82" s="60"/>
      <c r="AH82" s="60">
        <v>99626</v>
      </c>
      <c r="AI82" s="128"/>
      <c r="AJ82" s="60">
        <v>95384</v>
      </c>
      <c r="AK82" s="60"/>
      <c r="AL82" s="60">
        <v>98602</v>
      </c>
      <c r="AM82" s="60"/>
      <c r="AN82" s="60">
        <v>99758</v>
      </c>
      <c r="AO82" s="60"/>
      <c r="AP82" s="60">
        <v>93125</v>
      </c>
      <c r="AQ82" s="60"/>
      <c r="AR82" s="60"/>
      <c r="AS82" s="60"/>
      <c r="AT82" s="60"/>
      <c r="AU82" s="60"/>
      <c r="AV82" s="60"/>
      <c r="AW82" s="60"/>
      <c r="AX82" s="60"/>
      <c r="AY82" s="60"/>
      <c r="AZ82" s="60"/>
      <c r="BA82" s="60"/>
      <c r="BB82" s="60"/>
      <c r="BC82" s="60"/>
      <c r="BD82" s="60"/>
      <c r="BE82" s="60"/>
      <c r="BF82" s="60"/>
      <c r="BG82" s="60"/>
      <c r="BH82" s="60"/>
    </row>
    <row r="83" spans="1:60" ht="15" customHeight="1" x14ac:dyDescent="0.25">
      <c r="A83" s="34" t="s">
        <v>109</v>
      </c>
      <c r="B83" s="61">
        <f>J82</f>
        <v>128108</v>
      </c>
      <c r="C83" s="34"/>
      <c r="D83" s="109">
        <f>L82</f>
        <v>118170</v>
      </c>
      <c r="E83" s="34"/>
      <c r="F83" s="61">
        <f>N82</f>
        <v>113248</v>
      </c>
      <c r="G83" s="34"/>
      <c r="H83" s="61">
        <f>P82</f>
        <v>111170</v>
      </c>
      <c r="I83" s="61"/>
      <c r="J83" s="61">
        <f>R82</f>
        <v>105545</v>
      </c>
      <c r="K83" s="34"/>
      <c r="L83" s="109">
        <f>T82</f>
        <v>103106</v>
      </c>
      <c r="M83" s="34"/>
      <c r="N83" s="61">
        <f>V82</f>
        <v>102181</v>
      </c>
      <c r="O83" s="34"/>
      <c r="P83" s="61">
        <f>X82</f>
        <v>102693</v>
      </c>
      <c r="Q83" s="34"/>
      <c r="R83" s="61">
        <f>Z82</f>
        <v>98991</v>
      </c>
      <c r="S83" s="34"/>
      <c r="T83" s="61">
        <f>AB82</f>
        <v>98814</v>
      </c>
      <c r="U83" s="34"/>
      <c r="V83" s="61">
        <f>AD82</f>
        <v>100320</v>
      </c>
      <c r="W83" s="34"/>
      <c r="X83" s="61">
        <f>AF82</f>
        <v>105824</v>
      </c>
      <c r="Y83" s="34"/>
      <c r="Z83" s="61">
        <f>AH82</f>
        <v>99626</v>
      </c>
      <c r="AA83" s="34"/>
      <c r="AB83" s="109">
        <f>AJ82</f>
        <v>95384</v>
      </c>
      <c r="AC83" s="34"/>
      <c r="AD83" s="61">
        <f>AL82</f>
        <v>98602</v>
      </c>
      <c r="AE83" s="61"/>
      <c r="AF83" s="61">
        <f>AN82</f>
        <v>99758</v>
      </c>
      <c r="AG83" s="61"/>
      <c r="AH83" s="61">
        <f>AP82</f>
        <v>93125</v>
      </c>
      <c r="AI83" s="140"/>
      <c r="AJ83" s="61">
        <v>85914</v>
      </c>
      <c r="AK83" s="61"/>
      <c r="AL83" s="61">
        <v>87240</v>
      </c>
      <c r="AM83" s="61"/>
      <c r="AN83" s="61">
        <v>89633</v>
      </c>
      <c r="AO83" s="61"/>
      <c r="AP83" s="61">
        <v>87023</v>
      </c>
      <c r="AQ83" s="61"/>
      <c r="AR83" s="60"/>
      <c r="AS83" s="60"/>
      <c r="AT83" s="60"/>
      <c r="AU83" s="60"/>
      <c r="AV83" s="60"/>
      <c r="AW83" s="60"/>
      <c r="AX83" s="60"/>
      <c r="AY83" s="60"/>
      <c r="AZ83" s="60"/>
      <c r="BA83" s="60"/>
      <c r="BB83" s="60"/>
      <c r="BC83" s="60"/>
      <c r="BD83" s="60"/>
      <c r="BE83" s="60"/>
      <c r="BF83" s="60"/>
      <c r="BG83" s="60"/>
      <c r="BH83" s="60"/>
    </row>
    <row r="84" spans="1:60" x14ac:dyDescent="0.25">
      <c r="A84" s="17" t="s">
        <v>110</v>
      </c>
      <c r="B84" s="60">
        <f>B82-B83</f>
        <v>13891</v>
      </c>
      <c r="C84" s="60"/>
      <c r="D84" s="129">
        <f>D82-D83</f>
        <v>19494</v>
      </c>
      <c r="E84" s="17"/>
      <c r="F84" s="60">
        <f>F82-F83</f>
        <v>19035</v>
      </c>
      <c r="G84" s="17"/>
      <c r="H84" s="60">
        <f>H82-H83</f>
        <v>25039</v>
      </c>
      <c r="I84" s="60"/>
      <c r="J84" s="60">
        <f>J82-J83</f>
        <v>22563</v>
      </c>
      <c r="K84" s="60"/>
      <c r="L84" s="129">
        <f>L82-L83</f>
        <v>15064</v>
      </c>
      <c r="M84" s="17"/>
      <c r="N84" s="60">
        <f>N82-N83</f>
        <v>11067</v>
      </c>
      <c r="O84" s="17"/>
      <c r="P84" s="60">
        <f>P82-P83</f>
        <v>8477</v>
      </c>
      <c r="Q84" s="17"/>
      <c r="R84" s="60">
        <f>R82-R83</f>
        <v>6554</v>
      </c>
      <c r="S84" s="60"/>
      <c r="T84" s="60">
        <f>T82-T83</f>
        <v>4292</v>
      </c>
      <c r="U84" s="17"/>
      <c r="V84" s="60">
        <f>V82-V83</f>
        <v>1861</v>
      </c>
      <c r="W84" s="17"/>
      <c r="X84" s="60">
        <f>X82-X83</f>
        <v>-3131</v>
      </c>
      <c r="Y84" s="17"/>
      <c r="Z84" s="60">
        <f>Z82-Z83</f>
        <v>-635</v>
      </c>
      <c r="AA84" s="60"/>
      <c r="AB84" s="129">
        <f>AB82-AB83</f>
        <v>3430</v>
      </c>
      <c r="AC84" s="60"/>
      <c r="AD84" s="60">
        <f>AD82-AD83</f>
        <v>1718</v>
      </c>
      <c r="AE84" s="60"/>
      <c r="AF84" s="60">
        <f>AF82-AF83</f>
        <v>6066</v>
      </c>
      <c r="AG84" s="60"/>
      <c r="AH84" s="60">
        <f>AH82-AH83</f>
        <v>6501</v>
      </c>
      <c r="AI84" s="128"/>
      <c r="AJ84" s="60">
        <f>AJ82-AJ83</f>
        <v>9470</v>
      </c>
      <c r="AK84" s="60"/>
      <c r="AL84" s="60">
        <f>AL82-AL83</f>
        <v>11362</v>
      </c>
      <c r="AM84" s="60"/>
      <c r="AN84" s="60">
        <f>AN82-AN83</f>
        <v>10125</v>
      </c>
      <c r="AO84" s="60"/>
      <c r="AP84" s="60">
        <f>AP82-AP83</f>
        <v>6102</v>
      </c>
      <c r="AQ84" s="60"/>
      <c r="AR84" s="60"/>
      <c r="AS84" s="60"/>
      <c r="AT84" s="60"/>
      <c r="AU84" s="60"/>
      <c r="AV84" s="60"/>
      <c r="AW84" s="60"/>
      <c r="AX84" s="60"/>
      <c r="AY84" s="60"/>
      <c r="AZ84" s="60"/>
      <c r="BA84" s="60"/>
      <c r="BB84" s="60"/>
      <c r="BC84" s="60"/>
      <c r="BD84" s="60"/>
      <c r="BE84" s="60"/>
      <c r="BF84" s="60"/>
      <c r="BG84" s="60"/>
      <c r="BH84" s="60"/>
    </row>
    <row r="85" spans="1:60" x14ac:dyDescent="0.25">
      <c r="A85" s="17"/>
      <c r="B85" s="60"/>
      <c r="C85" s="60"/>
      <c r="D85" s="129"/>
      <c r="E85" s="17"/>
      <c r="F85" s="60"/>
      <c r="G85" s="17"/>
      <c r="H85" s="60"/>
      <c r="I85" s="60"/>
      <c r="J85" s="60"/>
      <c r="K85" s="60"/>
      <c r="L85" s="129"/>
      <c r="M85" s="17"/>
      <c r="N85" s="60"/>
      <c r="O85" s="17"/>
      <c r="P85" s="60"/>
      <c r="Q85" s="17"/>
      <c r="R85" s="60"/>
      <c r="S85" s="60"/>
      <c r="T85" s="60"/>
      <c r="U85" s="17"/>
      <c r="V85" s="60"/>
      <c r="W85" s="17"/>
      <c r="X85" s="60"/>
      <c r="Y85" s="17"/>
      <c r="Z85" s="60"/>
      <c r="AA85" s="60"/>
      <c r="AB85" s="129"/>
      <c r="AC85" s="60"/>
      <c r="AD85" s="60"/>
      <c r="AE85" s="60"/>
      <c r="AF85" s="60"/>
      <c r="AG85" s="60"/>
      <c r="AH85" s="60"/>
      <c r="AI85" s="128"/>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row>
    <row r="86" spans="1:60" ht="15.75" thickBot="1" x14ac:dyDescent="0.3">
      <c r="A86" s="64" t="s">
        <v>20</v>
      </c>
      <c r="B86" s="43">
        <f>B84/B83</f>
        <v>0.10843194804383802</v>
      </c>
      <c r="C86" s="54"/>
      <c r="D86" s="137">
        <f>D84/D83</f>
        <v>0.16496572734196496</v>
      </c>
      <c r="E86" s="64"/>
      <c r="F86" s="43">
        <f>F84/F83</f>
        <v>0.168082438541961</v>
      </c>
      <c r="G86" s="64"/>
      <c r="H86" s="43">
        <f>H84/H83</f>
        <v>0.2252316272375641</v>
      </c>
      <c r="I86" s="43"/>
      <c r="J86" s="43">
        <f>J84/J83</f>
        <v>0.21377611445355063</v>
      </c>
      <c r="K86" s="54"/>
      <c r="L86" s="137">
        <f>L84/L83</f>
        <v>0.14610206971466258</v>
      </c>
      <c r="M86" s="64"/>
      <c r="N86" s="43">
        <f>N84/N83</f>
        <v>0.10830780673510731</v>
      </c>
      <c r="O86" s="64"/>
      <c r="P86" s="43">
        <f>P84/P83</f>
        <v>8.2547009046380959E-2</v>
      </c>
      <c r="Q86" s="64"/>
      <c r="R86" s="43">
        <f>R84/R83</f>
        <v>6.6208039114666994E-2</v>
      </c>
      <c r="S86" s="54"/>
      <c r="T86" s="43">
        <f>T84/T83</f>
        <v>4.3435140769526585E-2</v>
      </c>
      <c r="U86" s="64"/>
      <c r="V86" s="43">
        <f>V84/V83</f>
        <v>1.8550637958532696E-2</v>
      </c>
      <c r="W86" s="64"/>
      <c r="X86" s="43">
        <f>X84/X83</f>
        <v>-2.958686120350771E-2</v>
      </c>
      <c r="Y86" s="64"/>
      <c r="Z86" s="43">
        <f>Z84/Z83</f>
        <v>-6.3738381546985723E-3</v>
      </c>
      <c r="AA86" s="54"/>
      <c r="AB86" s="137">
        <f>AB84/AB83</f>
        <v>3.5959909418770447E-2</v>
      </c>
      <c r="AC86" s="54"/>
      <c r="AD86" s="43">
        <f>AD84/AD83</f>
        <v>1.7423581671771365E-2</v>
      </c>
      <c r="AE86" s="54"/>
      <c r="AF86" s="43">
        <f>AF84/AF83</f>
        <v>6.0807153311012649E-2</v>
      </c>
      <c r="AG86" s="54"/>
      <c r="AH86" s="43">
        <f>AH84/AH83</f>
        <v>6.9809395973154359E-2</v>
      </c>
      <c r="AI86" s="138"/>
      <c r="AJ86" s="43">
        <f>AJ84/AJ83</f>
        <v>0.11022650557534279</v>
      </c>
      <c r="AK86" s="54"/>
      <c r="AL86" s="43">
        <f>AL84/AL83</f>
        <v>0.13023842274186154</v>
      </c>
      <c r="AM86" s="54"/>
      <c r="AN86" s="43">
        <f>AN84/AN83</f>
        <v>0.1129606283400087</v>
      </c>
      <c r="AO86" s="54"/>
      <c r="AP86" s="43">
        <f>AP84/AP83</f>
        <v>7.0119393723498388E-2</v>
      </c>
      <c r="AQ86" s="54"/>
    </row>
    <row r="87" spans="1:60" x14ac:dyDescent="0.25">
      <c r="B87" s="7"/>
      <c r="C87" s="17"/>
      <c r="D87" s="178"/>
      <c r="F87" s="7"/>
      <c r="H87" s="7"/>
      <c r="I87" s="7"/>
      <c r="J87" s="7"/>
      <c r="L87" s="178"/>
      <c r="N87" s="7"/>
      <c r="P87" s="7"/>
      <c r="R87" s="7"/>
      <c r="T87" s="7"/>
      <c r="V87" s="7"/>
      <c r="X87" s="7"/>
      <c r="Z87" s="7"/>
      <c r="AB87" s="105"/>
      <c r="AD87" s="7"/>
      <c r="AE87" s="7"/>
      <c r="AF87" s="7"/>
      <c r="AG87" s="7"/>
      <c r="AH87" s="7"/>
      <c r="AI87" s="119"/>
      <c r="AJ87" s="7"/>
      <c r="AK87" s="7"/>
      <c r="AL87" s="7"/>
      <c r="AM87" s="7"/>
      <c r="AN87" s="7"/>
      <c r="AO87" s="7"/>
      <c r="AP87" s="7"/>
      <c r="AQ87" s="7"/>
    </row>
    <row r="88" spans="1:60" x14ac:dyDescent="0.25">
      <c r="A88" t="s">
        <v>111</v>
      </c>
      <c r="B88" s="98">
        <f>B82</f>
        <v>141999</v>
      </c>
      <c r="C88"/>
      <c r="D88" s="111">
        <f>D82</f>
        <v>137664</v>
      </c>
      <c r="E88"/>
      <c r="F88" s="98">
        <f>F82</f>
        <v>132283</v>
      </c>
      <c r="G88"/>
      <c r="H88" s="98">
        <f>H82</f>
        <v>136209</v>
      </c>
      <c r="I88" s="98"/>
      <c r="J88" s="98">
        <f>J82</f>
        <v>128108</v>
      </c>
      <c r="K88"/>
      <c r="L88" s="111">
        <f>L82</f>
        <v>118170</v>
      </c>
      <c r="M88"/>
      <c r="N88" s="98">
        <f>N82</f>
        <v>113248</v>
      </c>
      <c r="O88"/>
      <c r="P88" s="98">
        <f>P82</f>
        <v>111170</v>
      </c>
      <c r="Q88"/>
      <c r="R88" s="98">
        <f>R82</f>
        <v>105545</v>
      </c>
      <c r="S88"/>
      <c r="T88" s="98">
        <f>T82</f>
        <v>103106</v>
      </c>
      <c r="U88"/>
      <c r="V88" s="98">
        <f>V82</f>
        <v>102181</v>
      </c>
      <c r="W88"/>
      <c r="X88" s="98">
        <f>X82</f>
        <v>102693</v>
      </c>
      <c r="Y88"/>
      <c r="Z88" s="98">
        <f>Z82</f>
        <v>98991</v>
      </c>
      <c r="AA88"/>
      <c r="AB88" s="111">
        <f>AB82</f>
        <v>98814</v>
      </c>
      <c r="AC88"/>
      <c r="AD88" s="98">
        <f>AD82</f>
        <v>100320</v>
      </c>
      <c r="AE88"/>
      <c r="AF88" s="98">
        <f>AF82</f>
        <v>105824</v>
      </c>
      <c r="AG88"/>
      <c r="AH88" s="98">
        <f>AH82</f>
        <v>99626</v>
      </c>
      <c r="AI88" s="141"/>
      <c r="AJ88" s="2">
        <f>AJ82</f>
        <v>95384</v>
      </c>
      <c r="AK88"/>
      <c r="AL88" s="2">
        <f>AL82</f>
        <v>98602</v>
      </c>
      <c r="AM88"/>
      <c r="AN88" s="2">
        <f>AN82</f>
        <v>99758</v>
      </c>
      <c r="AO88"/>
      <c r="AP88" s="2">
        <f>AP82</f>
        <v>93125</v>
      </c>
      <c r="AQ88"/>
    </row>
    <row r="89" spans="1:60" x14ac:dyDescent="0.25">
      <c r="A89" s="58" t="s">
        <v>112</v>
      </c>
      <c r="B89" s="1">
        <f>B65</f>
        <v>233581</v>
      </c>
      <c r="C89" s="58"/>
      <c r="D89" s="142">
        <f>D65</f>
        <v>230299</v>
      </c>
      <c r="E89" s="58"/>
      <c r="F89" s="1">
        <f>F65</f>
        <v>226952</v>
      </c>
      <c r="G89" s="58"/>
      <c r="H89" s="1">
        <f>H65</f>
        <v>225791</v>
      </c>
      <c r="I89" s="1"/>
      <c r="J89" s="1">
        <f>J65</f>
        <v>221291</v>
      </c>
      <c r="K89" s="58"/>
      <c r="L89" s="142">
        <f>L65</f>
        <v>219181</v>
      </c>
      <c r="M89" s="58"/>
      <c r="N89" s="1">
        <f>N65</f>
        <v>216795</v>
      </c>
      <c r="O89" s="58"/>
      <c r="P89" s="1">
        <f>P65</f>
        <v>214432</v>
      </c>
      <c r="Q89" s="58"/>
      <c r="R89" s="1">
        <f>R65</f>
        <v>212161</v>
      </c>
      <c r="S89" s="58"/>
      <c r="T89" s="1">
        <f>T65</f>
        <v>207114</v>
      </c>
      <c r="U89" s="58"/>
      <c r="V89" s="1">
        <f>V65</f>
        <v>203575</v>
      </c>
      <c r="W89" s="58"/>
      <c r="X89" s="1">
        <f>X65</f>
        <v>198626</v>
      </c>
      <c r="Y89" s="58"/>
      <c r="Z89" s="1">
        <f>Z65</f>
        <v>196468</v>
      </c>
      <c r="AA89" s="58"/>
      <c r="AB89" s="142">
        <f>AB65</f>
        <v>192105</v>
      </c>
      <c r="AC89" s="58"/>
      <c r="AD89" s="1">
        <f>AD65</f>
        <v>183014</v>
      </c>
      <c r="AE89" s="58"/>
      <c r="AF89" s="1">
        <f>AF65</f>
        <v>178927</v>
      </c>
      <c r="AG89" s="58"/>
      <c r="AH89" s="1">
        <f>AH65</f>
        <v>174280</v>
      </c>
      <c r="AI89" s="143"/>
      <c r="AJ89" s="1">
        <f>AJ65</f>
        <v>172554</v>
      </c>
      <c r="AK89" s="58"/>
      <c r="AL89" s="1">
        <f>AL65</f>
        <v>167105</v>
      </c>
      <c r="AM89" s="58"/>
      <c r="AN89" s="1">
        <f>AN65</f>
        <v>164958</v>
      </c>
      <c r="AO89" s="58"/>
      <c r="AP89" s="1">
        <f>AP65</f>
        <v>159843</v>
      </c>
      <c r="AQ89" s="58"/>
    </row>
    <row r="90" spans="1:60" ht="15.75" thickBot="1" x14ac:dyDescent="0.3">
      <c r="A90" s="63" t="s">
        <v>22</v>
      </c>
      <c r="B90" s="51">
        <f>B88/B89</f>
        <v>0.60792187720747837</v>
      </c>
      <c r="C90" s="45"/>
      <c r="D90" s="144">
        <f>D88/D89</f>
        <v>0.59776203978306464</v>
      </c>
      <c r="E90" s="63"/>
      <c r="F90" s="51">
        <f>F88/F89</f>
        <v>0.58286774295886357</v>
      </c>
      <c r="G90" s="63"/>
      <c r="H90" s="51">
        <f>H88/H89</f>
        <v>0.60325256542554839</v>
      </c>
      <c r="I90" s="51"/>
      <c r="J90" s="51">
        <f>J88/J89</f>
        <v>0.57891193044452782</v>
      </c>
      <c r="K90" s="45"/>
      <c r="L90" s="144">
        <f>L88/L89</f>
        <v>0.53914344765285316</v>
      </c>
      <c r="M90" s="63"/>
      <c r="N90" s="51">
        <f>N88/N89</f>
        <v>0.52237367097949672</v>
      </c>
      <c r="O90" s="63"/>
      <c r="P90" s="51">
        <f>P88/P89</f>
        <v>0.51843941202805555</v>
      </c>
      <c r="Q90" s="63"/>
      <c r="R90" s="51">
        <f>R88/R89</f>
        <v>0.4974759734352685</v>
      </c>
      <c r="S90" s="45"/>
      <c r="T90" s="51">
        <f>T88/T89</f>
        <v>0.49782245526618191</v>
      </c>
      <c r="U90" s="63"/>
      <c r="V90" s="51">
        <f>V88/V89</f>
        <v>0.50193294854476234</v>
      </c>
      <c r="W90" s="63"/>
      <c r="X90" s="51">
        <f>X88/X89</f>
        <v>0.51701690614521767</v>
      </c>
      <c r="Y90" s="63"/>
      <c r="Z90" s="51">
        <f>Z88/Z89</f>
        <v>0.50385304477064963</v>
      </c>
      <c r="AA90" s="45"/>
      <c r="AB90" s="144">
        <f>AB88/AB89</f>
        <v>0.51437495119856325</v>
      </c>
      <c r="AC90" s="45"/>
      <c r="AD90" s="51">
        <f>AD88/AD89</f>
        <v>0.54815478597265788</v>
      </c>
      <c r="AE90" s="45"/>
      <c r="AF90" s="51">
        <f>AF88/AF89</f>
        <v>0.5914367311808727</v>
      </c>
      <c r="AG90" s="45"/>
      <c r="AH90" s="51">
        <f>AH88/AH89</f>
        <v>0.57164333256828093</v>
      </c>
      <c r="AI90" s="145"/>
      <c r="AJ90" s="51">
        <f>AJ88/AJ89</f>
        <v>0.55277768118965653</v>
      </c>
      <c r="AK90" s="45"/>
      <c r="AL90" s="51">
        <f>AL88/AL89</f>
        <v>0.59006014182699495</v>
      </c>
      <c r="AM90" s="45"/>
      <c r="AN90" s="51">
        <f>AN88/AN89</f>
        <v>0.6047478752167218</v>
      </c>
      <c r="AO90" s="45"/>
      <c r="AP90" s="51">
        <f>AP88/AP89</f>
        <v>0.58260292912420308</v>
      </c>
      <c r="AQ90" s="45"/>
      <c r="AR90" s="25"/>
      <c r="AS90" s="25"/>
      <c r="AT90" s="25"/>
      <c r="AU90" s="25"/>
      <c r="AV90" s="25"/>
      <c r="AW90" s="25"/>
      <c r="AX90" s="25"/>
      <c r="AY90" s="25"/>
      <c r="AZ90" s="25"/>
      <c r="BA90" s="25"/>
    </row>
    <row r="91" spans="1:60" x14ac:dyDescent="0.25">
      <c r="B91" s="7"/>
      <c r="C91" s="17"/>
      <c r="D91" s="178"/>
      <c r="F91" s="7"/>
      <c r="H91" s="7"/>
      <c r="I91" s="7"/>
      <c r="J91" s="7"/>
      <c r="L91" s="178"/>
      <c r="N91" s="7"/>
      <c r="P91" s="7"/>
      <c r="R91" s="7"/>
      <c r="T91" s="7"/>
      <c r="V91" s="7"/>
      <c r="X91" s="7"/>
      <c r="Z91" s="7"/>
      <c r="AB91" s="105"/>
      <c r="AD91" s="7"/>
      <c r="AE91" s="17"/>
      <c r="AF91" s="7"/>
      <c r="AG91" s="17"/>
      <c r="AH91" s="7"/>
      <c r="AI91" s="146"/>
      <c r="AJ91" s="7"/>
      <c r="AK91" s="17"/>
      <c r="AL91" s="7"/>
      <c r="AM91" s="17"/>
      <c r="AN91" s="7"/>
      <c r="AO91" s="17"/>
      <c r="AP91" s="7"/>
      <c r="AQ91" s="17"/>
    </row>
    <row r="92" spans="1:60" x14ac:dyDescent="0.25">
      <c r="A92" t="s">
        <v>111</v>
      </c>
      <c r="B92" s="98">
        <f>B82</f>
        <v>141999</v>
      </c>
      <c r="C92"/>
      <c r="D92" s="111">
        <f>D82</f>
        <v>137664</v>
      </c>
      <c r="E92"/>
      <c r="F92" s="98">
        <f>F82</f>
        <v>132283</v>
      </c>
      <c r="G92"/>
      <c r="H92" s="98">
        <f>H82</f>
        <v>136209</v>
      </c>
      <c r="I92" s="98"/>
      <c r="J92" s="98">
        <f>J82</f>
        <v>128108</v>
      </c>
      <c r="K92"/>
      <c r="L92" s="111">
        <f>L82</f>
        <v>118170</v>
      </c>
      <c r="M92"/>
      <c r="N92" s="98">
        <f>N82</f>
        <v>113248</v>
      </c>
      <c r="O92"/>
      <c r="P92" s="98">
        <f>P82</f>
        <v>111170</v>
      </c>
      <c r="Q92"/>
      <c r="R92" s="98">
        <f>R82</f>
        <v>105545</v>
      </c>
      <c r="S92"/>
      <c r="T92" s="98">
        <f>T82</f>
        <v>103106</v>
      </c>
      <c r="U92"/>
      <c r="V92" s="98">
        <f>V82</f>
        <v>102181</v>
      </c>
      <c r="W92"/>
      <c r="X92" s="98">
        <f>X82</f>
        <v>102693</v>
      </c>
      <c r="Y92"/>
      <c r="Z92" s="98">
        <f>Z82</f>
        <v>98991</v>
      </c>
      <c r="AA92"/>
      <c r="AB92" s="111">
        <f>AB82</f>
        <v>98814</v>
      </c>
      <c r="AC92"/>
      <c r="AD92" s="98">
        <f>AD82</f>
        <v>100320</v>
      </c>
      <c r="AE92"/>
      <c r="AF92" s="98">
        <f>AF82</f>
        <v>105824</v>
      </c>
      <c r="AG92"/>
      <c r="AH92" s="98">
        <f>AH82</f>
        <v>99626</v>
      </c>
      <c r="AI92" s="141"/>
      <c r="AJ92" s="2">
        <f>AJ82</f>
        <v>95384</v>
      </c>
      <c r="AK92"/>
      <c r="AL92" s="2">
        <f>AL82</f>
        <v>98602</v>
      </c>
      <c r="AM92"/>
      <c r="AN92" s="2">
        <f>AN82</f>
        <v>99758</v>
      </c>
      <c r="AO92"/>
      <c r="AP92" s="2">
        <f>AP82</f>
        <v>93125</v>
      </c>
      <c r="AQ92"/>
    </row>
    <row r="93" spans="1:60" x14ac:dyDescent="0.25">
      <c r="A93" s="58" t="s">
        <v>113</v>
      </c>
      <c r="B93" s="1">
        <f>B67</f>
        <v>233581</v>
      </c>
      <c r="C93" s="58"/>
      <c r="D93" s="142">
        <f>D67</f>
        <v>230299</v>
      </c>
      <c r="E93" s="58"/>
      <c r="F93" s="1">
        <f>F67</f>
        <v>226952</v>
      </c>
      <c r="G93" s="58"/>
      <c r="H93" s="1">
        <f>H67</f>
        <v>225791</v>
      </c>
      <c r="I93" s="1"/>
      <c r="J93" s="1">
        <f>J67</f>
        <v>221291</v>
      </c>
      <c r="K93" s="58"/>
      <c r="L93" s="142">
        <f>L67</f>
        <v>219181</v>
      </c>
      <c r="M93" s="58"/>
      <c r="N93" s="1">
        <f>N67</f>
        <v>220185</v>
      </c>
      <c r="O93" s="58"/>
      <c r="P93" s="1">
        <f>P67</f>
        <v>218630</v>
      </c>
      <c r="Q93" s="58"/>
      <c r="R93" s="1">
        <f>R67</f>
        <v>216354</v>
      </c>
      <c r="S93" s="58"/>
      <c r="T93" s="1">
        <f>T67</f>
        <v>211357</v>
      </c>
      <c r="U93" s="58"/>
      <c r="V93" s="1">
        <f>V67</f>
        <v>209854</v>
      </c>
      <c r="W93" s="58"/>
      <c r="X93" s="1">
        <f>X67</f>
        <v>207513</v>
      </c>
      <c r="Y93" s="58"/>
      <c r="Z93" s="1">
        <f>Z67</f>
        <v>205406</v>
      </c>
      <c r="AA93" s="58"/>
      <c r="AB93" s="142">
        <f>AB67</f>
        <v>201399</v>
      </c>
      <c r="AC93" s="58"/>
      <c r="AD93" s="1">
        <f>AD67</f>
        <v>196445</v>
      </c>
      <c r="AE93" s="58"/>
      <c r="AF93" s="1">
        <f>AF67</f>
        <v>193474</v>
      </c>
      <c r="AG93" s="58"/>
      <c r="AH93" s="1">
        <f>AH67</f>
        <v>188912</v>
      </c>
      <c r="AI93" s="143"/>
      <c r="AJ93" s="1">
        <f>AJ67</f>
        <v>187137</v>
      </c>
      <c r="AK93" s="58"/>
      <c r="AL93" s="1">
        <f>AL67</f>
        <v>185150</v>
      </c>
      <c r="AM93" s="58"/>
      <c r="AN93" s="1">
        <f>AN67</f>
        <v>184317</v>
      </c>
      <c r="AO93" s="58"/>
      <c r="AP93" s="1">
        <f>AP67</f>
        <v>183182</v>
      </c>
      <c r="AQ93" s="58"/>
    </row>
    <row r="94" spans="1:60" ht="15.75" thickBot="1" x14ac:dyDescent="0.3">
      <c r="A94" s="63" t="s">
        <v>114</v>
      </c>
      <c r="B94" s="51">
        <f>B92/B93</f>
        <v>0.60792187720747837</v>
      </c>
      <c r="C94" s="45"/>
      <c r="D94" s="144">
        <f>D92/D93</f>
        <v>0.59776203978306464</v>
      </c>
      <c r="E94" s="63"/>
      <c r="F94" s="51">
        <f>F92/F93</f>
        <v>0.58286774295886357</v>
      </c>
      <c r="G94" s="63"/>
      <c r="H94" s="51">
        <f>H92/H93</f>
        <v>0.60325256542554839</v>
      </c>
      <c r="I94" s="51"/>
      <c r="J94" s="51">
        <f>J92/J93</f>
        <v>0.57891193044452782</v>
      </c>
      <c r="K94" s="45"/>
      <c r="L94" s="144">
        <f>L92/L93</f>
        <v>0.53914344765285316</v>
      </c>
      <c r="M94" s="63"/>
      <c r="N94" s="51">
        <f>N92/N93</f>
        <v>0.51433113064014346</v>
      </c>
      <c r="O94" s="63"/>
      <c r="P94" s="51">
        <f>P92/P93</f>
        <v>0.50848465443900659</v>
      </c>
      <c r="Q94" s="63"/>
      <c r="R94" s="51">
        <f>R92/R93</f>
        <v>0.48783475230409423</v>
      </c>
      <c r="S94" s="45"/>
      <c r="T94" s="51">
        <f>T92/T93</f>
        <v>0.48782865010385273</v>
      </c>
      <c r="U94" s="63"/>
      <c r="V94" s="51">
        <f>V92/V93</f>
        <v>0.48691471213319737</v>
      </c>
      <c r="W94" s="63"/>
      <c r="X94" s="51">
        <f>X92/X93</f>
        <v>0.4948750198782727</v>
      </c>
      <c r="Y94" s="63"/>
      <c r="Z94" s="51">
        <f>Z92/Z93</f>
        <v>0.48192847336494554</v>
      </c>
      <c r="AA94" s="45"/>
      <c r="AB94" s="144">
        <f>AB92/AB93</f>
        <v>0.4906379872789835</v>
      </c>
      <c r="AC94" s="45"/>
      <c r="AD94" s="51">
        <f>AD92/AD93</f>
        <v>0.51067728880857233</v>
      </c>
      <c r="AE94" s="45"/>
      <c r="AF94" s="51">
        <f>AF92/AF93</f>
        <v>0.54696755119550944</v>
      </c>
      <c r="AG94" s="45"/>
      <c r="AH94" s="51">
        <f>AH92/AH93</f>
        <v>0.52736723977301603</v>
      </c>
      <c r="AI94" s="145"/>
      <c r="AJ94" s="51">
        <f>AJ92/AJ93</f>
        <v>0.5097014486712943</v>
      </c>
      <c r="AK94" s="45"/>
      <c r="AL94" s="51">
        <f>AL92/AL93</f>
        <v>0.53255198487712663</v>
      </c>
      <c r="AM94" s="45"/>
      <c r="AN94" s="51">
        <f>AN92/AN93</f>
        <v>0.54123059728619716</v>
      </c>
      <c r="AO94" s="45"/>
      <c r="AP94" s="51">
        <f>AP92/AP93</f>
        <v>0.50837418523654065</v>
      </c>
      <c r="AQ94" s="45"/>
      <c r="AR94" s="74"/>
      <c r="AS94" s="74"/>
      <c r="AT94" s="74"/>
      <c r="AU94" s="25"/>
      <c r="AV94" s="25"/>
      <c r="AW94" s="25"/>
      <c r="AX94" s="25"/>
      <c r="AY94" s="25"/>
      <c r="AZ94" s="25"/>
      <c r="BA94" s="25"/>
    </row>
    <row r="95" spans="1:60" x14ac:dyDescent="0.25">
      <c r="B95" s="17"/>
      <c r="C95" s="17"/>
      <c r="D95" s="178"/>
      <c r="F95" s="7"/>
      <c r="L95" s="178"/>
      <c r="N95" s="7"/>
      <c r="P95" s="7"/>
      <c r="T95" s="7"/>
      <c r="V95" s="7"/>
      <c r="X95" s="7"/>
      <c r="AB95" s="105"/>
      <c r="AD95" s="7"/>
      <c r="AE95" s="7"/>
      <c r="AF95" s="7"/>
      <c r="AG95" s="7"/>
      <c r="AH95" s="7"/>
      <c r="AI95" s="119"/>
      <c r="AJ95" s="7"/>
      <c r="AK95" s="7"/>
      <c r="AL95" s="7"/>
      <c r="AM95" s="7"/>
      <c r="AN95" s="7"/>
      <c r="AO95" s="7"/>
      <c r="AP95" s="7"/>
      <c r="AQ95" s="7"/>
      <c r="AR95" s="17"/>
      <c r="AS95" s="17"/>
      <c r="AT95" s="17"/>
    </row>
    <row r="96" spans="1:60" x14ac:dyDescent="0.25">
      <c r="B96" s="17"/>
      <c r="C96" s="17"/>
      <c r="D96" s="178"/>
      <c r="F96" s="7"/>
      <c r="L96" s="178"/>
      <c r="N96" s="7"/>
      <c r="P96" s="7"/>
      <c r="T96" s="7"/>
      <c r="V96" s="7"/>
      <c r="X96" s="7"/>
      <c r="AB96" s="105"/>
      <c r="AD96" s="7"/>
      <c r="AE96" s="7"/>
      <c r="AF96" s="7"/>
      <c r="AG96" s="7"/>
      <c r="AH96" s="7"/>
      <c r="AI96" s="119"/>
      <c r="AJ96" s="7"/>
      <c r="AK96" s="7"/>
      <c r="AL96" s="7"/>
      <c r="AM96" s="7"/>
      <c r="AN96" s="7"/>
      <c r="AO96" s="7"/>
      <c r="AP96" s="7"/>
      <c r="AQ96" s="7"/>
      <c r="AR96" s="17"/>
      <c r="AS96" s="17"/>
      <c r="AT96" s="17"/>
    </row>
    <row r="97" spans="1:132" x14ac:dyDescent="0.25">
      <c r="A97" s="17" t="s">
        <v>115</v>
      </c>
      <c r="B97" s="19">
        <f>C97</f>
        <v>15</v>
      </c>
      <c r="C97" s="211">
        <v>15</v>
      </c>
      <c r="D97" s="107">
        <f>K97+E97+G97+I97</f>
        <v>192</v>
      </c>
      <c r="E97" s="3">
        <v>-24</v>
      </c>
      <c r="F97" s="3">
        <f>G97+I97+K97</f>
        <v>216</v>
      </c>
      <c r="G97" s="37">
        <v>37</v>
      </c>
      <c r="H97" s="19">
        <f>K97+I97</f>
        <v>179</v>
      </c>
      <c r="I97" s="19">
        <v>58</v>
      </c>
      <c r="J97" s="19">
        <f>K97</f>
        <v>121</v>
      </c>
      <c r="K97" s="211">
        <v>121</v>
      </c>
      <c r="L97" s="107">
        <f>S97+M97+O97+Q97</f>
        <v>2030</v>
      </c>
      <c r="M97" s="3">
        <v>270</v>
      </c>
      <c r="N97" s="3">
        <f>O97+Q97+S97</f>
        <v>1760</v>
      </c>
      <c r="O97" s="37">
        <v>369</v>
      </c>
      <c r="P97" s="3">
        <f>Q97+S97</f>
        <v>1391</v>
      </c>
      <c r="Q97" s="3">
        <v>831</v>
      </c>
      <c r="R97" s="19">
        <f>S97</f>
        <v>560</v>
      </c>
      <c r="S97" s="209">
        <v>560</v>
      </c>
      <c r="T97" s="107">
        <f>AA97+U97+W97+Y97</f>
        <v>235</v>
      </c>
      <c r="U97" s="3">
        <v>139</v>
      </c>
      <c r="V97" s="3">
        <f>W97+Y97+AA97</f>
        <v>96</v>
      </c>
      <c r="W97" s="37">
        <v>66</v>
      </c>
      <c r="X97" s="3">
        <f>Y97+AA97</f>
        <v>30</v>
      </c>
      <c r="Y97" s="3">
        <v>-19</v>
      </c>
      <c r="Z97" s="14">
        <f>AA97</f>
        <v>49</v>
      </c>
      <c r="AA97" s="112">
        <v>49</v>
      </c>
      <c r="AB97" s="107">
        <f>AI97+AC97+AE97+AG97</f>
        <v>324</v>
      </c>
      <c r="AC97" s="3">
        <v>92</v>
      </c>
      <c r="AD97" s="3">
        <f>AE97+AG97+AI97</f>
        <v>232</v>
      </c>
      <c r="AE97" s="53">
        <v>59</v>
      </c>
      <c r="AF97" s="3">
        <f>AG97+AI97</f>
        <v>173</v>
      </c>
      <c r="AG97" s="53">
        <v>99</v>
      </c>
      <c r="AH97" s="3">
        <f>AI97</f>
        <v>74</v>
      </c>
      <c r="AI97" s="108">
        <v>74</v>
      </c>
      <c r="AJ97" s="14">
        <f>AK97+AM97+AO97+AQ97</f>
        <v>543</v>
      </c>
      <c r="AK97" s="14">
        <v>120</v>
      </c>
      <c r="AL97" s="14">
        <f>AM97+AO97+AQ97</f>
        <v>423</v>
      </c>
      <c r="AM97" s="14">
        <v>124</v>
      </c>
      <c r="AN97" s="14">
        <f>AO97+AQ97</f>
        <v>299</v>
      </c>
      <c r="AO97" s="14">
        <v>131</v>
      </c>
      <c r="AP97" s="14">
        <f>AQ97</f>
        <v>168</v>
      </c>
      <c r="AQ97" s="14">
        <v>168</v>
      </c>
      <c r="AR97" s="17"/>
      <c r="AS97" s="17"/>
      <c r="AT97" s="17"/>
    </row>
    <row r="98" spans="1:132" x14ac:dyDescent="0.25">
      <c r="A98" s="17" t="s">
        <v>116</v>
      </c>
      <c r="B98" s="37">
        <f>B97/1*4</f>
        <v>60</v>
      </c>
      <c r="C98" s="37">
        <f>C97*4</f>
        <v>60</v>
      </c>
      <c r="D98" s="152">
        <f>D97</f>
        <v>192</v>
      </c>
      <c r="E98" s="3">
        <f>E97*4</f>
        <v>-96</v>
      </c>
      <c r="F98" s="37">
        <f>F97/3*4</f>
        <v>288</v>
      </c>
      <c r="G98" s="37">
        <f>G97*4</f>
        <v>148</v>
      </c>
      <c r="H98" s="37">
        <f>H97/2*4</f>
        <v>358</v>
      </c>
      <c r="I98" s="37">
        <f>I97*4</f>
        <v>232</v>
      </c>
      <c r="J98" s="37">
        <f>J97/1*4</f>
        <v>484</v>
      </c>
      <c r="K98" s="37">
        <f>K97*4</f>
        <v>484</v>
      </c>
      <c r="L98" s="152">
        <f>L97</f>
        <v>2030</v>
      </c>
      <c r="M98" s="3">
        <f>M97*4</f>
        <v>1080</v>
      </c>
      <c r="N98" s="37">
        <f>N97/3*4</f>
        <v>2346.6666666666665</v>
      </c>
      <c r="O98" s="37">
        <f>O97*4</f>
        <v>1476</v>
      </c>
      <c r="P98" s="37">
        <f>P97/2*4</f>
        <v>2782</v>
      </c>
      <c r="Q98" s="37">
        <f>Q97*4</f>
        <v>3324</v>
      </c>
      <c r="R98" s="37">
        <f>R97/1*4</f>
        <v>2240</v>
      </c>
      <c r="S98" s="112">
        <f>S97*4</f>
        <v>2240</v>
      </c>
      <c r="T98" s="37">
        <f>T97</f>
        <v>235</v>
      </c>
      <c r="U98" s="3">
        <f>U97*4</f>
        <v>556</v>
      </c>
      <c r="V98" s="37">
        <f>V97/3*4</f>
        <v>128</v>
      </c>
      <c r="W98" s="37">
        <f>W97*4</f>
        <v>264</v>
      </c>
      <c r="X98" s="37">
        <f>X97/2*4</f>
        <v>60</v>
      </c>
      <c r="Y98" s="37">
        <f>Y97*4</f>
        <v>-76</v>
      </c>
      <c r="Z98" s="37">
        <f>Z97/1*4</f>
        <v>196</v>
      </c>
      <c r="AA98" s="112">
        <f>AA97*4</f>
        <v>196</v>
      </c>
      <c r="AB98" s="107">
        <f>AB97</f>
        <v>324</v>
      </c>
      <c r="AC98" s="3">
        <f>AC97*4</f>
        <v>368</v>
      </c>
      <c r="AD98" s="37">
        <f>AD97/3*4</f>
        <v>309.33333333333331</v>
      </c>
      <c r="AE98" s="37">
        <f>AE97*4</f>
        <v>236</v>
      </c>
      <c r="AF98" s="37">
        <f>AF97/2*4</f>
        <v>346</v>
      </c>
      <c r="AG98" s="37">
        <f>AG97*4</f>
        <v>396</v>
      </c>
      <c r="AH98" s="37">
        <f>AH97/1*4</f>
        <v>296</v>
      </c>
      <c r="AI98" s="112">
        <f>AI97*4</f>
        <v>296</v>
      </c>
      <c r="AJ98" s="59">
        <f>AJ97/4*4</f>
        <v>543</v>
      </c>
      <c r="AK98" s="59">
        <f>AK97*4</f>
        <v>480</v>
      </c>
      <c r="AL98" s="59">
        <f>AL97/3*4</f>
        <v>564</v>
      </c>
      <c r="AM98" s="59">
        <f>AM97*4</f>
        <v>496</v>
      </c>
      <c r="AN98" s="59">
        <f>AN97/2*4</f>
        <v>598</v>
      </c>
      <c r="AO98" s="59">
        <f>AO97*4</f>
        <v>524</v>
      </c>
      <c r="AP98" s="59">
        <f>AP97/1*4</f>
        <v>672</v>
      </c>
      <c r="AQ98" s="59">
        <f>AQ97*4</f>
        <v>672</v>
      </c>
      <c r="AR98" s="17"/>
      <c r="AS98" s="17"/>
      <c r="AT98" s="17"/>
    </row>
    <row r="99" spans="1:132" x14ac:dyDescent="0.25">
      <c r="A99" s="17"/>
      <c r="B99" s="9"/>
      <c r="C99" s="9"/>
      <c r="D99" s="152"/>
      <c r="E99" s="17"/>
      <c r="F99" s="37"/>
      <c r="G99" s="17"/>
      <c r="H99" s="9"/>
      <c r="I99" s="9"/>
      <c r="J99" s="9"/>
      <c r="K99" s="9"/>
      <c r="L99" s="152"/>
      <c r="M99" s="17"/>
      <c r="N99" s="37"/>
      <c r="O99" s="17"/>
      <c r="P99" s="37"/>
      <c r="Q99" s="17"/>
      <c r="R99" s="9"/>
      <c r="S99" s="9"/>
      <c r="T99" s="37"/>
      <c r="U99" s="17"/>
      <c r="V99" s="37"/>
      <c r="W99" s="17"/>
      <c r="X99" s="37"/>
      <c r="Y99" s="17"/>
      <c r="Z99" s="9"/>
      <c r="AA99" s="9"/>
      <c r="AB99" s="147"/>
      <c r="AC99" s="6"/>
      <c r="AD99" s="37"/>
      <c r="AE99" s="37"/>
      <c r="AF99" s="37"/>
      <c r="AG99" s="37"/>
      <c r="AH99" s="37"/>
      <c r="AI99" s="112"/>
      <c r="AJ99" s="59"/>
      <c r="AK99" s="59"/>
      <c r="AL99" s="59"/>
      <c r="AM99" s="59"/>
      <c r="AN99" s="59"/>
      <c r="AO99" s="59"/>
      <c r="AP99" s="59"/>
      <c r="AQ99" s="59"/>
      <c r="AR99" s="17"/>
      <c r="AS99" s="17"/>
      <c r="AT99" s="17"/>
    </row>
    <row r="100" spans="1:132" x14ac:dyDescent="0.25">
      <c r="A100" s="17" t="s">
        <v>117</v>
      </c>
      <c r="B100" s="4">
        <f>(B65+D65)/2</f>
        <v>231940</v>
      </c>
      <c r="C100" s="4">
        <f>B100</f>
        <v>231940</v>
      </c>
      <c r="D100" s="114">
        <f>(D65+L65)/2</f>
        <v>224740</v>
      </c>
      <c r="E100" s="4">
        <f>(D65+F65)/2</f>
        <v>228625.5</v>
      </c>
      <c r="F100" s="20">
        <f>(F65+H65+J65)/3</f>
        <v>224678</v>
      </c>
      <c r="G100" s="4">
        <f>(F65+H65)/2</f>
        <v>226371.5</v>
      </c>
      <c r="H100" s="20">
        <f>(H65+J65+L65)/3</f>
        <v>222087.66666666666</v>
      </c>
      <c r="I100" s="4">
        <f>(H65+J65)/2</f>
        <v>223541</v>
      </c>
      <c r="J100" s="4">
        <f>(J65+L65)/2</f>
        <v>220236</v>
      </c>
      <c r="K100" s="4">
        <f>J100</f>
        <v>220236</v>
      </c>
      <c r="L100" s="114">
        <f>(L65+T65)/2</f>
        <v>213147.5</v>
      </c>
      <c r="M100" s="4">
        <f>(L65+N65)/2</f>
        <v>217988</v>
      </c>
      <c r="N100" s="20">
        <f>(N65+P65+R65)/3</f>
        <v>214462.66666666666</v>
      </c>
      <c r="O100" s="4">
        <f>(N65+P65)/2</f>
        <v>215613.5</v>
      </c>
      <c r="P100" s="20">
        <f>(P65+R65+T65)/3</f>
        <v>211235.66666666666</v>
      </c>
      <c r="Q100" s="4">
        <f>(P65+R65)/2</f>
        <v>213296.5</v>
      </c>
      <c r="R100" s="4">
        <f>(R65+T65)/2</f>
        <v>209637.5</v>
      </c>
      <c r="S100" s="115">
        <f>R100</f>
        <v>209637.5</v>
      </c>
      <c r="T100" s="114">
        <f>(T65+AB65)/2</f>
        <v>199609.5</v>
      </c>
      <c r="U100" s="4">
        <f>(T65+V65)/2</f>
        <v>205344.5</v>
      </c>
      <c r="V100" s="20">
        <f>(V65+X65+Z65)/3</f>
        <v>199556.33333333334</v>
      </c>
      <c r="W100" s="4">
        <f>(V65+X65)/2</f>
        <v>201100.5</v>
      </c>
      <c r="X100" s="20">
        <f>(X65+Z65+AB65)/3</f>
        <v>195733</v>
      </c>
      <c r="Y100" s="4">
        <f>(X65+Z65)/2</f>
        <v>197547</v>
      </c>
      <c r="Z100" s="4">
        <f>(Z65+AB65)/2</f>
        <v>194286.5</v>
      </c>
      <c r="AA100" s="115">
        <f>Z100</f>
        <v>194286.5</v>
      </c>
      <c r="AB100" s="114">
        <f>(AB65+AJ65)/2</f>
        <v>182329.5</v>
      </c>
      <c r="AC100" s="4">
        <f>(AB65+AD65)/2</f>
        <v>187559.5</v>
      </c>
      <c r="AD100" s="20">
        <f>(AD65+AF65+AH65+AJ65)/4</f>
        <v>177193.75</v>
      </c>
      <c r="AE100" s="4">
        <f>(AD65+AF65)/2</f>
        <v>180970.5</v>
      </c>
      <c r="AF100" s="20">
        <f>(AF65+AH65+AJ65)/3</f>
        <v>175253.66666666666</v>
      </c>
      <c r="AG100" s="4">
        <f>(AF65+AH65)/2</f>
        <v>176603.5</v>
      </c>
      <c r="AH100" s="4">
        <f>(AH65+AJ65)/2</f>
        <v>173417</v>
      </c>
      <c r="AI100" s="115">
        <f>AH100</f>
        <v>173417</v>
      </c>
      <c r="AJ100" s="114">
        <v>165096</v>
      </c>
      <c r="AK100" s="4">
        <f>(AJ65+AL65)/2</f>
        <v>169829.5</v>
      </c>
      <c r="AL100" s="20">
        <v>162386</v>
      </c>
      <c r="AM100" s="4">
        <f>(AL65+AN65)/2</f>
        <v>166031.5</v>
      </c>
      <c r="AN100" s="20">
        <v>160813</v>
      </c>
      <c r="AO100" s="4">
        <f>(AN65+AP65)/2</f>
        <v>162400.5</v>
      </c>
      <c r="AP100" s="4">
        <v>158740.5</v>
      </c>
      <c r="AQ100" s="4">
        <f>AP100</f>
        <v>158740.5</v>
      </c>
      <c r="AR100" s="17"/>
      <c r="AS100" s="17"/>
      <c r="AT100" s="17"/>
    </row>
    <row r="101" spans="1:132" ht="15.75" thickBot="1" x14ac:dyDescent="0.3">
      <c r="A101" s="47" t="s">
        <v>118</v>
      </c>
      <c r="B101" s="56">
        <f>B98/B100</f>
        <v>2.5868759161852203E-4</v>
      </c>
      <c r="C101" s="56">
        <f>C98/C100</f>
        <v>2.5868759161852203E-4</v>
      </c>
      <c r="D101" s="148">
        <f>D98/D100</f>
        <v>8.5432054818901837E-4</v>
      </c>
      <c r="E101" s="56">
        <f>E98/E100</f>
        <v>-4.1990066724840406E-4</v>
      </c>
      <c r="F101" s="56">
        <f t="shared" ref="F101" si="105">F98/F100</f>
        <v>1.2818344475204514E-3</v>
      </c>
      <c r="G101" s="56">
        <f>G98/G100</f>
        <v>6.5379254897370031E-4</v>
      </c>
      <c r="H101" s="56">
        <f t="shared" ref="H101:I101" si="106">H98/H100</f>
        <v>1.6119760514991827E-3</v>
      </c>
      <c r="I101" s="56">
        <f t="shared" si="106"/>
        <v>1.037840932983211E-3</v>
      </c>
      <c r="J101" s="56">
        <f>J98/J100</f>
        <v>2.1976425289235183E-3</v>
      </c>
      <c r="K101" s="56">
        <f>K98/K100</f>
        <v>2.1976425289235183E-3</v>
      </c>
      <c r="L101" s="148">
        <f>L98/L100</f>
        <v>9.523921228257428E-3</v>
      </c>
      <c r="M101" s="56">
        <f>M98/M100</f>
        <v>4.954401159696864E-3</v>
      </c>
      <c r="N101" s="56">
        <f t="shared" ref="N101" si="107">N98/N100</f>
        <v>1.0942075388412591E-2</v>
      </c>
      <c r="O101" s="56">
        <f>O98/O100</f>
        <v>6.8455824890370966E-3</v>
      </c>
      <c r="P101" s="56">
        <f t="shared" ref="P101:Q101" si="108">P98/P100</f>
        <v>1.3170124363467661E-2</v>
      </c>
      <c r="Q101" s="56">
        <f t="shared" si="108"/>
        <v>1.5583940664755399E-2</v>
      </c>
      <c r="R101" s="56">
        <f t="shared" ref="R101:S101" si="109">R98/R100</f>
        <v>1.0685111203863812E-2</v>
      </c>
      <c r="S101" s="149">
        <f t="shared" si="109"/>
        <v>1.0685111203863812E-2</v>
      </c>
      <c r="T101" s="148">
        <f>T98/T100</f>
        <v>1.1772986756642344E-3</v>
      </c>
      <c r="U101" s="56">
        <f>U98/U100</f>
        <v>2.7076449576199997E-3</v>
      </c>
      <c r="V101" s="56">
        <f t="shared" ref="V101" si="110">V98/V100</f>
        <v>6.414228897771556E-4</v>
      </c>
      <c r="W101" s="56">
        <f>W98/W100</f>
        <v>1.3127764475970971E-3</v>
      </c>
      <c r="X101" s="56">
        <f t="shared" ref="X101:Y101" si="111">X98/X100</f>
        <v>3.0654003157362328E-4</v>
      </c>
      <c r="Y101" s="56">
        <f t="shared" si="111"/>
        <v>-3.8471857330154343E-4</v>
      </c>
      <c r="Z101" s="56">
        <f t="shared" ref="Z101:AA101" si="112">Z98/Z100</f>
        <v>1.0088194496272259E-3</v>
      </c>
      <c r="AA101" s="149">
        <f t="shared" si="112"/>
        <v>1.0088194496272259E-3</v>
      </c>
      <c r="AB101" s="148">
        <f>AB98/AB100</f>
        <v>1.7770026243696165E-3</v>
      </c>
      <c r="AC101" s="56">
        <f>AC98/AC100</f>
        <v>1.9620440446898183E-3</v>
      </c>
      <c r="AD101" s="56">
        <f>AD98/AD100</f>
        <v>1.7457350122864566E-3</v>
      </c>
      <c r="AE101" s="56">
        <f>AE98/AE100</f>
        <v>1.3040799467316495E-3</v>
      </c>
      <c r="AF101" s="56">
        <f t="shared" ref="AF101:AQ101" si="113">AF98/AF100</f>
        <v>1.9742810896966495E-3</v>
      </c>
      <c r="AG101" s="56">
        <f t="shared" si="113"/>
        <v>2.2423111659734944E-3</v>
      </c>
      <c r="AH101" s="56">
        <f t="shared" si="113"/>
        <v>1.7068684154379328E-3</v>
      </c>
      <c r="AI101" s="149">
        <f t="shared" si="113"/>
        <v>1.7068684154379328E-3</v>
      </c>
      <c r="AJ101" s="56">
        <f t="shared" si="113"/>
        <v>3.2889954935310366E-3</v>
      </c>
      <c r="AK101" s="56">
        <f t="shared" si="113"/>
        <v>2.8263640886889499E-3</v>
      </c>
      <c r="AL101" s="56">
        <f t="shared" si="113"/>
        <v>3.4732058182355622E-3</v>
      </c>
      <c r="AM101" s="56">
        <f t="shared" si="113"/>
        <v>2.9873849239451548E-3</v>
      </c>
      <c r="AN101" s="56">
        <f t="shared" si="113"/>
        <v>3.7186048391610132E-3</v>
      </c>
      <c r="AO101" s="56">
        <f t="shared" si="113"/>
        <v>3.2265910511359262E-3</v>
      </c>
      <c r="AP101" s="56">
        <f t="shared" si="113"/>
        <v>4.2333241989284398E-3</v>
      </c>
      <c r="AQ101" s="56">
        <f t="shared" si="113"/>
        <v>4.2333241989284398E-3</v>
      </c>
      <c r="AR101" s="17"/>
      <c r="AS101" s="17"/>
      <c r="AT101" s="17"/>
    </row>
    <row r="102" spans="1:132" x14ac:dyDescent="0.25">
      <c r="A102" s="17"/>
      <c r="B102" s="9"/>
      <c r="C102" s="9"/>
      <c r="D102" s="152"/>
      <c r="E102" s="17"/>
      <c r="F102" s="37"/>
      <c r="G102" s="17"/>
      <c r="H102" s="9"/>
      <c r="I102" s="9"/>
      <c r="J102" s="9"/>
      <c r="K102" s="9"/>
      <c r="L102" s="152"/>
      <c r="M102" s="17"/>
      <c r="N102" s="37"/>
      <c r="O102" s="17"/>
      <c r="P102" s="37"/>
      <c r="Q102" s="17"/>
      <c r="R102" s="9"/>
      <c r="S102" s="9"/>
      <c r="T102" s="37"/>
      <c r="U102" s="17"/>
      <c r="V102" s="37"/>
      <c r="W102" s="17"/>
      <c r="X102" s="37"/>
      <c r="Y102" s="17"/>
      <c r="Z102" s="9"/>
      <c r="AA102" s="9"/>
      <c r="AB102" s="147"/>
      <c r="AC102" s="6"/>
      <c r="AD102" s="37"/>
      <c r="AE102" s="37"/>
      <c r="AF102" s="37"/>
      <c r="AG102" s="37"/>
      <c r="AH102" s="37"/>
      <c r="AI102" s="112"/>
      <c r="AJ102" s="59"/>
      <c r="AK102" s="59"/>
      <c r="AL102" s="59"/>
      <c r="AM102" s="59"/>
      <c r="AN102" s="59"/>
      <c r="AO102" s="59"/>
      <c r="AP102" s="59"/>
      <c r="AQ102" s="59"/>
      <c r="AR102" s="17"/>
      <c r="AS102" s="17"/>
      <c r="AT102" s="17"/>
    </row>
    <row r="103" spans="1:132" x14ac:dyDescent="0.25">
      <c r="A103" s="34" t="s">
        <v>119</v>
      </c>
      <c r="B103" s="4">
        <f>(B67+D67)/2</f>
        <v>231940</v>
      </c>
      <c r="C103" s="4">
        <f>B103</f>
        <v>231940</v>
      </c>
      <c r="D103" s="114">
        <f>(D67+L67)/2</f>
        <v>224740</v>
      </c>
      <c r="E103" s="4">
        <f>(D67+F67)/2</f>
        <v>228625.5</v>
      </c>
      <c r="F103" s="20">
        <f>(F67+H67+J67)/3</f>
        <v>224678</v>
      </c>
      <c r="G103" s="4">
        <f>(F67+H67)/2</f>
        <v>226371.5</v>
      </c>
      <c r="H103" s="20">
        <f>(H67+J67+L67)/3</f>
        <v>222087.66666666666</v>
      </c>
      <c r="I103" s="4">
        <f>(H67+J67)/2</f>
        <v>223541</v>
      </c>
      <c r="J103" s="4">
        <f>(J67+L67)/2</f>
        <v>220236</v>
      </c>
      <c r="K103" s="4">
        <f>J103</f>
        <v>220236</v>
      </c>
      <c r="L103" s="114">
        <f>(L67+T67)/2</f>
        <v>215269</v>
      </c>
      <c r="M103" s="4">
        <f>(L67+N67)/2</f>
        <v>219683</v>
      </c>
      <c r="N103" s="20">
        <f>(N67+P67+R67)/3</f>
        <v>218389.66666666666</v>
      </c>
      <c r="O103" s="4">
        <f>(N67+P67)/2</f>
        <v>219407.5</v>
      </c>
      <c r="P103" s="20">
        <f>(P67+R67+T67)/3</f>
        <v>215447</v>
      </c>
      <c r="Q103" s="4">
        <f>(P67+R67)/2</f>
        <v>217492</v>
      </c>
      <c r="R103" s="4">
        <f>(R67+T67)/2</f>
        <v>213855.5</v>
      </c>
      <c r="S103" s="115">
        <f>R103</f>
        <v>213855.5</v>
      </c>
      <c r="T103" s="114">
        <f>(T67+AB67)/2</f>
        <v>206378</v>
      </c>
      <c r="U103" s="4">
        <f>(T67+V67)/2</f>
        <v>210605.5</v>
      </c>
      <c r="V103" s="20">
        <f>(V67+X67+Z67)/3</f>
        <v>207591</v>
      </c>
      <c r="W103" s="4">
        <f>(V67+X67)/2</f>
        <v>208683.5</v>
      </c>
      <c r="X103" s="20">
        <f>(X67+Z67+AB67)/3</f>
        <v>204772.66666666666</v>
      </c>
      <c r="Y103" s="4">
        <f>(X67+Z67)/2</f>
        <v>206459.5</v>
      </c>
      <c r="Z103" s="4">
        <f>(Z67+AB67)/2</f>
        <v>203402.5</v>
      </c>
      <c r="AA103" s="115">
        <f>Z103</f>
        <v>203402.5</v>
      </c>
      <c r="AB103" s="114">
        <f>(AB67+AJ67)/2</f>
        <v>194268</v>
      </c>
      <c r="AC103" s="4">
        <f>(AB67+AD67)/2</f>
        <v>198922</v>
      </c>
      <c r="AD103" s="20">
        <f>(AD67+AF67+AH67+AJ67)/4</f>
        <v>191492</v>
      </c>
      <c r="AE103" s="4">
        <f>(AD67+AF67)/2</f>
        <v>194959.5</v>
      </c>
      <c r="AF103" s="20">
        <f>(AF67+AH67+AJ67)/3</f>
        <v>189841</v>
      </c>
      <c r="AG103" s="4">
        <f>(AF67+AH67)/2</f>
        <v>191193</v>
      </c>
      <c r="AH103" s="4">
        <f>(AH67+AJ67)/2</f>
        <v>188024.5</v>
      </c>
      <c r="AI103" s="115">
        <f>AH103</f>
        <v>188024.5</v>
      </c>
      <c r="AJ103" s="114">
        <v>184734.5</v>
      </c>
      <c r="AK103" s="4">
        <f>(AJ67+AL67)/2</f>
        <v>186143.5</v>
      </c>
      <c r="AL103" s="4">
        <v>183745.25</v>
      </c>
      <c r="AM103" s="4">
        <f>(AL67+AN67)/2</f>
        <v>184733.5</v>
      </c>
      <c r="AN103" s="4">
        <v>183277</v>
      </c>
      <c r="AO103" s="4">
        <f>(AN67+AP67)/2</f>
        <v>183749.5</v>
      </c>
      <c r="AP103" s="4">
        <v>182757</v>
      </c>
      <c r="AQ103" s="4">
        <v>182757</v>
      </c>
      <c r="AR103" s="17"/>
      <c r="AS103" s="17"/>
      <c r="AT103" s="17"/>
    </row>
    <row r="104" spans="1:132" s="23" customFormat="1" ht="30.75" thickBot="1" x14ac:dyDescent="0.3">
      <c r="A104" s="75" t="s">
        <v>120</v>
      </c>
      <c r="B104" s="56">
        <f>B98/B103</f>
        <v>2.5868759161852203E-4</v>
      </c>
      <c r="C104" s="56">
        <f>C98/C103</f>
        <v>2.5868759161852203E-4</v>
      </c>
      <c r="D104" s="124">
        <f>D98/D103</f>
        <v>8.5432054818901837E-4</v>
      </c>
      <c r="E104" s="57">
        <f>E98/E103</f>
        <v>-4.1990066724840406E-4</v>
      </c>
      <c r="F104" s="56">
        <f>F98/F103+0.001%</f>
        <v>1.2918344475204514E-3</v>
      </c>
      <c r="G104" s="56">
        <f t="shared" ref="G104" si="114">G98/G103</f>
        <v>6.5379254897370031E-4</v>
      </c>
      <c r="H104" s="56">
        <f t="shared" ref="H104:I104" si="115">H98/H103</f>
        <v>1.6119760514991827E-3</v>
      </c>
      <c r="I104" s="56">
        <f t="shared" si="115"/>
        <v>1.037840932983211E-3</v>
      </c>
      <c r="J104" s="56">
        <f>J98/J103</f>
        <v>2.1976425289235183E-3</v>
      </c>
      <c r="K104" s="56">
        <f>K98/K103</f>
        <v>2.1976425289235183E-3</v>
      </c>
      <c r="L104" s="124">
        <f>L98/L103</f>
        <v>9.4300619225248412E-3</v>
      </c>
      <c r="M104" s="57">
        <f>M98/M103</f>
        <v>4.9161746698652151E-3</v>
      </c>
      <c r="N104" s="56">
        <f>N98/N103+0.001%</f>
        <v>1.0755319146662921E-2</v>
      </c>
      <c r="O104" s="56">
        <f t="shared" ref="O104" si="116">O98/O103</f>
        <v>6.7272085047229467E-3</v>
      </c>
      <c r="P104" s="56">
        <f t="shared" ref="P104:Q104" si="117">P98/P103</f>
        <v>1.2912688503437041E-2</v>
      </c>
      <c r="Q104" s="56">
        <f t="shared" si="117"/>
        <v>1.5283320765821272E-2</v>
      </c>
      <c r="R104" s="56">
        <f t="shared" ref="R104:S104" si="118">R98/R103</f>
        <v>1.0474362361501108E-2</v>
      </c>
      <c r="S104" s="149">
        <f t="shared" si="118"/>
        <v>1.0474362361501108E-2</v>
      </c>
      <c r="T104" s="124">
        <f>T98/T103</f>
        <v>1.1386872631772766E-3</v>
      </c>
      <c r="U104" s="57">
        <f>U98/U103</f>
        <v>2.6400070273568353E-3</v>
      </c>
      <c r="V104" s="56">
        <f t="shared" ref="V104" si="119">V98/V103</f>
        <v>6.1659705863934368E-4</v>
      </c>
      <c r="W104" s="56">
        <f t="shared" ref="W104:Y104" si="120">W98/W103</f>
        <v>1.2650736641852374E-3</v>
      </c>
      <c r="X104" s="56">
        <f t="shared" si="120"/>
        <v>2.9300785586618009E-4</v>
      </c>
      <c r="Y104" s="56">
        <f t="shared" si="120"/>
        <v>-3.6811093701185949E-4</v>
      </c>
      <c r="Z104" s="56">
        <f t="shared" ref="Z104:AA104" si="121">Z98/Z103</f>
        <v>9.636066420029252E-4</v>
      </c>
      <c r="AA104" s="149">
        <f t="shared" si="121"/>
        <v>9.636066420029252E-4</v>
      </c>
      <c r="AB104" s="124">
        <f>AB98/AB103</f>
        <v>1.6677991228612021E-3</v>
      </c>
      <c r="AC104" s="57">
        <f>AC98/AC103</f>
        <v>1.8499713455525282E-3</v>
      </c>
      <c r="AD104" s="56">
        <f>AD98/AD103</f>
        <v>1.6153851509897715E-3</v>
      </c>
      <c r="AE104" s="56">
        <f t="shared" ref="AE104:AQ104" si="122">AE98/AE103</f>
        <v>1.2105078234197358E-3</v>
      </c>
      <c r="AF104" s="56">
        <f t="shared" si="122"/>
        <v>1.822577841456798E-3</v>
      </c>
      <c r="AG104" s="56">
        <f t="shared" si="122"/>
        <v>2.0712055357675228E-3</v>
      </c>
      <c r="AH104" s="56">
        <f t="shared" si="122"/>
        <v>1.5742629285013388E-3</v>
      </c>
      <c r="AI104" s="149">
        <f t="shared" si="122"/>
        <v>1.5742629285013388E-3</v>
      </c>
      <c r="AJ104" s="56">
        <f t="shared" si="122"/>
        <v>2.939353504624204E-3</v>
      </c>
      <c r="AK104" s="56">
        <f t="shared" si="122"/>
        <v>2.5786557145428125E-3</v>
      </c>
      <c r="AL104" s="56">
        <f t="shared" si="122"/>
        <v>3.0694671018706605E-3</v>
      </c>
      <c r="AM104" s="56">
        <f t="shared" si="122"/>
        <v>2.6849488587614048E-3</v>
      </c>
      <c r="AN104" s="56">
        <f t="shared" si="122"/>
        <v>3.2628207576509871E-3</v>
      </c>
      <c r="AO104" s="56">
        <f t="shared" si="122"/>
        <v>2.8517084400229661E-3</v>
      </c>
      <c r="AP104" s="56">
        <f t="shared" si="122"/>
        <v>3.6770137395558036E-3</v>
      </c>
      <c r="AQ104" s="56">
        <f t="shared" si="122"/>
        <v>3.6770137395558036E-3</v>
      </c>
      <c r="AR104" s="46"/>
      <c r="AS104" s="46"/>
      <c r="AT104" s="46"/>
    </row>
    <row r="105" spans="1:132" s="23" customFormat="1" x14ac:dyDescent="0.25">
      <c r="B105" s="46"/>
      <c r="C105" s="46"/>
      <c r="D105" s="180"/>
      <c r="F105" s="66"/>
      <c r="H105" s="46"/>
      <c r="I105" s="46"/>
      <c r="J105" s="46"/>
      <c r="K105" s="46"/>
      <c r="L105" s="180"/>
      <c r="N105" s="66"/>
      <c r="P105" s="66"/>
      <c r="R105" s="46"/>
      <c r="S105" s="46"/>
      <c r="T105" s="66"/>
      <c r="V105" s="66"/>
      <c r="X105" s="66"/>
      <c r="Z105" s="46"/>
      <c r="AA105" s="46"/>
      <c r="AB105" s="150"/>
      <c r="AC105" s="46"/>
      <c r="AD105" s="66"/>
      <c r="AE105" s="66"/>
      <c r="AF105" s="66"/>
      <c r="AG105" s="66"/>
      <c r="AH105" s="66"/>
      <c r="AI105" s="151"/>
      <c r="AJ105" s="66"/>
      <c r="AK105" s="66"/>
      <c r="AL105" s="66"/>
      <c r="AM105" s="66"/>
      <c r="AN105" s="66"/>
      <c r="AO105" s="66"/>
      <c r="AP105" s="66"/>
      <c r="AQ105" s="66"/>
      <c r="AR105" s="46"/>
      <c r="AS105" s="46"/>
      <c r="AT105" s="46"/>
    </row>
    <row r="106" spans="1:132" x14ac:dyDescent="0.25">
      <c r="A106" s="17" t="s">
        <v>121</v>
      </c>
      <c r="B106" s="14">
        <v>52494</v>
      </c>
      <c r="C106" s="37"/>
      <c r="D106" s="212">
        <v>50058</v>
      </c>
      <c r="E106" s="3"/>
      <c r="F106" s="3">
        <v>48543</v>
      </c>
      <c r="G106" s="37"/>
      <c r="H106" s="14">
        <v>50708</v>
      </c>
      <c r="I106" s="14"/>
      <c r="J106" s="14">
        <v>46111</v>
      </c>
      <c r="K106" s="37"/>
      <c r="L106" s="107">
        <v>43249</v>
      </c>
      <c r="M106" s="3"/>
      <c r="N106" s="3">
        <v>43144</v>
      </c>
      <c r="O106" s="37"/>
      <c r="P106" s="3">
        <v>44594</v>
      </c>
      <c r="Q106" s="3"/>
      <c r="R106" s="14">
        <v>41790</v>
      </c>
      <c r="S106" s="112"/>
      <c r="T106" s="107">
        <v>37855</v>
      </c>
      <c r="U106" s="3"/>
      <c r="V106" s="3">
        <v>39520</v>
      </c>
      <c r="W106" s="37"/>
      <c r="X106" s="3">
        <v>41555</v>
      </c>
      <c r="Y106" s="3"/>
      <c r="Z106" s="14">
        <v>39931</v>
      </c>
      <c r="AA106" s="112"/>
      <c r="AB106" s="107">
        <v>38851</v>
      </c>
      <c r="AC106" s="3"/>
      <c r="AD106" s="3">
        <v>40169</v>
      </c>
      <c r="AE106" s="53"/>
      <c r="AF106" s="3">
        <v>39353</v>
      </c>
      <c r="AG106" s="53"/>
      <c r="AH106" s="3">
        <v>36231</v>
      </c>
      <c r="AI106" s="108"/>
      <c r="AJ106" s="14"/>
      <c r="AK106" s="14"/>
      <c r="AL106" s="14"/>
      <c r="AM106" s="14"/>
      <c r="AN106" s="14"/>
      <c r="AO106" s="14"/>
      <c r="AP106" s="14"/>
      <c r="AQ106" s="14"/>
      <c r="AR106" s="17"/>
      <c r="AS106" s="17"/>
      <c r="AT106" s="17"/>
    </row>
    <row r="107" spans="1:132" s="23" customFormat="1" x14ac:dyDescent="0.25">
      <c r="A107" s="46"/>
      <c r="B107" s="46"/>
      <c r="C107" s="46"/>
      <c r="D107" s="180"/>
      <c r="F107" s="66"/>
      <c r="H107" s="46"/>
      <c r="I107" s="46"/>
      <c r="J107" s="46"/>
      <c r="K107" s="46"/>
      <c r="L107" s="180"/>
      <c r="N107" s="66"/>
      <c r="P107" s="66"/>
      <c r="R107" s="46"/>
      <c r="S107" s="46"/>
      <c r="T107" s="66"/>
      <c r="V107" s="66"/>
      <c r="X107" s="66"/>
      <c r="Z107" s="46"/>
      <c r="AA107" s="46"/>
      <c r="AB107" s="150"/>
      <c r="AC107" s="46"/>
      <c r="AD107" s="66"/>
      <c r="AE107" s="66"/>
      <c r="AF107" s="66"/>
      <c r="AG107" s="66"/>
      <c r="AH107" s="66"/>
      <c r="AI107" s="151"/>
      <c r="AJ107" s="66"/>
      <c r="AK107" s="66"/>
      <c r="AL107" s="66"/>
      <c r="AM107" s="66"/>
      <c r="AN107" s="66"/>
      <c r="AO107" s="66"/>
      <c r="AP107" s="66"/>
      <c r="AQ107" s="66"/>
      <c r="AR107" s="46"/>
      <c r="AS107" s="46"/>
      <c r="AT107" s="46"/>
    </row>
    <row r="108" spans="1:132" ht="15" customHeight="1" x14ac:dyDescent="0.25">
      <c r="A108" s="17" t="s">
        <v>122</v>
      </c>
      <c r="B108" s="59">
        <v>12330</v>
      </c>
      <c r="C108" s="9"/>
      <c r="D108" s="212">
        <v>12059</v>
      </c>
      <c r="E108" s="17"/>
      <c r="F108" s="53">
        <v>14698</v>
      </c>
      <c r="G108" s="17"/>
      <c r="H108" s="59">
        <v>13813</v>
      </c>
      <c r="I108" s="59"/>
      <c r="J108" s="59">
        <v>12644</v>
      </c>
      <c r="K108" s="9"/>
      <c r="L108" s="212">
        <v>14072</v>
      </c>
      <c r="M108" s="17"/>
      <c r="N108" s="53">
        <v>13287</v>
      </c>
      <c r="O108" s="17"/>
      <c r="P108" s="53">
        <v>11653</v>
      </c>
      <c r="Q108" s="17"/>
      <c r="R108" s="59">
        <v>14247</v>
      </c>
      <c r="S108" s="9"/>
      <c r="T108" s="53">
        <v>14376</v>
      </c>
      <c r="U108" s="17"/>
      <c r="V108" s="53">
        <v>14958</v>
      </c>
      <c r="W108" s="17"/>
      <c r="X108" s="53">
        <v>13525</v>
      </c>
      <c r="Y108" s="17"/>
      <c r="Z108" s="59">
        <v>13237</v>
      </c>
      <c r="AA108" s="9"/>
      <c r="AB108" s="152">
        <v>14289</v>
      </c>
      <c r="AC108" s="6"/>
      <c r="AD108" s="3">
        <v>14413</v>
      </c>
      <c r="AE108" s="3"/>
      <c r="AF108" s="53">
        <v>13080</v>
      </c>
      <c r="AG108" s="3"/>
      <c r="AH108" s="53">
        <v>14027</v>
      </c>
      <c r="AI108" s="106"/>
      <c r="AJ108" s="79"/>
      <c r="AK108" s="79"/>
      <c r="AR108" s="17"/>
      <c r="AS108" s="17"/>
      <c r="AT108" s="17"/>
    </row>
    <row r="109" spans="1:132" ht="15" customHeight="1" x14ac:dyDescent="0.25">
      <c r="A109" s="17" t="s">
        <v>123</v>
      </c>
      <c r="B109" s="187">
        <v>2029</v>
      </c>
      <c r="C109" s="9"/>
      <c r="D109" s="212">
        <v>1904</v>
      </c>
      <c r="E109" s="17"/>
      <c r="F109" s="53">
        <v>2566</v>
      </c>
      <c r="G109" s="17"/>
      <c r="H109" s="187">
        <v>2783</v>
      </c>
      <c r="I109" s="187"/>
      <c r="J109" s="187">
        <v>2801</v>
      </c>
      <c r="K109" s="9"/>
      <c r="L109" s="212">
        <v>2208</v>
      </c>
      <c r="M109" s="17"/>
      <c r="N109" s="53">
        <v>2859</v>
      </c>
      <c r="O109" s="17"/>
      <c r="P109" s="53">
        <v>2616</v>
      </c>
      <c r="Q109" s="17"/>
      <c r="R109" s="187">
        <v>2688</v>
      </c>
      <c r="S109" s="9"/>
      <c r="T109" s="53">
        <v>2698</v>
      </c>
      <c r="U109" s="17"/>
      <c r="V109" s="53">
        <v>2997</v>
      </c>
      <c r="W109" s="17"/>
      <c r="X109" s="53">
        <v>2805</v>
      </c>
      <c r="Y109" s="17"/>
      <c r="Z109" s="187">
        <v>2965</v>
      </c>
      <c r="AA109" s="9"/>
      <c r="AB109" s="152">
        <v>4224</v>
      </c>
      <c r="AC109" s="6"/>
      <c r="AD109" s="3">
        <v>4941</v>
      </c>
      <c r="AE109" s="3"/>
      <c r="AF109" s="53">
        <v>4685</v>
      </c>
      <c r="AG109" s="3"/>
      <c r="AH109" s="53">
        <v>4549</v>
      </c>
      <c r="AI109" s="106"/>
      <c r="AJ109" s="79"/>
      <c r="AK109" s="79"/>
      <c r="AR109" s="17"/>
      <c r="AS109" s="17"/>
      <c r="AT109" s="17"/>
    </row>
    <row r="110" spans="1:132" ht="30.75" thickBot="1" x14ac:dyDescent="0.3">
      <c r="A110" s="75" t="s">
        <v>124</v>
      </c>
      <c r="B110" s="56">
        <f>(B108+B109)/B65</f>
        <v>6.1473321888338518E-2</v>
      </c>
      <c r="C110" s="56"/>
      <c r="D110" s="148">
        <f>(D108+D109)/D65</f>
        <v>6.06298768123179E-2</v>
      </c>
      <c r="E110" s="75"/>
      <c r="F110" s="56">
        <f>(F108+F109)/F65</f>
        <v>7.6068948500123371E-2</v>
      </c>
      <c r="G110" s="75"/>
      <c r="H110" s="56">
        <f>(H108+H109)/H65</f>
        <v>7.3501601038128181E-2</v>
      </c>
      <c r="I110" s="56"/>
      <c r="J110" s="56">
        <f>(J108+J109)/J65</f>
        <v>6.9794975846283858E-2</v>
      </c>
      <c r="K110" s="56"/>
      <c r="L110" s="148">
        <f>(L108+L109)/L65</f>
        <v>7.4276511193944725E-2</v>
      </c>
      <c r="M110" s="75"/>
      <c r="N110" s="56">
        <f>(N108+N109)/N65</f>
        <v>7.4475887359025814E-2</v>
      </c>
      <c r="O110" s="75"/>
      <c r="P110" s="56">
        <f>(P108+P109)/P65</f>
        <v>6.6543239814952998E-2</v>
      </c>
      <c r="Q110" s="75"/>
      <c r="R110" s="56">
        <f>(R108+R109)/R65</f>
        <v>7.9821456346830938E-2</v>
      </c>
      <c r="S110" s="56"/>
      <c r="T110" s="148">
        <f>(T108+T109)/T65</f>
        <v>8.2437691319756271E-2</v>
      </c>
      <c r="U110" s="75"/>
      <c r="V110" s="56">
        <f>(V108+V109)/V65</f>
        <v>8.8198452658725279E-2</v>
      </c>
      <c r="W110" s="75"/>
      <c r="X110" s="56">
        <f>(X108+X109)/X65</f>
        <v>8.2214815784439094E-2</v>
      </c>
      <c r="Y110" s="75"/>
      <c r="Z110" s="56">
        <f>(Z108+Z109)/Z65</f>
        <v>8.2466355844208722E-2</v>
      </c>
      <c r="AA110" s="56"/>
      <c r="AB110" s="148">
        <f>(AB108+AB109)/AB65</f>
        <v>9.6369173108456316E-2</v>
      </c>
      <c r="AC110" s="56"/>
      <c r="AD110" s="56">
        <f>(AD108+AD109)/AD65</f>
        <v>0.10575147256494039</v>
      </c>
      <c r="AE110" s="56"/>
      <c r="AF110" s="56">
        <f>(AF108+AF109)/AF65</f>
        <v>9.9286301117215398E-2</v>
      </c>
      <c r="AG110" s="56"/>
      <c r="AH110" s="56">
        <f>(AH108+AH109)/AH65</f>
        <v>0.10658710121643332</v>
      </c>
      <c r="AI110" s="141"/>
      <c r="AJ110" s="79"/>
      <c r="AK110" s="79"/>
      <c r="AL110"/>
      <c r="AM110"/>
      <c r="AN110"/>
      <c r="AO110"/>
      <c r="AP110"/>
      <c r="AQ110"/>
      <c r="AR110" s="17"/>
      <c r="AS110" s="17"/>
      <c r="AT110" s="17"/>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row>
    <row r="111" spans="1:132" ht="15" customHeight="1" x14ac:dyDescent="0.25">
      <c r="A111" s="33"/>
      <c r="B111" s="71"/>
      <c r="C111"/>
      <c r="D111" s="153"/>
      <c r="E111" s="33"/>
      <c r="F111" s="71"/>
      <c r="G111" s="33"/>
      <c r="H111" s="71"/>
      <c r="I111" s="71"/>
      <c r="J111" s="71"/>
      <c r="K111"/>
      <c r="L111" s="153"/>
      <c r="M111" s="33"/>
      <c r="N111" s="71"/>
      <c r="O111" s="33"/>
      <c r="P111" s="71"/>
      <c r="Q111" s="33"/>
      <c r="R111" s="71"/>
      <c r="S111"/>
      <c r="T111" s="71"/>
      <c r="U111" s="33"/>
      <c r="V111" s="71"/>
      <c r="W111" s="33"/>
      <c r="X111" s="71"/>
      <c r="Y111" s="33"/>
      <c r="Z111" s="71"/>
      <c r="AA111"/>
      <c r="AB111" s="153"/>
      <c r="AC111"/>
      <c r="AD111" s="71"/>
      <c r="AE111"/>
      <c r="AF111" s="71"/>
      <c r="AG111"/>
      <c r="AH111" s="71"/>
      <c r="AI111" s="141"/>
      <c r="AJ111" s="79"/>
      <c r="AK111" s="79"/>
      <c r="AL111"/>
      <c r="AM111"/>
      <c r="AN111"/>
      <c r="AO111"/>
      <c r="AP111"/>
      <c r="AQ111"/>
      <c r="AR111" s="17"/>
      <c r="AS111" s="17"/>
      <c r="AT111" s="17"/>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row>
    <row r="112" spans="1:132" ht="30.75" thickBot="1" x14ac:dyDescent="0.3">
      <c r="A112" s="75" t="s">
        <v>125</v>
      </c>
      <c r="B112" s="56">
        <f>(B108+B109)/B67</f>
        <v>6.1473321888338518E-2</v>
      </c>
      <c r="C112" s="56"/>
      <c r="D112" s="148">
        <f>(D108+D109)/D67</f>
        <v>6.06298768123179E-2</v>
      </c>
      <c r="E112" s="75"/>
      <c r="F112" s="56">
        <f>(F108+F109)/F67</f>
        <v>7.6068948500123371E-2</v>
      </c>
      <c r="G112" s="75"/>
      <c r="H112" s="56">
        <f>(H108+H109)/H67</f>
        <v>7.3501601038128181E-2</v>
      </c>
      <c r="I112" s="56"/>
      <c r="J112" s="56">
        <f>(J108+J109)/J67</f>
        <v>6.9794975846283858E-2</v>
      </c>
      <c r="K112" s="56"/>
      <c r="L112" s="148">
        <f>(L108+L109)/L67</f>
        <v>7.4276511193944725E-2</v>
      </c>
      <c r="M112" s="75"/>
      <c r="N112" s="56">
        <f>(N108+N109)/N67</f>
        <v>7.3329245861434703E-2</v>
      </c>
      <c r="O112" s="75"/>
      <c r="P112" s="56">
        <f>(P108+P109)/P67</f>
        <v>6.5265517083657326E-2</v>
      </c>
      <c r="Q112" s="75"/>
      <c r="R112" s="56">
        <f>(R108+R109)/R67</f>
        <v>7.8274494578329953E-2</v>
      </c>
      <c r="S112" s="56"/>
      <c r="T112" s="148">
        <f>(T108+T109)/T67</f>
        <v>8.0782751458432889E-2</v>
      </c>
      <c r="U112" s="75"/>
      <c r="V112" s="56">
        <f>(V108+V109)/V67</f>
        <v>8.5559484212833686E-2</v>
      </c>
      <c r="W112" s="75"/>
      <c r="X112" s="56">
        <f>(X108+X109)/X67</f>
        <v>7.8693864962677038E-2</v>
      </c>
      <c r="Y112" s="75"/>
      <c r="Z112" s="56">
        <f>(Z108+Z109)/Z67</f>
        <v>7.8877929563888102E-2</v>
      </c>
      <c r="AA112" s="56"/>
      <c r="AB112" s="148">
        <f>(AB108+AB109)/AB67</f>
        <v>9.1922005571030641E-2</v>
      </c>
      <c r="AC112" s="56"/>
      <c r="AD112" s="56">
        <f>(AD108+AD109)/AD67</f>
        <v>9.8521214589325251E-2</v>
      </c>
      <c r="AE112" s="56"/>
      <c r="AF112" s="56">
        <f>(AF108+AF109)/AF67</f>
        <v>9.1821123251703066E-2</v>
      </c>
      <c r="AG112" s="56"/>
      <c r="AH112" s="56">
        <f>(AH108+AH109)/AH67</f>
        <v>9.8331498263741851E-2</v>
      </c>
      <c r="AI112" s="141"/>
      <c r="AJ112" s="79"/>
      <c r="AK112" s="79"/>
      <c r="AL112"/>
      <c r="AM112"/>
      <c r="AN112"/>
      <c r="AO112"/>
      <c r="AP112"/>
      <c r="AQ112"/>
      <c r="AR112" s="17"/>
      <c r="AS112" s="17"/>
      <c r="AT112" s="17"/>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row>
    <row r="113" spans="1:132" x14ac:dyDescent="0.25">
      <c r="A113" s="195"/>
      <c r="B113" s="67"/>
      <c r="C113" s="67"/>
      <c r="D113" s="181"/>
      <c r="E113" s="195"/>
      <c r="F113" s="67"/>
      <c r="G113" s="195"/>
      <c r="H113" s="67"/>
      <c r="I113" s="67"/>
      <c r="J113" s="67"/>
      <c r="K113" s="67"/>
      <c r="L113" s="181"/>
      <c r="M113" s="195"/>
      <c r="N113" s="67"/>
      <c r="O113" s="195"/>
      <c r="P113" s="67"/>
      <c r="Q113" s="195"/>
      <c r="R113" s="67"/>
      <c r="S113" s="67"/>
      <c r="T113" s="67"/>
      <c r="U113" s="195"/>
      <c r="V113" s="67"/>
      <c r="W113" s="195"/>
      <c r="X113" s="67"/>
      <c r="Y113" s="195"/>
      <c r="Z113" s="67"/>
      <c r="AA113" s="67"/>
      <c r="AB113" s="181"/>
      <c r="AC113" s="67"/>
      <c r="AD113" s="67"/>
      <c r="AE113" s="67"/>
      <c r="AF113" s="67"/>
      <c r="AG113" s="67"/>
      <c r="AH113" s="67"/>
      <c r="AI113" s="141"/>
      <c r="AJ113" s="79"/>
      <c r="AK113" s="79"/>
      <c r="AL113"/>
      <c r="AM113"/>
      <c r="AN113"/>
      <c r="AO113"/>
      <c r="AP113"/>
      <c r="AQ113"/>
      <c r="AR113" s="17"/>
      <c r="AS113" s="17"/>
      <c r="AT113" s="17"/>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row>
    <row r="114" spans="1:132" ht="30.75" thickBot="1" x14ac:dyDescent="0.3">
      <c r="A114" s="75" t="s">
        <v>126</v>
      </c>
      <c r="B114" s="56">
        <f>(B108+B109)/(B65+B106)</f>
        <v>5.0193131171895479E-2</v>
      </c>
      <c r="C114" s="56"/>
      <c r="D114" s="148">
        <f>(D108+D109)/(D65+D106)</f>
        <v>4.9804356588207178E-2</v>
      </c>
      <c r="E114" s="75"/>
      <c r="F114" s="56">
        <f>(F108+F109)/(F65+F106)</f>
        <v>6.2665384126753668E-2</v>
      </c>
      <c r="G114" s="75"/>
      <c r="H114" s="56">
        <f>(H108+H109)/(H65+H106)</f>
        <v>6.0021916896625303E-2</v>
      </c>
      <c r="I114" s="56"/>
      <c r="J114" s="56">
        <f>(J108+J109)/(J65+J106)</f>
        <v>5.7759478238756629E-2</v>
      </c>
      <c r="K114" s="56"/>
      <c r="L114" s="148">
        <f>(L108+L109)/(L65+L106)</f>
        <v>6.2035590443165797E-2</v>
      </c>
      <c r="M114" s="75"/>
      <c r="N114" s="56">
        <f>(N108+N109)/(N65+N106)</f>
        <v>6.2114573034442698E-2</v>
      </c>
      <c r="O114" s="75"/>
      <c r="P114" s="56">
        <f>(P108+P109)/(P65+P106)</f>
        <v>5.5087134110089336E-2</v>
      </c>
      <c r="Q114" s="75"/>
      <c r="R114" s="56">
        <f>(R108+R109)/(R65+R106)</f>
        <v>6.6686092986442264E-2</v>
      </c>
      <c r="S114" s="56"/>
      <c r="T114" s="148">
        <f>(T108+T109)/(T65+T106)</f>
        <v>6.9698614926786653E-2</v>
      </c>
      <c r="U114" s="75"/>
      <c r="V114" s="56">
        <f>(V108+V109)/(V65+V106)</f>
        <v>7.3860013574939834E-2</v>
      </c>
      <c r="W114" s="75"/>
      <c r="X114" s="56">
        <f>(X108+X109)/(X65+X106)</f>
        <v>6.7990390580437252E-2</v>
      </c>
      <c r="Y114" s="75"/>
      <c r="Z114" s="56">
        <f>(Z108+Z109)/(Z65+Z106)</f>
        <v>6.8536668936839837E-2</v>
      </c>
      <c r="AA114" s="56"/>
      <c r="AB114" s="148">
        <f>(AB108+AB109)/(AB65+AB106)</f>
        <v>8.0158125357210896E-2</v>
      </c>
      <c r="AC114" s="56"/>
      <c r="AD114" s="56">
        <f>(AD108+AD109)/(AD65+AD106)</f>
        <v>8.6718074405308654E-2</v>
      </c>
      <c r="AE114" s="56"/>
      <c r="AF114" s="56">
        <f>(AF108+AF109)/(AF65+AF106)</f>
        <v>8.1386292834890961E-2</v>
      </c>
      <c r="AG114" s="56"/>
      <c r="AH114" s="56">
        <f>(AH108+AH109)/(AH65+AH106)</f>
        <v>8.8242419636028524E-2</v>
      </c>
      <c r="AI114" s="141"/>
      <c r="AJ114" s="79"/>
      <c r="AK114" s="79"/>
      <c r="AL114"/>
      <c r="AM114"/>
      <c r="AN114"/>
      <c r="AO114"/>
      <c r="AP114"/>
      <c r="AQ114"/>
      <c r="AR114" s="17"/>
      <c r="AS114" s="17"/>
      <c r="AT114" s="17"/>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row>
    <row r="115" spans="1:132" x14ac:dyDescent="0.25">
      <c r="A115" s="195"/>
      <c r="B115" s="67"/>
      <c r="C115" s="67"/>
      <c r="D115" s="181"/>
      <c r="E115" s="195"/>
      <c r="F115" s="67"/>
      <c r="G115" s="195"/>
      <c r="H115" s="67"/>
      <c r="I115" s="67"/>
      <c r="J115" s="67"/>
      <c r="K115" s="67"/>
      <c r="L115" s="181"/>
      <c r="M115" s="195"/>
      <c r="N115" s="67"/>
      <c r="O115" s="195"/>
      <c r="P115" s="67"/>
      <c r="Q115" s="195"/>
      <c r="R115" s="67"/>
      <c r="S115" s="67"/>
      <c r="T115" s="67"/>
      <c r="U115" s="195"/>
      <c r="V115" s="67"/>
      <c r="W115" s="195"/>
      <c r="X115" s="67"/>
      <c r="Y115" s="195"/>
      <c r="Z115" s="67"/>
      <c r="AA115" s="67"/>
      <c r="AB115" s="181"/>
      <c r="AC115" s="67"/>
      <c r="AD115" s="67"/>
      <c r="AE115" s="67"/>
      <c r="AF115" s="67"/>
      <c r="AG115" s="67"/>
      <c r="AH115" s="67"/>
      <c r="AI115" s="141"/>
      <c r="AJ115" s="79"/>
      <c r="AK115" s="79"/>
      <c r="AL115"/>
      <c r="AM115"/>
      <c r="AN115"/>
      <c r="AO115"/>
      <c r="AP115"/>
      <c r="AQ115"/>
      <c r="AR115" s="17"/>
      <c r="AS115" s="17"/>
      <c r="AT115" s="17"/>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row>
    <row r="116" spans="1:132" ht="30.75" customHeight="1" thickBot="1" x14ac:dyDescent="0.3">
      <c r="A116" s="75" t="s">
        <v>127</v>
      </c>
      <c r="B116" s="56">
        <f t="shared" ref="B116" si="123">(B108+B109)/(B67+B106)</f>
        <v>5.0193131171895479E-2</v>
      </c>
      <c r="C116" s="56"/>
      <c r="D116" s="148">
        <f>(D108+D109)/(D67+D106)</f>
        <v>4.9804356588207178E-2</v>
      </c>
      <c r="E116" s="75"/>
      <c r="F116" s="56">
        <f t="shared" ref="F116" si="124">(F108+F109)/(F67+F106)</f>
        <v>6.2665384126753668E-2</v>
      </c>
      <c r="G116" s="75"/>
      <c r="H116" s="56">
        <f t="shared" ref="H116" si="125">(H108+H109)/(H67+H106)</f>
        <v>6.0021916896625303E-2</v>
      </c>
      <c r="I116" s="56"/>
      <c r="J116" s="56">
        <f t="shared" ref="J116" si="126">(J108+J109)/(J67+J106)</f>
        <v>5.7759478238756629E-2</v>
      </c>
      <c r="K116" s="56"/>
      <c r="L116" s="148">
        <f>(L108+L109)/(L67+L106)</f>
        <v>6.2035590443165797E-2</v>
      </c>
      <c r="M116" s="75"/>
      <c r="N116" s="56">
        <f t="shared" ref="N116" si="127">(N108+N109)/(N67+N106)</f>
        <v>6.1314933030543542E-2</v>
      </c>
      <c r="O116" s="75"/>
      <c r="P116" s="56">
        <f t="shared" ref="P116" si="128">(P108+P109)/(P67+P106)</f>
        <v>5.4208582803999636E-2</v>
      </c>
      <c r="Q116" s="75"/>
      <c r="R116" s="56">
        <f t="shared" ref="R116" si="129">(R108+R109)/(R67+R106)</f>
        <v>6.5602919300855336E-2</v>
      </c>
      <c r="S116" s="56"/>
      <c r="T116" s="148">
        <f>(T108+T109)/(T67+T106)</f>
        <v>6.851194966534517E-2</v>
      </c>
      <c r="U116" s="75"/>
      <c r="V116" s="56">
        <f t="shared" ref="V116:AH116" si="130">(V108+V109)/(V67+V106)</f>
        <v>7.2000288722962297E-2</v>
      </c>
      <c r="W116" s="75"/>
      <c r="X116" s="56">
        <f t="shared" si="130"/>
        <v>6.5564424173318134E-2</v>
      </c>
      <c r="Y116" s="75"/>
      <c r="Z116" s="56">
        <f t="shared" si="130"/>
        <v>6.6039773862075435E-2</v>
      </c>
      <c r="AA116" s="56"/>
      <c r="AB116" s="148">
        <f t="shared" si="130"/>
        <v>7.7057232049947966E-2</v>
      </c>
      <c r="AC116" s="56"/>
      <c r="AD116" s="56">
        <f t="shared" si="130"/>
        <v>8.1795667204814598E-2</v>
      </c>
      <c r="AE116" s="56"/>
      <c r="AF116" s="56">
        <f t="shared" si="130"/>
        <v>7.6301288080849725E-2</v>
      </c>
      <c r="AG116" s="56"/>
      <c r="AH116" s="56">
        <f t="shared" si="130"/>
        <v>8.25075618606841E-2</v>
      </c>
      <c r="AI116" s="141"/>
      <c r="AJ116" s="79"/>
      <c r="AK116" s="79"/>
      <c r="AL116"/>
      <c r="AM116"/>
      <c r="AN116"/>
      <c r="AO116"/>
      <c r="AP116"/>
      <c r="AQ116"/>
      <c r="AR116" s="17"/>
      <c r="AS116" s="17"/>
      <c r="AT116" s="17"/>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row>
    <row r="117" spans="1:132" s="23" customFormat="1" x14ac:dyDescent="0.25">
      <c r="A117" s="46"/>
      <c r="B117" s="97"/>
      <c r="C117" s="46"/>
      <c r="D117" s="180"/>
      <c r="F117" s="66"/>
      <c r="H117" s="97"/>
      <c r="I117" s="97"/>
      <c r="J117" s="97"/>
      <c r="K117" s="46"/>
      <c r="L117" s="180"/>
      <c r="N117" s="66"/>
      <c r="P117" s="66"/>
      <c r="R117" s="97"/>
      <c r="S117" s="46"/>
      <c r="T117" s="66"/>
      <c r="V117" s="66"/>
      <c r="X117" s="66"/>
      <c r="Z117" s="97"/>
      <c r="AA117" s="46"/>
      <c r="AB117" s="154"/>
      <c r="AC117" s="46"/>
      <c r="AD117" s="66"/>
      <c r="AE117" s="66"/>
      <c r="AF117" s="66"/>
      <c r="AG117" s="66"/>
      <c r="AH117" s="66"/>
      <c r="AI117" s="151"/>
      <c r="AJ117" s="79"/>
      <c r="AK117" s="79"/>
      <c r="AL117" s="66"/>
      <c r="AM117" s="66"/>
      <c r="AN117" s="66"/>
      <c r="AO117" s="66"/>
      <c r="AP117" s="66"/>
      <c r="AQ117" s="66"/>
      <c r="AR117" s="46"/>
      <c r="AS117" s="46"/>
      <c r="AT117" s="46"/>
    </row>
    <row r="118" spans="1:132" ht="15" customHeight="1" x14ac:dyDescent="0.25">
      <c r="A118" s="17" t="s">
        <v>128</v>
      </c>
      <c r="B118" s="14">
        <v>2886</v>
      </c>
      <c r="C118" s="14"/>
      <c r="D118" s="107">
        <v>2899</v>
      </c>
      <c r="E118" s="17"/>
      <c r="F118" s="3">
        <v>3696</v>
      </c>
      <c r="G118" s="17"/>
      <c r="H118" s="14">
        <v>3731</v>
      </c>
      <c r="I118" s="14"/>
      <c r="J118" s="14">
        <v>3848</v>
      </c>
      <c r="K118" s="14"/>
      <c r="L118" s="107">
        <v>3739</v>
      </c>
      <c r="M118" s="17"/>
      <c r="N118" s="3">
        <v>2967</v>
      </c>
      <c r="O118" s="17"/>
      <c r="P118" s="3">
        <v>3684</v>
      </c>
      <c r="Q118" s="17"/>
      <c r="R118" s="14">
        <v>2592</v>
      </c>
      <c r="S118" s="14"/>
      <c r="T118" s="3">
        <v>2347</v>
      </c>
      <c r="U118" s="17"/>
      <c r="V118" s="3">
        <v>2380</v>
      </c>
      <c r="W118" s="17"/>
      <c r="X118" s="3">
        <v>2143</v>
      </c>
      <c r="Y118" s="17"/>
      <c r="Z118" s="14">
        <v>2092</v>
      </c>
      <c r="AA118" s="14"/>
      <c r="AB118" s="107">
        <v>2133</v>
      </c>
      <c r="AC118" s="3"/>
      <c r="AD118" s="3">
        <v>2699</v>
      </c>
      <c r="AE118" s="3"/>
      <c r="AF118" s="3">
        <v>2816</v>
      </c>
      <c r="AG118" s="3"/>
      <c r="AH118" s="3">
        <v>2018</v>
      </c>
      <c r="AI118" s="106"/>
      <c r="AJ118" s="79"/>
      <c r="AK118" s="79"/>
      <c r="AR118" s="17"/>
      <c r="AS118" s="17"/>
      <c r="AT118" s="17"/>
    </row>
    <row r="119" spans="1:132" ht="15" customHeight="1" x14ac:dyDescent="0.25">
      <c r="A119" s="17" t="s">
        <v>129</v>
      </c>
      <c r="B119" s="187">
        <v>1110</v>
      </c>
      <c r="C119" s="14"/>
      <c r="D119" s="107">
        <v>1200</v>
      </c>
      <c r="E119" s="17"/>
      <c r="F119" s="3">
        <v>1209</v>
      </c>
      <c r="G119" s="17"/>
      <c r="H119" s="187">
        <v>1212</v>
      </c>
      <c r="I119" s="187"/>
      <c r="J119" s="187">
        <v>1261</v>
      </c>
      <c r="K119" s="14"/>
      <c r="L119" s="107">
        <v>1252</v>
      </c>
      <c r="M119" s="17"/>
      <c r="N119" s="3">
        <v>1166</v>
      </c>
      <c r="O119" s="17"/>
      <c r="P119" s="3">
        <v>1152</v>
      </c>
      <c r="Q119" s="17"/>
      <c r="R119" s="187">
        <v>1020</v>
      </c>
      <c r="S119" s="14"/>
      <c r="T119" s="3">
        <v>885</v>
      </c>
      <c r="U119" s="17"/>
      <c r="V119" s="3">
        <v>870</v>
      </c>
      <c r="W119" s="17"/>
      <c r="X119" s="3">
        <v>818</v>
      </c>
      <c r="Y119" s="17"/>
      <c r="Z119" s="187">
        <v>782</v>
      </c>
      <c r="AA119" s="14"/>
      <c r="AB119" s="107">
        <v>802</v>
      </c>
      <c r="AC119" s="3"/>
      <c r="AD119" s="3">
        <v>157</v>
      </c>
      <c r="AE119" s="3"/>
      <c r="AF119" s="53">
        <v>166</v>
      </c>
      <c r="AG119" s="3"/>
      <c r="AH119" s="3">
        <v>164</v>
      </c>
      <c r="AI119" s="106"/>
      <c r="AJ119" s="79"/>
      <c r="AK119" s="79"/>
      <c r="AR119" s="17"/>
      <c r="AS119" s="17"/>
      <c r="AT119" s="17"/>
    </row>
    <row r="120" spans="1:132" ht="30.75" thickBot="1" x14ac:dyDescent="0.3">
      <c r="A120" s="75" t="s">
        <v>130</v>
      </c>
      <c r="B120" s="57">
        <f>(B118+B119)/B65</f>
        <v>1.7107555837161413E-2</v>
      </c>
      <c r="C120" s="57"/>
      <c r="D120" s="124">
        <f>(D118+D119)/(D65)</f>
        <v>1.779860094920082E-2</v>
      </c>
      <c r="E120" s="75"/>
      <c r="F120" s="57">
        <f>(F118+F119)/F65</f>
        <v>2.1612499559378193E-2</v>
      </c>
      <c r="G120" s="75"/>
      <c r="H120" s="57">
        <f>(H118+H119)/H65-0.00027%</f>
        <v>2.1889226604691947E-2</v>
      </c>
      <c r="I120" s="57"/>
      <c r="J120" s="57">
        <f>(J118+J119)/J65</f>
        <v>2.3087247109010306E-2</v>
      </c>
      <c r="K120" s="57"/>
      <c r="L120" s="124">
        <f>(L118+L119)/(L65)</f>
        <v>2.2771134359273842E-2</v>
      </c>
      <c r="M120" s="75"/>
      <c r="N120" s="57">
        <f>(N118+N119)/N65</f>
        <v>1.9064092806568417E-2</v>
      </c>
      <c r="O120" s="75"/>
      <c r="P120" s="57">
        <f>(P118+P119)/P65-0.00027%</f>
        <v>2.2549904088941947E-2</v>
      </c>
      <c r="Q120" s="75"/>
      <c r="R120" s="57">
        <f>(R118+R119)/R65</f>
        <v>1.7024806632698751E-2</v>
      </c>
      <c r="S120" s="57"/>
      <c r="T120" s="124">
        <f>(T118+T119)/(T65)</f>
        <v>1.5604932549224099E-2</v>
      </c>
      <c r="U120" s="75"/>
      <c r="V120" s="57">
        <f>(V118+V119)/V65</f>
        <v>1.5964632199435096E-2</v>
      </c>
      <c r="W120" s="75"/>
      <c r="X120" s="57">
        <f>(X118+X119)/X65</f>
        <v>1.4907413933724689E-2</v>
      </c>
      <c r="Y120" s="75"/>
      <c r="Z120" s="57">
        <f>(Z118+Z119)/Z65</f>
        <v>1.4628336421198363E-2</v>
      </c>
      <c r="AA120" s="57"/>
      <c r="AB120" s="124">
        <f>(AB118+AB119)/AB65</f>
        <v>1.5278103120689206E-2</v>
      </c>
      <c r="AC120" s="57"/>
      <c r="AD120" s="57">
        <f>(AD118+AD119)/AD65</f>
        <v>1.5605363524101981E-2</v>
      </c>
      <c r="AE120" s="57"/>
      <c r="AF120" s="57">
        <f>(AF118+AF119)/AF65</f>
        <v>1.6666014631665428E-2</v>
      </c>
      <c r="AG120" s="57"/>
      <c r="AH120" s="57">
        <f>(AH118+AH119)/AH65</f>
        <v>1.2520082625659857E-2</v>
      </c>
      <c r="AI120" s="141"/>
      <c r="AJ120" s="79"/>
      <c r="AK120" s="79"/>
      <c r="AL120"/>
      <c r="AM120"/>
      <c r="AN120"/>
      <c r="AO120"/>
      <c r="AP120"/>
      <c r="AQ120"/>
      <c r="AR120" s="17"/>
      <c r="AS120" s="17"/>
      <c r="AT120" s="17"/>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row>
    <row r="121" spans="1:132" ht="15" customHeight="1" x14ac:dyDescent="0.25">
      <c r="A121" s="34"/>
      <c r="B121" s="92"/>
      <c r="C121" s="21"/>
      <c r="D121" s="121"/>
      <c r="E121" s="34"/>
      <c r="F121" s="92"/>
      <c r="G121" s="34"/>
      <c r="H121" s="92"/>
      <c r="I121" s="92"/>
      <c r="J121" s="92"/>
      <c r="K121" s="21"/>
      <c r="L121" s="121"/>
      <c r="M121" s="34"/>
      <c r="N121" s="92"/>
      <c r="O121" s="34"/>
      <c r="P121" s="92"/>
      <c r="Q121" s="34"/>
      <c r="R121" s="92"/>
      <c r="S121" s="21"/>
      <c r="T121" s="92"/>
      <c r="U121" s="34"/>
      <c r="V121" s="92"/>
      <c r="W121" s="34"/>
      <c r="X121" s="92"/>
      <c r="Y121" s="34"/>
      <c r="Z121" s="92"/>
      <c r="AA121" s="21"/>
      <c r="AB121" s="121"/>
      <c r="AC121" s="21"/>
      <c r="AD121" s="92"/>
      <c r="AE121" s="21"/>
      <c r="AF121" s="92"/>
      <c r="AG121" s="21"/>
      <c r="AH121" s="92"/>
      <c r="AI121" s="141"/>
      <c r="AJ121" s="79"/>
      <c r="AK121" s="79"/>
      <c r="AL121"/>
      <c r="AM121"/>
      <c r="AN121"/>
      <c r="AO121"/>
      <c r="AP121"/>
      <c r="AQ121"/>
      <c r="AR121" s="17"/>
      <c r="AS121" s="17"/>
      <c r="AT121" s="17"/>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row>
    <row r="122" spans="1:132" ht="30.75" thickBot="1" x14ac:dyDescent="0.3">
      <c r="A122" s="75" t="s">
        <v>131</v>
      </c>
      <c r="B122" s="94">
        <f>(B118+B119)/B67</f>
        <v>1.7107555837161413E-2</v>
      </c>
      <c r="C122" s="94"/>
      <c r="D122" s="155">
        <f>(D118+D119)/(D67)</f>
        <v>1.779860094920082E-2</v>
      </c>
      <c r="E122" s="193"/>
      <c r="F122" s="94">
        <f>(F118+F119)/F67</f>
        <v>2.1612499559378193E-2</v>
      </c>
      <c r="G122" s="193"/>
      <c r="H122" s="94">
        <f>(H118+H119)/H67</f>
        <v>2.1891926604691948E-2</v>
      </c>
      <c r="I122" s="94"/>
      <c r="J122" s="94">
        <f>(J118+J119)/J67</f>
        <v>2.3087247109010306E-2</v>
      </c>
      <c r="K122" s="94"/>
      <c r="L122" s="155">
        <f>(L118+L119)/(L67)</f>
        <v>2.2771134359273842E-2</v>
      </c>
      <c r="M122" s="193"/>
      <c r="N122" s="94">
        <f>(N118+N119)/N67</f>
        <v>1.8770579285600743E-2</v>
      </c>
      <c r="O122" s="193"/>
      <c r="P122" s="94">
        <f>(P118+P119)/P67</f>
        <v>2.2119562731555596E-2</v>
      </c>
      <c r="Q122" s="193"/>
      <c r="R122" s="94">
        <f>(R118+R119)/R67</f>
        <v>1.6694861199700491E-2</v>
      </c>
      <c r="S122" s="94"/>
      <c r="T122" s="155">
        <f>(T118+T119)/(T67)</f>
        <v>1.5291662921029349E-2</v>
      </c>
      <c r="U122" s="193"/>
      <c r="V122" s="94">
        <f>(V118+V119)/V67</f>
        <v>1.5486957599092703E-2</v>
      </c>
      <c r="W122" s="193"/>
      <c r="X122" s="94">
        <f>(X118+X119)/X67</f>
        <v>1.4268985557531335E-2</v>
      </c>
      <c r="Y122" s="193"/>
      <c r="Z122" s="94">
        <f>(Z118+Z119)/Z67</f>
        <v>1.3991801602679571E-2</v>
      </c>
      <c r="AA122" s="94"/>
      <c r="AB122" s="155">
        <f>(AB118+AB119)/AB67</f>
        <v>1.4573061435260354E-2</v>
      </c>
      <c r="AC122" s="94"/>
      <c r="AD122" s="94">
        <f>(AD118+AD119)/AD67</f>
        <v>1.4538420423019166E-2</v>
      </c>
      <c r="AE122" s="94"/>
      <c r="AF122" s="94">
        <f>(AF118+AF119)/AF67</f>
        <v>1.5412923700342165E-2</v>
      </c>
      <c r="AG122" s="94"/>
      <c r="AH122" s="94">
        <f>(AH118+AH119)/AH67</f>
        <v>1.1550351486406369E-2</v>
      </c>
      <c r="AI122" s="141"/>
      <c r="AJ122" s="79"/>
      <c r="AK122" s="79"/>
      <c r="AL122"/>
      <c r="AM122"/>
      <c r="AN122"/>
      <c r="AO122"/>
      <c r="AP122"/>
      <c r="AQ122"/>
      <c r="AR122" s="17"/>
      <c r="AS122" s="17"/>
      <c r="AT122" s="17"/>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row>
    <row r="123" spans="1:132" x14ac:dyDescent="0.25">
      <c r="A123" s="195"/>
      <c r="B123" s="196"/>
      <c r="C123" s="196"/>
      <c r="D123" s="197"/>
      <c r="E123" s="195"/>
      <c r="F123" s="196"/>
      <c r="G123" s="195"/>
      <c r="H123" s="196"/>
      <c r="I123" s="196"/>
      <c r="J123" s="196"/>
      <c r="K123" s="196"/>
      <c r="L123" s="197"/>
      <c r="M123" s="195"/>
      <c r="N123" s="196"/>
      <c r="O123" s="195"/>
      <c r="P123" s="196"/>
      <c r="Q123" s="195"/>
      <c r="R123" s="196"/>
      <c r="S123" s="196"/>
      <c r="T123" s="196"/>
      <c r="U123" s="195"/>
      <c r="V123" s="196"/>
      <c r="W123" s="195"/>
      <c r="X123" s="196"/>
      <c r="Y123" s="195"/>
      <c r="Z123" s="196"/>
      <c r="AA123" s="196"/>
      <c r="AB123" s="197"/>
      <c r="AC123" s="196"/>
      <c r="AD123" s="196"/>
      <c r="AE123" s="196"/>
      <c r="AF123" s="196"/>
      <c r="AG123" s="196"/>
      <c r="AH123" s="196"/>
      <c r="AI123" s="141"/>
      <c r="AJ123" s="79"/>
      <c r="AK123" s="79"/>
      <c r="AL123"/>
      <c r="AM123"/>
      <c r="AN123"/>
      <c r="AO123"/>
      <c r="AP123"/>
      <c r="AQ123"/>
      <c r="AR123" s="17"/>
      <c r="AS123" s="17"/>
      <c r="AT123" s="17"/>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row>
    <row r="124" spans="1:132" ht="30.75" thickBot="1" x14ac:dyDescent="0.3">
      <c r="A124" s="75" t="s">
        <v>132</v>
      </c>
      <c r="B124" s="57">
        <f>(B118+B119)/(B65+B106)</f>
        <v>1.3968364939264179E-2</v>
      </c>
      <c r="C124" s="57"/>
      <c r="D124" s="124">
        <f>(D118+D119)/(D65+D106)</f>
        <v>1.4620644392685041E-2</v>
      </c>
      <c r="E124" s="75"/>
      <c r="F124" s="57">
        <f>(F118+F119)/(F65+F106)</f>
        <v>1.7804315867801592E-2</v>
      </c>
      <c r="G124" s="75"/>
      <c r="H124" s="57">
        <f>(H118+H119)/(H65+H106)</f>
        <v>1.7877099013016321E-2</v>
      </c>
      <c r="I124" s="57"/>
      <c r="J124" s="57">
        <f>(J118+J119)/(J65+J106)</f>
        <v>1.9106065025691656E-2</v>
      </c>
      <c r="K124" s="57"/>
      <c r="L124" s="124">
        <f>(L118+L119)/(L65+L106)</f>
        <v>1.9018404907975461E-2</v>
      </c>
      <c r="M124" s="75"/>
      <c r="N124" s="57">
        <f>(N118+N119)/(N65+N106)</f>
        <v>1.5899884203601614E-2</v>
      </c>
      <c r="O124" s="75"/>
      <c r="P124" s="57">
        <f>(P118+P119)/(P65+P106)</f>
        <v>1.8669940469296518E-2</v>
      </c>
      <c r="Q124" s="75"/>
      <c r="R124" s="57">
        <f>(R118+R119)/(R65+R106)</f>
        <v>1.4223216289756686E-2</v>
      </c>
      <c r="S124" s="57"/>
      <c r="T124" s="124">
        <f>(T118+T119)/(T65+T106)</f>
        <v>1.3193506117100531E-2</v>
      </c>
      <c r="U124" s="75"/>
      <c r="V124" s="57">
        <f>(V118+V119)/(V65+V106)</f>
        <v>1.336925893169337E-2</v>
      </c>
      <c r="W124" s="75"/>
      <c r="X124" s="57">
        <f>(X118+X119)/(X65+X106)</f>
        <v>1.2328202480629193E-2</v>
      </c>
      <c r="Y124" s="75"/>
      <c r="Z124" s="57">
        <f>(Z118+Z119)/(Z65+Z106)</f>
        <v>1.215741183338339E-2</v>
      </c>
      <c r="AA124" s="57"/>
      <c r="AB124" s="124">
        <f>(AB118+AB119)/(AB65+AB106)</f>
        <v>1.2708048286253659E-2</v>
      </c>
      <c r="AC124" s="57"/>
      <c r="AD124" s="57">
        <f>(AD118+AD119)/(AD65+AD106)</f>
        <v>1.2796673581769221E-2</v>
      </c>
      <c r="AE124" s="57"/>
      <c r="AF124" s="57">
        <f>(AF118+AF119)/(AF65+AF106)</f>
        <v>1.3661352391423858E-2</v>
      </c>
      <c r="AG124" s="57"/>
      <c r="AH124" s="57">
        <f>(AH118+AH119)/(AH65+AH106)</f>
        <v>1.0365254072233755E-2</v>
      </c>
      <c r="AI124" s="141"/>
      <c r="AJ124" s="79"/>
      <c r="AK124" s="79"/>
      <c r="AL124"/>
      <c r="AM124"/>
      <c r="AN124"/>
      <c r="AO124"/>
      <c r="AP124"/>
      <c r="AQ124"/>
      <c r="AR124" s="17"/>
      <c r="AS124" s="17"/>
      <c r="AT124" s="17"/>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row>
    <row r="125" spans="1:132" x14ac:dyDescent="0.25">
      <c r="A125" s="195"/>
      <c r="B125" s="196"/>
      <c r="C125" s="196"/>
      <c r="D125" s="197"/>
      <c r="E125" s="195"/>
      <c r="F125" s="196"/>
      <c r="G125" s="195"/>
      <c r="H125" s="196"/>
      <c r="I125" s="196"/>
      <c r="J125" s="196"/>
      <c r="K125" s="196"/>
      <c r="L125" s="197"/>
      <c r="M125" s="195"/>
      <c r="N125" s="196"/>
      <c r="O125" s="195"/>
      <c r="P125" s="196"/>
      <c r="Q125" s="195"/>
      <c r="R125" s="196"/>
      <c r="S125" s="196"/>
      <c r="T125" s="196"/>
      <c r="U125" s="195"/>
      <c r="V125" s="196"/>
      <c r="W125" s="195"/>
      <c r="X125" s="196"/>
      <c r="Y125" s="195"/>
      <c r="Z125" s="196"/>
      <c r="AA125" s="196"/>
      <c r="AB125" s="196"/>
      <c r="AC125" s="196"/>
      <c r="AD125" s="196"/>
      <c r="AE125" s="196"/>
      <c r="AF125" s="196"/>
      <c r="AG125" s="196"/>
      <c r="AH125" s="196"/>
      <c r="AI125" s="141"/>
      <c r="AJ125" s="79"/>
      <c r="AK125" s="79"/>
      <c r="AL125"/>
      <c r="AM125"/>
      <c r="AN125"/>
      <c r="AO125"/>
      <c r="AP125"/>
      <c r="AQ125"/>
      <c r="AR125" s="17"/>
      <c r="AS125" s="17"/>
      <c r="AT125" s="17"/>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row>
    <row r="126" spans="1:132" ht="30.75" customHeight="1" thickBot="1" x14ac:dyDescent="0.3">
      <c r="A126" s="75" t="s">
        <v>133</v>
      </c>
      <c r="B126" s="57">
        <f>(B118+B119)/(B67+B106)</f>
        <v>1.3968364939264179E-2</v>
      </c>
      <c r="C126" s="57"/>
      <c r="D126" s="124">
        <f>(D118+D119)/(D67+D106)</f>
        <v>1.4620644392685041E-2</v>
      </c>
      <c r="E126" s="75"/>
      <c r="F126" s="57">
        <f>(F118+F119)/(F67+F106)</f>
        <v>1.7804315867801592E-2</v>
      </c>
      <c r="G126" s="75"/>
      <c r="H126" s="57">
        <f>(H118+H119)/(H67+H106)</f>
        <v>1.7877099013016321E-2</v>
      </c>
      <c r="I126" s="57"/>
      <c r="J126" s="57">
        <f>(J118+J119)/(J67+J106)</f>
        <v>1.9106065025691656E-2</v>
      </c>
      <c r="K126" s="57"/>
      <c r="L126" s="124">
        <f>(L118+L119)/(L67+L106)</f>
        <v>1.9018404907975461E-2</v>
      </c>
      <c r="M126" s="75"/>
      <c r="N126" s="57">
        <f>(N118+N119)/(N67+N106)</f>
        <v>1.5695194984221259E-2</v>
      </c>
      <c r="O126" s="75"/>
      <c r="P126" s="57">
        <f>(P118+P119)/(P67+P106)</f>
        <v>1.8372184907151323E-2</v>
      </c>
      <c r="Q126" s="75"/>
      <c r="R126" s="57">
        <f>(R118+R119)/(R67+R106)</f>
        <v>1.399219040535515E-2</v>
      </c>
      <c r="S126" s="125"/>
      <c r="T126" s="57">
        <f>(T118+T119)/(T67+T106)</f>
        <v>1.2968877903150731E-2</v>
      </c>
      <c r="U126" s="75"/>
      <c r="V126" s="57">
        <f>(V118+V119)/(V67+V106)</f>
        <v>1.3032633714821914E-2</v>
      </c>
      <c r="W126" s="75"/>
      <c r="X126" s="57">
        <f>(X118+X119)/(X67+X106)</f>
        <v>1.1888319655676362E-2</v>
      </c>
      <c r="Y126" s="75"/>
      <c r="Z126" s="57">
        <f>(Z118+Z119)/(Z67+Z106)</f>
        <v>1.1714498832218541E-2</v>
      </c>
      <c r="AA126" s="57"/>
      <c r="AB126" s="124">
        <f>(AB118+AB119)/(AB67+AB106)</f>
        <v>1.2216441207075962E-2</v>
      </c>
      <c r="AC126" s="57"/>
      <c r="AD126" s="57">
        <f>(AD118+AD119)/(AD67+AD106)</f>
        <v>1.2070291698716052E-2</v>
      </c>
      <c r="AE126" s="57"/>
      <c r="AF126" s="57">
        <f>(AF118+AF119)/(AF67+AF106)</f>
        <v>1.2807792910616038E-2</v>
      </c>
      <c r="AG126" s="57"/>
      <c r="AH126" s="57">
        <f>(AH118+AH119)/(AH67+AH106)</f>
        <v>9.6916182159782899E-3</v>
      </c>
      <c r="AI126" s="141"/>
      <c r="AJ126" s="79"/>
      <c r="AK126" s="79"/>
      <c r="AL126"/>
      <c r="AM126"/>
      <c r="AN126"/>
      <c r="AO126"/>
      <c r="AP126"/>
      <c r="AQ126"/>
      <c r="AR126" s="17"/>
      <c r="AS126" s="17"/>
      <c r="AT126" s="17"/>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row>
    <row r="127" spans="1:132" x14ac:dyDescent="0.25">
      <c r="B127" s="17"/>
      <c r="C127" s="17"/>
      <c r="D127" s="116"/>
      <c r="L127" s="116"/>
      <c r="S127" s="146"/>
      <c r="AB127" s="105"/>
      <c r="AI127" s="106"/>
      <c r="AR127" s="17"/>
      <c r="AS127" s="17"/>
      <c r="AT127" s="17"/>
    </row>
    <row r="128" spans="1:132" customFormat="1" x14ac:dyDescent="0.25">
      <c r="A128" t="s">
        <v>134</v>
      </c>
      <c r="B128" s="158">
        <v>255.751082</v>
      </c>
      <c r="D128" s="158">
        <v>255.751082</v>
      </c>
      <c r="F128" s="158">
        <v>255.751082</v>
      </c>
      <c r="H128" s="158">
        <v>255.751082</v>
      </c>
      <c r="I128" s="158"/>
      <c r="J128" s="158">
        <v>255.751082</v>
      </c>
      <c r="L128" s="157">
        <v>255.751082</v>
      </c>
      <c r="N128" s="158">
        <v>255.751082</v>
      </c>
      <c r="P128" s="158">
        <v>255.751082</v>
      </c>
      <c r="R128" s="158">
        <v>255.751082</v>
      </c>
      <c r="S128" s="141"/>
      <c r="T128" s="158">
        <v>255.751082</v>
      </c>
      <c r="V128" s="158">
        <v>255.751082</v>
      </c>
      <c r="X128" s="158">
        <v>255.751082</v>
      </c>
      <c r="Z128" s="158">
        <v>255.751082</v>
      </c>
      <c r="AB128" s="157">
        <v>255.751082</v>
      </c>
      <c r="AD128" s="158">
        <v>255.751082</v>
      </c>
      <c r="AF128" s="158">
        <v>255.751082</v>
      </c>
      <c r="AH128" s="158">
        <v>255.751082</v>
      </c>
      <c r="AI128" s="141"/>
      <c r="AJ128" s="5">
        <v>255.751082</v>
      </c>
      <c r="AL128" s="5">
        <v>255.751082</v>
      </c>
      <c r="AN128" s="5">
        <v>255.751082</v>
      </c>
      <c r="AP128" s="5">
        <v>255.751082</v>
      </c>
    </row>
    <row r="129" spans="1:142" x14ac:dyDescent="0.25">
      <c r="A129" s="21" t="s">
        <v>135</v>
      </c>
      <c r="B129" s="213">
        <v>3.639599999999632E-2</v>
      </c>
      <c r="C129" s="21"/>
      <c r="D129" s="213">
        <v>4.1516999999998902E-2</v>
      </c>
      <c r="E129" s="38"/>
      <c r="F129" s="40">
        <f>255.751082-255.709809</f>
        <v>4.1272999999989679E-2</v>
      </c>
      <c r="G129" s="38"/>
      <c r="H129" s="210">
        <f>255.751082-255.712827</f>
        <v>3.8254999999992378E-2</v>
      </c>
      <c r="I129" s="210"/>
      <c r="J129" s="210">
        <f>255.751082-255.714686</f>
        <v>3.639599999999632E-2</v>
      </c>
      <c r="K129" s="21"/>
      <c r="L129" s="213">
        <f>255.751082-255.72797</f>
        <v>2.3111999999997579E-2</v>
      </c>
      <c r="M129" s="38"/>
      <c r="N129" s="40">
        <v>2.1531999999999999E-2</v>
      </c>
      <c r="O129" s="38"/>
      <c r="P129" s="40">
        <v>1.5737999999999999E-2</v>
      </c>
      <c r="Q129" s="38"/>
      <c r="R129" s="40">
        <v>1.0773E-2</v>
      </c>
      <c r="S129" s="176"/>
      <c r="T129" s="40">
        <v>9.1311000000000003E-2</v>
      </c>
      <c r="U129" s="38"/>
      <c r="V129" s="40">
        <v>8.9325000000000002E-2</v>
      </c>
      <c r="W129" s="38"/>
      <c r="X129" s="40">
        <v>8.9325000000000002E-2</v>
      </c>
      <c r="Y129" s="38"/>
      <c r="Z129" s="40">
        <v>0.235206</v>
      </c>
      <c r="AA129" s="21"/>
      <c r="AB129" s="159">
        <v>8.5205999999999449E-2</v>
      </c>
      <c r="AC129" s="21"/>
      <c r="AD129" s="40">
        <v>8.5205999999999449E-2</v>
      </c>
      <c r="AE129" s="10"/>
      <c r="AF129" s="40">
        <v>8.5205999999999449E-2</v>
      </c>
      <c r="AG129" s="10"/>
      <c r="AH129" s="40">
        <v>0.20675700000001029</v>
      </c>
      <c r="AI129" s="160"/>
      <c r="AJ129" s="40">
        <v>0.20675700000001029</v>
      </c>
      <c r="AK129" s="10"/>
      <c r="AL129" s="40">
        <v>0.20675700000001029</v>
      </c>
      <c r="AM129" s="10"/>
      <c r="AN129" s="40">
        <v>0.20675700000001029</v>
      </c>
      <c r="AO129" s="10"/>
      <c r="AP129" s="40">
        <v>0.20675700000001029</v>
      </c>
      <c r="AQ129" s="10"/>
    </row>
    <row r="130" spans="1:142" x14ac:dyDescent="0.25">
      <c r="A130" t="s">
        <v>136</v>
      </c>
      <c r="B130" s="162">
        <v>255.714686</v>
      </c>
      <c r="C130" s="17"/>
      <c r="D130" s="162">
        <f t="shared" ref="D130:F130" si="131">D128-D129</f>
        <v>255.709565</v>
      </c>
      <c r="E130"/>
      <c r="F130" s="162">
        <f t="shared" si="131"/>
        <v>255.70980900000001</v>
      </c>
      <c r="G130"/>
      <c r="H130" s="162">
        <f t="shared" ref="H130:J130" si="132">H128-H129</f>
        <v>255.712827</v>
      </c>
      <c r="I130" s="162"/>
      <c r="J130" s="162">
        <f t="shared" si="132"/>
        <v>255.714686</v>
      </c>
      <c r="L130" s="161">
        <f t="shared" ref="L130" si="133">L128-L129</f>
        <v>255.72797</v>
      </c>
      <c r="M130"/>
      <c r="N130" s="162">
        <f t="shared" ref="N130" si="134">N128-N129</f>
        <v>255.72954999999999</v>
      </c>
      <c r="O130"/>
      <c r="P130" s="162">
        <f t="shared" ref="P130" si="135">P128-P129</f>
        <v>255.735344</v>
      </c>
      <c r="Q130"/>
      <c r="R130" s="216">
        <f t="shared" ref="R130" si="136">R128-R129</f>
        <v>255.740309</v>
      </c>
      <c r="S130" s="146"/>
      <c r="T130" s="162">
        <f t="shared" ref="T130:X130" si="137">T128-T129</f>
        <v>255.65977100000001</v>
      </c>
      <c r="U130"/>
      <c r="V130" s="162">
        <f t="shared" si="137"/>
        <v>255.66175699999999</v>
      </c>
      <c r="W130"/>
      <c r="X130" s="162">
        <f t="shared" si="137"/>
        <v>255.66175699999999</v>
      </c>
      <c r="Y130"/>
      <c r="Z130" s="162">
        <f t="shared" ref="Z130" si="138">Z128-Z129</f>
        <v>255.51587599999999</v>
      </c>
      <c r="AB130" s="161">
        <f>AB128-AB129</f>
        <v>255.665876</v>
      </c>
      <c r="AD130" s="162">
        <f>AD128-AD129</f>
        <v>255.665876</v>
      </c>
      <c r="AE130" s="162"/>
      <c r="AF130" s="162">
        <f t="shared" ref="AF130:AP130" si="139">AF128-AF129</f>
        <v>255.665876</v>
      </c>
      <c r="AG130" s="162"/>
      <c r="AH130" s="162">
        <f t="shared" si="139"/>
        <v>255.54432499999999</v>
      </c>
      <c r="AI130" s="163"/>
      <c r="AJ130" s="39">
        <f t="shared" si="139"/>
        <v>255.54432499999999</v>
      </c>
      <c r="AK130" s="39"/>
      <c r="AL130" s="39">
        <f t="shared" si="139"/>
        <v>255.54432499999999</v>
      </c>
      <c r="AM130" s="39"/>
      <c r="AN130" s="39">
        <f t="shared" si="139"/>
        <v>255.54432499999999</v>
      </c>
      <c r="AO130" s="39"/>
      <c r="AP130" s="39">
        <f t="shared" si="139"/>
        <v>255.54432499999999</v>
      </c>
      <c r="AQ130" s="39"/>
    </row>
    <row r="131" spans="1:142" x14ac:dyDescent="0.25">
      <c r="B131" s="214"/>
      <c r="C131" s="17"/>
      <c r="D131" s="214"/>
      <c r="F131" s="164"/>
      <c r="H131" s="8"/>
      <c r="I131" s="8"/>
      <c r="J131" s="8"/>
      <c r="L131" s="214"/>
      <c r="N131" s="164"/>
      <c r="P131" s="164"/>
      <c r="R131" s="8"/>
      <c r="S131" s="146"/>
      <c r="T131" s="164"/>
      <c r="V131" s="164"/>
      <c r="X131" s="164"/>
      <c r="Z131" s="8"/>
      <c r="AB131" s="116"/>
      <c r="AD131" s="162"/>
      <c r="AF131" s="164"/>
      <c r="AH131" s="164"/>
      <c r="AI131" s="106"/>
      <c r="AJ131" s="11"/>
      <c r="AR131" s="17"/>
      <c r="AS131" s="17"/>
      <c r="AT131" s="17"/>
      <c r="AU131" s="17"/>
      <c r="AV131" s="17"/>
    </row>
    <row r="132" spans="1:142" ht="15.75" thickBot="1" x14ac:dyDescent="0.3">
      <c r="A132" s="54" t="s">
        <v>40</v>
      </c>
      <c r="B132" s="165">
        <f>B9/B130</f>
        <v>102.32497948905446</v>
      </c>
      <c r="C132" s="47"/>
      <c r="D132" s="165">
        <f>D9/D130</f>
        <v>99.053783928653587</v>
      </c>
      <c r="E132" s="54"/>
      <c r="F132" s="55">
        <f>F9/F130</f>
        <v>95.815643896554633</v>
      </c>
      <c r="G132" s="54"/>
      <c r="H132" s="55">
        <f>H9/H130</f>
        <v>96.080436356053426</v>
      </c>
      <c r="I132" s="55"/>
      <c r="J132" s="55">
        <f>J9/J130</f>
        <v>93.115496698535338</v>
      </c>
      <c r="K132" s="47"/>
      <c r="L132" s="165">
        <f>L9/L130</f>
        <v>95.973076390509803</v>
      </c>
      <c r="M132" s="54"/>
      <c r="N132" s="55">
        <f>N9/N130</f>
        <v>93.512853715966742</v>
      </c>
      <c r="O132" s="54"/>
      <c r="P132" s="55">
        <f>P9/P130</f>
        <v>91.317060969093106</v>
      </c>
      <c r="Q132" s="54"/>
      <c r="R132" s="55">
        <f>R9/R130</f>
        <v>90.552795883264537</v>
      </c>
      <c r="S132" s="184"/>
      <c r="T132" s="55">
        <f>T9/T130</f>
        <v>89.900729825812135</v>
      </c>
      <c r="U132" s="54"/>
      <c r="V132" s="55">
        <f>V9/V130</f>
        <v>87.596206264044412</v>
      </c>
      <c r="W132" s="54"/>
      <c r="X132" s="55">
        <f>X9/X130</f>
        <v>85.441014942254355</v>
      </c>
      <c r="Y132" s="54"/>
      <c r="Z132" s="55">
        <f>Z9/Z130</f>
        <v>86.546481362277476</v>
      </c>
      <c r="AA132" s="47"/>
      <c r="AB132" s="165">
        <f>AB9/AB130</f>
        <v>82.274034251602657</v>
      </c>
      <c r="AC132" s="47"/>
      <c r="AD132" s="55">
        <f>AD9/AD130</f>
        <v>80.018693432243964</v>
      </c>
      <c r="AE132" s="49"/>
      <c r="AF132" s="55">
        <f>AF9/AF130</f>
        <v>77.280154087399993</v>
      </c>
      <c r="AG132" s="49"/>
      <c r="AH132" s="55">
        <f>AH9/AH130</f>
        <v>79.242819961742839</v>
      </c>
      <c r="AI132" s="166"/>
      <c r="AJ132" s="55">
        <f>AJ9/AJ130</f>
        <v>77.242885017225873</v>
      </c>
      <c r="AK132" s="49"/>
      <c r="AL132" s="55">
        <f>AL9/AL130</f>
        <v>75.070989228227248</v>
      </c>
      <c r="AM132" s="49"/>
      <c r="AN132" s="55">
        <f>AN9/AN130</f>
        <v>72.721848835772832</v>
      </c>
      <c r="AO132" s="49"/>
      <c r="AP132" s="55">
        <f>AP9/AP130</f>
        <v>72.91080203815757</v>
      </c>
      <c r="AQ132" s="49"/>
      <c r="AR132" s="17"/>
      <c r="AS132" s="17"/>
      <c r="AT132" s="17"/>
      <c r="AU132" s="17"/>
      <c r="AV132" s="17"/>
    </row>
    <row r="133" spans="1:142" x14ac:dyDescent="0.25">
      <c r="A133" s="41"/>
      <c r="B133" s="35"/>
      <c r="C133" s="35"/>
      <c r="D133" s="116"/>
      <c r="E133" s="194"/>
      <c r="G133" s="194"/>
      <c r="H133" s="35"/>
      <c r="I133" s="35"/>
      <c r="J133" s="35"/>
      <c r="K133" s="35"/>
      <c r="L133" s="116"/>
      <c r="M133" s="194"/>
      <c r="O133" s="194"/>
      <c r="Q133" s="194"/>
      <c r="R133" s="35"/>
      <c r="S133" s="205"/>
      <c r="U133" s="194"/>
      <c r="W133" s="194"/>
      <c r="Y133" s="194"/>
      <c r="Z133" s="35"/>
      <c r="AA133" s="35"/>
      <c r="AB133" s="167"/>
      <c r="AC133" s="35"/>
      <c r="AI133" s="106"/>
      <c r="AR133" s="17"/>
      <c r="AS133" s="17"/>
      <c r="AT133" s="17"/>
      <c r="AU133" s="17"/>
      <c r="AV133" s="17"/>
    </row>
    <row r="134" spans="1:142" ht="15.75" thickBot="1" x14ac:dyDescent="0.3">
      <c r="A134" s="54" t="s">
        <v>137</v>
      </c>
      <c r="B134" s="168">
        <f>B5/B130</f>
        <v>2.8691038886988292</v>
      </c>
      <c r="C134" s="168">
        <f>C5/B130</f>
        <v>2.8691038886988292</v>
      </c>
      <c r="D134" s="165">
        <f>D5/D130</f>
        <v>12.081640356315964</v>
      </c>
      <c r="E134" s="55">
        <f>E5/D130</f>
        <v>3.4073070360117343</v>
      </c>
      <c r="F134" s="55">
        <f>F5/F130+0.005</f>
        <v>8.6793250431976983</v>
      </c>
      <c r="G134" s="55">
        <f>G5/F130</f>
        <v>2.7994897919617934</v>
      </c>
      <c r="H134" s="55">
        <f>H5/H130-0.01</f>
        <v>5.8647659146562869</v>
      </c>
      <c r="I134" s="55">
        <f>I5/H130-0.01</f>
        <v>3.126092191417523</v>
      </c>
      <c r="J134" s="55">
        <f>J5/J130</f>
        <v>2.7386538135709575</v>
      </c>
      <c r="K134" s="168">
        <f>K5/J130</f>
        <v>2.7386538135709575</v>
      </c>
      <c r="L134" s="165">
        <f>L5/L130</f>
        <v>5.8749615851562895</v>
      </c>
      <c r="M134" s="55">
        <f>M5/L130</f>
        <v>2.2954078898761057</v>
      </c>
      <c r="N134" s="55">
        <f>N5/N130</f>
        <v>3.5795315793579587</v>
      </c>
      <c r="O134" s="55">
        <f>O5/N130</f>
        <v>1.9043555975443589</v>
      </c>
      <c r="P134" s="55">
        <f>P5/P130</f>
        <v>1.6751380286332265</v>
      </c>
      <c r="Q134" s="55">
        <f>Q5/P130</f>
        <v>0.90714484893413871</v>
      </c>
      <c r="R134" s="55">
        <f>R5/R130</f>
        <v>0.76797826970639982</v>
      </c>
      <c r="S134" s="168">
        <f>S5/R130</f>
        <v>0.76797826970639982</v>
      </c>
      <c r="T134" s="165">
        <f>T5/T130</f>
        <v>12.062906838792404</v>
      </c>
      <c r="U134" s="55">
        <f>U5/T130</f>
        <v>1.8383807439145363</v>
      </c>
      <c r="V134" s="55">
        <f>V5/V130</f>
        <v>10.224446669980447</v>
      </c>
      <c r="W134" s="55">
        <f>W5/V130</f>
        <v>2.2725338619964188</v>
      </c>
      <c r="X134" s="55">
        <f>X5/X130</f>
        <v>7.9519128079840273</v>
      </c>
      <c r="Y134" s="55">
        <f>Y5/X130</f>
        <v>3.4850734441287594</v>
      </c>
      <c r="Z134" s="55">
        <f>Z5/Z130</f>
        <v>4.4693896045817523</v>
      </c>
      <c r="AA134" s="168">
        <f>AA5/Z130</f>
        <v>4.4693896045817523</v>
      </c>
      <c r="AB134" s="165">
        <f>AB5/AB130</f>
        <v>8.9614920372478881</v>
      </c>
      <c r="AC134" s="55">
        <f>AC5/AB130</f>
        <v>2.0584627878145731</v>
      </c>
      <c r="AD134" s="55">
        <f>AD5/AD130</f>
        <v>6.9030292494333132</v>
      </c>
      <c r="AE134" s="55">
        <f>AE5/AD130</f>
        <v>2.4748021642121349</v>
      </c>
      <c r="AF134" s="55">
        <f>AF5/AF130</f>
        <v>4.4282270852211791</v>
      </c>
      <c r="AG134" s="55">
        <f>AG5/AF130</f>
        <v>2.4081140925118989</v>
      </c>
      <c r="AH134" s="55">
        <f>AH5/AH130</f>
        <v>2.0210738700614836</v>
      </c>
      <c r="AI134" s="168">
        <f>AI5/AH130</f>
        <v>2.0210738700614836</v>
      </c>
      <c r="AJ134" s="55">
        <f>AJ5/AJ130</f>
        <v>8.152994439066493</v>
      </c>
      <c r="AK134" s="55">
        <f>AK5/AJ130</f>
        <v>2.1756141409518674</v>
      </c>
      <c r="AL134" s="55">
        <f>AL5/AL130</f>
        <v>5.9773802981146265</v>
      </c>
      <c r="AM134" s="55">
        <f>AM5/AL130</f>
        <v>2.3891214877888625</v>
      </c>
      <c r="AN134" s="55">
        <f>AN3/AN130</f>
        <v>3.588258810325764</v>
      </c>
      <c r="AO134" s="55">
        <f>AO3/AN130</f>
        <v>2.0112486906527836</v>
      </c>
      <c r="AP134" s="55">
        <f>AP3/AP130</f>
        <v>1.5770101196729807</v>
      </c>
      <c r="AQ134" s="55">
        <f>AQ3/AP130</f>
        <v>1.5770101196729807</v>
      </c>
      <c r="AR134" s="76"/>
      <c r="AS134" s="17"/>
      <c r="AT134" s="17"/>
      <c r="AU134" s="17"/>
      <c r="AV134" s="17"/>
    </row>
    <row r="135" spans="1:142" x14ac:dyDescent="0.25">
      <c r="B135" s="17"/>
      <c r="C135" s="17"/>
      <c r="D135" s="182"/>
      <c r="F135" s="27"/>
      <c r="L135" s="182"/>
      <c r="N135" s="27"/>
      <c r="P135" s="27"/>
      <c r="S135" s="146"/>
      <c r="T135" s="27"/>
      <c r="V135" s="27"/>
      <c r="X135" s="27"/>
      <c r="AB135" s="105"/>
      <c r="AD135" s="27"/>
      <c r="AE135" s="27"/>
      <c r="AF135" s="27"/>
      <c r="AG135" s="27"/>
      <c r="AH135" s="27"/>
      <c r="AI135" s="169"/>
      <c r="AJ135" s="27"/>
      <c r="AK135" s="27"/>
      <c r="AL135" s="27"/>
      <c r="AM135" s="27"/>
      <c r="AN135" s="27"/>
      <c r="AO135" s="27"/>
      <c r="AP135" s="27"/>
      <c r="AQ135" s="27"/>
      <c r="AR135" s="76"/>
      <c r="AS135" s="17"/>
      <c r="AT135" s="17"/>
      <c r="AU135" s="17"/>
      <c r="AV135" s="17"/>
    </row>
    <row r="136" spans="1:142" x14ac:dyDescent="0.25">
      <c r="A136" t="s">
        <v>138</v>
      </c>
      <c r="B136" s="183">
        <v>134.30000000000001</v>
      </c>
      <c r="C136" s="5">
        <v>134.30000000000001</v>
      </c>
      <c r="D136" s="183">
        <v>133.19999999999999</v>
      </c>
      <c r="E136" s="173">
        <f>D136</f>
        <v>133.19999999999999</v>
      </c>
      <c r="F136" s="171">
        <v>121.5</v>
      </c>
      <c r="G136" s="173">
        <f>F136</f>
        <v>121.5</v>
      </c>
      <c r="H136" s="171">
        <f>I136</f>
        <v>113.7</v>
      </c>
      <c r="I136" s="171">
        <v>113.7</v>
      </c>
      <c r="J136" s="171">
        <f>K136</f>
        <v>105</v>
      </c>
      <c r="K136" s="5">
        <v>105</v>
      </c>
      <c r="L136" s="183">
        <v>91</v>
      </c>
      <c r="M136" s="173">
        <f>L136</f>
        <v>91</v>
      </c>
      <c r="N136" s="171">
        <v>77.400000000000006</v>
      </c>
      <c r="O136" s="173">
        <f>N136</f>
        <v>77.400000000000006</v>
      </c>
      <c r="P136" s="171">
        <v>69.900000000000006</v>
      </c>
      <c r="Q136" s="173">
        <f>P136</f>
        <v>69.900000000000006</v>
      </c>
      <c r="R136" s="171">
        <v>59.2</v>
      </c>
      <c r="S136" s="207">
        <f>R136</f>
        <v>59.2</v>
      </c>
      <c r="T136" s="171">
        <v>100</v>
      </c>
      <c r="U136" s="173">
        <f>T136</f>
        <v>100</v>
      </c>
      <c r="V136" s="171">
        <v>99.15</v>
      </c>
      <c r="W136" s="173">
        <f>V136</f>
        <v>99.15</v>
      </c>
      <c r="X136" s="171">
        <v>103.9</v>
      </c>
      <c r="Y136" s="173">
        <f>X136</f>
        <v>103.9</v>
      </c>
      <c r="Z136" s="171">
        <v>99.4</v>
      </c>
      <c r="AA136" s="5">
        <f>Z136</f>
        <v>99.4</v>
      </c>
      <c r="AB136" s="170">
        <f>AC136</f>
        <v>89.2</v>
      </c>
      <c r="AC136" s="158">
        <v>89.2</v>
      </c>
      <c r="AD136" s="158">
        <v>99</v>
      </c>
      <c r="AE136" s="171">
        <f>+AD136</f>
        <v>99</v>
      </c>
      <c r="AF136" s="171">
        <v>86.4</v>
      </c>
      <c r="AG136" s="171">
        <f>+AF136</f>
        <v>86.4</v>
      </c>
      <c r="AH136" s="171">
        <v>86.2</v>
      </c>
      <c r="AI136" s="172">
        <f>AH136</f>
        <v>86.2</v>
      </c>
      <c r="AJ136" s="18">
        <v>87</v>
      </c>
      <c r="AK136" s="18">
        <f>AJ136</f>
        <v>87</v>
      </c>
      <c r="AL136" s="18">
        <v>85.75</v>
      </c>
      <c r="AM136" s="18">
        <f>AL136</f>
        <v>85.75</v>
      </c>
      <c r="AN136" s="18">
        <v>71.5</v>
      </c>
      <c r="AO136" s="18">
        <f>AN136</f>
        <v>71.5</v>
      </c>
      <c r="AP136" s="18">
        <v>64.25</v>
      </c>
      <c r="AQ136" s="18">
        <f>AP136</f>
        <v>64.25</v>
      </c>
      <c r="AR136" s="17"/>
      <c r="AS136" s="17"/>
      <c r="AT136" s="17"/>
      <c r="AU136" s="17"/>
      <c r="AV136" s="17"/>
    </row>
    <row r="137" spans="1:142" x14ac:dyDescent="0.25">
      <c r="A137" s="17" t="s">
        <v>139</v>
      </c>
      <c r="B137" s="170">
        <f>(B134)/1*4</f>
        <v>11.476415554795317</v>
      </c>
      <c r="C137" s="15">
        <f>B137</f>
        <v>11.476415554795317</v>
      </c>
      <c r="D137" s="170">
        <f>D134</f>
        <v>12.081640356315964</v>
      </c>
      <c r="E137" s="15">
        <f>E134*4</f>
        <v>13.629228144046937</v>
      </c>
      <c r="F137" s="15">
        <f>F134/3*4</f>
        <v>11.572433390930264</v>
      </c>
      <c r="G137" s="15">
        <f>G134*4</f>
        <v>11.197959167847173</v>
      </c>
      <c r="H137" s="15">
        <f>H134/2*4</f>
        <v>11.729531829312574</v>
      </c>
      <c r="I137" s="15">
        <f>I134*4</f>
        <v>12.504368765670092</v>
      </c>
      <c r="J137" s="15">
        <f>(J134)/1*4</f>
        <v>10.95461525428383</v>
      </c>
      <c r="K137" s="15">
        <f>J137</f>
        <v>10.95461525428383</v>
      </c>
      <c r="L137" s="170">
        <f>L134</f>
        <v>5.8749615851562895</v>
      </c>
      <c r="M137" s="15">
        <f>M134*4</f>
        <v>9.1816315595044227</v>
      </c>
      <c r="N137" s="15">
        <f>N134/3*4</f>
        <v>4.7727087724772783</v>
      </c>
      <c r="O137" s="15">
        <f>O134*4</f>
        <v>7.6174223901774356</v>
      </c>
      <c r="P137" s="15">
        <f>P134/2*4</f>
        <v>3.3502760572664529</v>
      </c>
      <c r="Q137" s="15">
        <f>Q134*4</f>
        <v>3.6285793957365549</v>
      </c>
      <c r="R137" s="15">
        <f>(R134)/1*4</f>
        <v>3.0719130788255993</v>
      </c>
      <c r="S137" s="174">
        <f>R137</f>
        <v>3.0719130788255993</v>
      </c>
      <c r="T137" s="15">
        <f>T134</f>
        <v>12.062906838792404</v>
      </c>
      <c r="U137" s="15">
        <f>U134*4</f>
        <v>7.3535229756581453</v>
      </c>
      <c r="V137" s="15">
        <f>V134/3*4</f>
        <v>13.632595559973929</v>
      </c>
      <c r="W137" s="15">
        <f>W134*4</f>
        <v>9.0901354479856753</v>
      </c>
      <c r="X137" s="15">
        <f>X134/2*4</f>
        <v>15.903825615968055</v>
      </c>
      <c r="Y137" s="15">
        <f>Y134*4</f>
        <v>13.940293776515038</v>
      </c>
      <c r="Z137" s="15">
        <f>(Z134+0.005)/1*4</f>
        <v>17.897558418327009</v>
      </c>
      <c r="AA137" s="15">
        <f>Z137</f>
        <v>17.897558418327009</v>
      </c>
      <c r="AB137" s="170">
        <f>AB134</f>
        <v>8.9614920372478881</v>
      </c>
      <c r="AC137" s="15">
        <f>AC134*4</f>
        <v>8.2338511512582926</v>
      </c>
      <c r="AD137" s="173">
        <f>AD134/3*4</f>
        <v>9.2040389992444176</v>
      </c>
      <c r="AE137" s="173">
        <f>AE134*4</f>
        <v>9.8992086568485398</v>
      </c>
      <c r="AF137" s="15">
        <f>AF134/2*4</f>
        <v>8.8564541704423583</v>
      </c>
      <c r="AG137" s="15">
        <f>AG134*4</f>
        <v>9.6324563700475956</v>
      </c>
      <c r="AH137" s="15">
        <f>AH134/1*4</f>
        <v>8.0842954802459346</v>
      </c>
      <c r="AI137" s="174">
        <f>AI134*4</f>
        <v>8.0842954802459346</v>
      </c>
      <c r="AJ137" s="15">
        <f>AJ134</f>
        <v>8.152994439066493</v>
      </c>
      <c r="AK137" s="15">
        <f>AK134*4</f>
        <v>8.7024565638074698</v>
      </c>
      <c r="AL137" s="15">
        <f>AL134/3*4</f>
        <v>7.9698403974861689</v>
      </c>
      <c r="AM137" s="15">
        <f>AM134*4</f>
        <v>9.5564859511554499</v>
      </c>
      <c r="AN137" s="15">
        <f>AN134/2*4</f>
        <v>7.176517620651528</v>
      </c>
      <c r="AO137" s="15">
        <f>AO134*4</f>
        <v>8.0449947626111342</v>
      </c>
      <c r="AP137" s="15">
        <f>AP134/1*4</f>
        <v>6.3080404786919226</v>
      </c>
      <c r="AQ137" s="15">
        <f>AQ134*4</f>
        <v>6.3080404786919226</v>
      </c>
      <c r="AR137" s="17"/>
      <c r="AS137" s="17"/>
      <c r="AT137" s="17"/>
      <c r="AU137" s="17"/>
      <c r="AV137" s="17"/>
    </row>
    <row r="138" spans="1:142" s="23" customFormat="1" ht="15.75" thickBot="1" x14ac:dyDescent="0.3">
      <c r="A138" s="54" t="s">
        <v>42</v>
      </c>
      <c r="B138" s="165">
        <f>(B136)/B137-0.01</f>
        <v>11.692260114124569</v>
      </c>
      <c r="C138" s="95">
        <f>C136/C137-0.01</f>
        <v>11.692260114124569</v>
      </c>
      <c r="D138" s="165">
        <f>D136/D137+0.01</f>
        <v>11.034992970459225</v>
      </c>
      <c r="E138" s="55">
        <f>E136/E137</f>
        <v>9.773113971841461</v>
      </c>
      <c r="F138" s="55">
        <f>F136/F137</f>
        <v>10.499088298509799</v>
      </c>
      <c r="G138" s="55">
        <f>G136/G137</f>
        <v>10.850191376734461</v>
      </c>
      <c r="H138" s="55">
        <f>H136/H137-0.01</f>
        <v>9.6834815178095273</v>
      </c>
      <c r="I138" s="55">
        <f>I136/I137-0.01</f>
        <v>9.0828220472956414</v>
      </c>
      <c r="J138" s="55">
        <f>(J136)/J137-0.01</f>
        <v>9.5750011673335109</v>
      </c>
      <c r="K138" s="95">
        <f>K136/K137-0.01</f>
        <v>9.5750011673335109</v>
      </c>
      <c r="L138" s="165">
        <f>L136/L137+0.01</f>
        <v>15.499462983029728</v>
      </c>
      <c r="M138" s="55">
        <f>M136/M137-0.02</f>
        <v>9.8910925340715501</v>
      </c>
      <c r="N138" s="55">
        <f>N136/N137</f>
        <v>16.217205718970671</v>
      </c>
      <c r="O138" s="55">
        <f>O136/O137+0.02</f>
        <v>10.180917438398357</v>
      </c>
      <c r="P138" s="55">
        <f>P136/P137</f>
        <v>20.863952344581598</v>
      </c>
      <c r="Q138" s="55">
        <f>Q136/Q137-0.06</f>
        <v>19.20373723064456</v>
      </c>
      <c r="R138" s="55">
        <f>(R136)/R137-0.05</f>
        <v>19.221378610306356</v>
      </c>
      <c r="S138" s="206">
        <f>S136/S137-0.05</f>
        <v>19.221378610306356</v>
      </c>
      <c r="T138" s="55">
        <f>T136/T137</f>
        <v>8.28987584306096</v>
      </c>
      <c r="U138" s="55">
        <f>U136/U137-0.01</f>
        <v>13.588923989361703</v>
      </c>
      <c r="V138" s="55">
        <f>V136/V137+0.01</f>
        <v>7.2830097187882554</v>
      </c>
      <c r="W138" s="55">
        <f>W136/W137+0.01</f>
        <v>10.917428230012909</v>
      </c>
      <c r="X138" s="55">
        <f t="shared" ref="X138" si="140">X136/X137</f>
        <v>6.5330193193064439</v>
      </c>
      <c r="Y138" s="55">
        <f>Y136/Y137-0.01</f>
        <v>7.4432145208473637</v>
      </c>
      <c r="Z138" s="55">
        <f>Z136/Z137</f>
        <v>5.5538301748586507</v>
      </c>
      <c r="AA138" s="95">
        <f>AA136/AA137+0.01</f>
        <v>5.5638301748586505</v>
      </c>
      <c r="AB138" s="165">
        <f>AB136/AB137+0.01</f>
        <v>9.9636996327448273</v>
      </c>
      <c r="AC138" s="95">
        <f t="shared" ref="AC138:AQ138" si="141">AC136/AC137</f>
        <v>10.833326758204574</v>
      </c>
      <c r="AD138" s="55">
        <f>AD136/AD137</f>
        <v>10.756147383570099</v>
      </c>
      <c r="AE138" s="55">
        <f t="shared" si="141"/>
        <v>10.000799400415621</v>
      </c>
      <c r="AF138" s="55">
        <f t="shared" si="141"/>
        <v>9.7555972556548038</v>
      </c>
      <c r="AG138" s="55">
        <f t="shared" si="141"/>
        <v>8.9696746791050437</v>
      </c>
      <c r="AH138" s="55">
        <f t="shared" si="141"/>
        <v>10.662648366902305</v>
      </c>
      <c r="AI138" s="168">
        <f t="shared" si="141"/>
        <v>10.662648366902305</v>
      </c>
      <c r="AJ138" s="55">
        <f>AJ136/AJ137-0.01</f>
        <v>10.660925958580856</v>
      </c>
      <c r="AK138" s="55">
        <f t="shared" si="141"/>
        <v>9.9971771605069701</v>
      </c>
      <c r="AL138" s="55">
        <f t="shared" si="141"/>
        <v>10.759312071926447</v>
      </c>
      <c r="AM138" s="55">
        <f t="shared" si="141"/>
        <v>8.9729635389284681</v>
      </c>
      <c r="AN138" s="55">
        <f t="shared" si="141"/>
        <v>9.9630494592875802</v>
      </c>
      <c r="AO138" s="55">
        <f t="shared" si="141"/>
        <v>8.8875135546755164</v>
      </c>
      <c r="AP138" s="55">
        <f t="shared" si="141"/>
        <v>10.185413396922797</v>
      </c>
      <c r="AQ138" s="55">
        <f t="shared" si="141"/>
        <v>10.185413396922797</v>
      </c>
      <c r="AR138" s="46"/>
      <c r="AS138" s="46"/>
      <c r="AT138" s="46"/>
      <c r="AU138" s="46"/>
      <c r="AV138" s="46"/>
    </row>
    <row r="139" spans="1:142" x14ac:dyDescent="0.25">
      <c r="B139" s="17"/>
      <c r="C139" s="17"/>
      <c r="D139" s="116"/>
      <c r="H139" s="8"/>
      <c r="I139" s="8"/>
      <c r="J139" s="8"/>
      <c r="L139" s="116"/>
      <c r="R139" s="8"/>
      <c r="S139" s="146"/>
      <c r="Z139" s="8"/>
      <c r="AB139" s="105"/>
      <c r="AI139" s="106"/>
      <c r="AR139" s="17"/>
      <c r="AS139" s="17"/>
      <c r="AT139" s="17"/>
      <c r="AU139" s="17"/>
      <c r="AV139" s="17"/>
    </row>
    <row r="140" spans="1:142" x14ac:dyDescent="0.25">
      <c r="A140" s="17" t="s">
        <v>138</v>
      </c>
      <c r="B140" s="157">
        <f>B136</f>
        <v>134.30000000000001</v>
      </c>
      <c r="D140" s="157">
        <f>D136</f>
        <v>133.19999999999999</v>
      </c>
      <c r="E140" s="17"/>
      <c r="F140" s="158">
        <f>F136</f>
        <v>121.5</v>
      </c>
      <c r="G140" s="17"/>
      <c r="H140" s="158">
        <f>H136</f>
        <v>113.7</v>
      </c>
      <c r="I140" s="158"/>
      <c r="J140" s="158">
        <f>J136</f>
        <v>105</v>
      </c>
      <c r="K140" s="8"/>
      <c r="L140" s="157">
        <f>L136</f>
        <v>91</v>
      </c>
      <c r="M140" s="17"/>
      <c r="N140" s="158">
        <f>N136</f>
        <v>77.400000000000006</v>
      </c>
      <c r="O140" s="17"/>
      <c r="P140" s="158">
        <f>P136</f>
        <v>69.900000000000006</v>
      </c>
      <c r="Q140" s="17"/>
      <c r="R140" s="158">
        <f>R136</f>
        <v>59.2</v>
      </c>
      <c r="S140" s="106"/>
      <c r="T140" s="158">
        <f>T136</f>
        <v>100</v>
      </c>
      <c r="U140" s="17"/>
      <c r="V140" s="158">
        <f>V136</f>
        <v>99.15</v>
      </c>
      <c r="W140" s="17"/>
      <c r="X140" s="158">
        <f>X136</f>
        <v>103.9</v>
      </c>
      <c r="Y140" s="17"/>
      <c r="Z140" s="158">
        <f>Z136</f>
        <v>99.4</v>
      </c>
      <c r="AA140" s="8"/>
      <c r="AB140" s="157">
        <f>AB136</f>
        <v>89.2</v>
      </c>
      <c r="AC140" s="8"/>
      <c r="AD140" s="158">
        <f>AD136</f>
        <v>99</v>
      </c>
      <c r="AF140" s="158">
        <f>AF136</f>
        <v>86.4</v>
      </c>
      <c r="AH140" s="158">
        <f>AH136</f>
        <v>86.2</v>
      </c>
      <c r="AI140" s="106"/>
      <c r="AJ140" s="5">
        <f>AJ136</f>
        <v>87</v>
      </c>
      <c r="AL140" s="5">
        <f>AL136</f>
        <v>85.75</v>
      </c>
      <c r="AN140" s="5">
        <f>AN136</f>
        <v>71.5</v>
      </c>
      <c r="AP140" s="5">
        <f>AP136</f>
        <v>64.25</v>
      </c>
      <c r="AR140" s="18"/>
      <c r="AS140" s="17"/>
      <c r="AT140" s="18"/>
      <c r="AU140" s="17"/>
      <c r="AV140" s="18"/>
      <c r="AX140" s="5"/>
      <c r="AZ140" s="5"/>
      <c r="BB140" s="5"/>
      <c r="BD140" s="5"/>
      <c r="BF140" s="5"/>
      <c r="BH140" s="5"/>
      <c r="BJ140" s="5"/>
      <c r="BL140" s="5"/>
      <c r="BN140" s="5"/>
      <c r="BP140" s="5"/>
      <c r="BR140" s="5"/>
      <c r="BT140" s="5"/>
      <c r="BV140" s="5"/>
      <c r="BX140" s="5"/>
      <c r="BZ140" s="5"/>
      <c r="CB140" s="5"/>
      <c r="CD140" s="5"/>
      <c r="CF140" s="5"/>
      <c r="CH140" s="5"/>
      <c r="CJ140" s="5"/>
      <c r="CL140" s="5"/>
      <c r="CN140" s="5"/>
      <c r="CP140" s="5"/>
      <c r="CR140" s="5"/>
      <c r="CT140" s="5"/>
      <c r="CV140" s="5"/>
      <c r="CX140" s="5"/>
      <c r="CZ140" s="5"/>
      <c r="DB140" s="5"/>
      <c r="DD140" s="5"/>
      <c r="DF140" s="5"/>
      <c r="DH140" s="5"/>
      <c r="DJ140" s="5"/>
      <c r="DL140" s="5"/>
      <c r="DN140" s="5"/>
      <c r="DP140" s="5"/>
      <c r="DR140" s="5"/>
      <c r="DT140" s="5"/>
      <c r="DV140" s="5"/>
      <c r="DX140" s="5"/>
      <c r="DZ140" s="5"/>
      <c r="EB140" s="5"/>
      <c r="ED140" s="5"/>
      <c r="EF140" s="5"/>
      <c r="EH140" s="5"/>
      <c r="EJ140" s="5"/>
      <c r="EL140" s="5"/>
    </row>
    <row r="141" spans="1:142" x14ac:dyDescent="0.25">
      <c r="A141" s="21" t="s">
        <v>140</v>
      </c>
      <c r="B141" s="175">
        <f>B132</f>
        <v>102.32497948905446</v>
      </c>
      <c r="C141" s="10"/>
      <c r="D141" s="175">
        <f>D132</f>
        <v>99.053783928653587</v>
      </c>
      <c r="E141" s="21"/>
      <c r="F141" s="16">
        <f>F132</f>
        <v>95.815643896554633</v>
      </c>
      <c r="G141" s="21"/>
      <c r="H141" s="16">
        <f>H132</f>
        <v>96.080436356053426</v>
      </c>
      <c r="I141" s="16"/>
      <c r="J141" s="16">
        <f>J132</f>
        <v>93.115496698535338</v>
      </c>
      <c r="K141" s="10"/>
      <c r="L141" s="175">
        <f>L132</f>
        <v>95.973076390509803</v>
      </c>
      <c r="M141" s="21"/>
      <c r="N141" s="16">
        <f>N132</f>
        <v>93.512853715966742</v>
      </c>
      <c r="O141" s="21"/>
      <c r="P141" s="16">
        <f>P132</f>
        <v>91.317060969093106</v>
      </c>
      <c r="Q141" s="21"/>
      <c r="R141" s="16">
        <f>R132</f>
        <v>90.552795883264537</v>
      </c>
      <c r="S141" s="160"/>
      <c r="T141" s="16">
        <f>T132</f>
        <v>89.900729825812135</v>
      </c>
      <c r="U141" s="21"/>
      <c r="V141" s="16">
        <f>V132</f>
        <v>87.596206264044412</v>
      </c>
      <c r="W141" s="21"/>
      <c r="X141" s="16">
        <f>X132</f>
        <v>85.441014942254355</v>
      </c>
      <c r="Y141" s="21"/>
      <c r="Z141" s="16">
        <f>Z132</f>
        <v>86.546481362277476</v>
      </c>
      <c r="AA141" s="10"/>
      <c r="AB141" s="175">
        <f>AB132</f>
        <v>82.274034251602657</v>
      </c>
      <c r="AC141" s="10"/>
      <c r="AD141" s="16">
        <f>AD132</f>
        <v>80.018693432243964</v>
      </c>
      <c r="AE141" s="21"/>
      <c r="AF141" s="16">
        <f>AF132</f>
        <v>77.280154087399993</v>
      </c>
      <c r="AG141" s="21"/>
      <c r="AH141" s="16">
        <f>AH132</f>
        <v>79.242819961742839</v>
      </c>
      <c r="AI141" s="176"/>
      <c r="AJ141" s="16">
        <f>AJ132</f>
        <v>77.242885017225873</v>
      </c>
      <c r="AK141" s="21"/>
      <c r="AL141" s="16">
        <f>AL132</f>
        <v>75.070989228227248</v>
      </c>
      <c r="AM141" s="21"/>
      <c r="AN141" s="16">
        <f>AN132</f>
        <v>72.721848835772832</v>
      </c>
      <c r="AO141" s="21"/>
      <c r="AP141" s="16">
        <f>AP132</f>
        <v>72.91080203815757</v>
      </c>
      <c r="AQ141" s="21"/>
      <c r="AR141" s="18"/>
      <c r="AS141" s="17"/>
      <c r="AT141" s="18"/>
      <c r="AU141" s="17"/>
      <c r="AV141" s="18"/>
      <c r="AX141" s="5"/>
      <c r="AZ141" s="5"/>
      <c r="BB141" s="5"/>
      <c r="BD141" s="5"/>
      <c r="BF141" s="5"/>
      <c r="BH141" s="5"/>
      <c r="BJ141" s="5"/>
      <c r="BL141" s="5"/>
      <c r="BN141" s="5"/>
      <c r="BP141" s="5"/>
      <c r="BR141" s="5"/>
      <c r="BT141" s="5"/>
      <c r="BV141" s="5"/>
      <c r="BX141" s="5"/>
      <c r="BZ141" s="5"/>
      <c r="CB141" s="5"/>
      <c r="CD141" s="5"/>
      <c r="CF141" s="5"/>
      <c r="CH141" s="5"/>
      <c r="CJ141" s="5"/>
      <c r="CL141" s="5"/>
      <c r="CN141" s="5"/>
      <c r="CP141" s="5"/>
      <c r="CR141" s="5"/>
      <c r="CT141" s="5"/>
      <c r="CV141" s="5"/>
      <c r="CX141" s="5"/>
      <c r="CZ141" s="5"/>
      <c r="DB141" s="5"/>
      <c r="DD141" s="5"/>
      <c r="DF141" s="5"/>
      <c r="DH141" s="5"/>
      <c r="DJ141" s="5"/>
      <c r="DL141" s="5"/>
      <c r="DN141" s="5"/>
      <c r="DP141" s="5"/>
      <c r="DR141" s="5"/>
      <c r="DT141" s="5"/>
      <c r="DV141" s="5"/>
      <c r="DX141" s="5"/>
      <c r="DZ141" s="5"/>
      <c r="EB141" s="5"/>
      <c r="ED141" s="5"/>
      <c r="EF141" s="5"/>
      <c r="EH141" s="5"/>
      <c r="EJ141" s="5"/>
      <c r="EL141" s="5"/>
    </row>
    <row r="142" spans="1:142" s="23" customFormat="1" ht="15.75" thickBot="1" x14ac:dyDescent="0.3">
      <c r="A142" s="47" t="s">
        <v>141</v>
      </c>
      <c r="B142" s="177">
        <f>B140/B141</f>
        <v>1.3124849931132003</v>
      </c>
      <c r="C142" s="49"/>
      <c r="D142" s="177">
        <f>D140/D141</f>
        <v>1.3447239945516996</v>
      </c>
      <c r="E142" s="47"/>
      <c r="F142" s="48">
        <f>F140/F141</f>
        <v>1.2680601523815354</v>
      </c>
      <c r="G142" s="47"/>
      <c r="H142" s="48">
        <f>H140/H141</f>
        <v>1.1833834681875535</v>
      </c>
      <c r="I142" s="48"/>
      <c r="J142" s="48">
        <f>J140/J141</f>
        <v>1.1276318520851707</v>
      </c>
      <c r="K142" s="49"/>
      <c r="L142" s="177">
        <f>L140/L141</f>
        <v>0.9481825885181111</v>
      </c>
      <c r="M142" s="47"/>
      <c r="N142" s="48">
        <f>N140/N141</f>
        <v>0.82769370117922547</v>
      </c>
      <c r="O142" s="47"/>
      <c r="P142" s="48">
        <f>P140/P141</f>
        <v>0.7654648458699097</v>
      </c>
      <c r="Q142" s="47"/>
      <c r="R142" s="48">
        <f>R140/R141</f>
        <v>0.653762254633388</v>
      </c>
      <c r="S142" s="166"/>
      <c r="T142" s="48">
        <f>T140/T141</f>
        <v>1.112338022102332</v>
      </c>
      <c r="U142" s="47"/>
      <c r="V142" s="48">
        <f>V140/V141</f>
        <v>1.1318983347421301</v>
      </c>
      <c r="W142" s="47"/>
      <c r="X142" s="48">
        <f>X140/X141</f>
        <v>1.2160436070454128</v>
      </c>
      <c r="Y142" s="47"/>
      <c r="Z142" s="48">
        <f>Z140/Z141</f>
        <v>1.1485157852220311</v>
      </c>
      <c r="AA142" s="49"/>
      <c r="AB142" s="177">
        <f>AB140/AB141</f>
        <v>1.0841816717923058</v>
      </c>
      <c r="AC142" s="49"/>
      <c r="AD142" s="48">
        <f>AD140/AD141</f>
        <v>1.2372109035225438</v>
      </c>
      <c r="AE142" s="49"/>
      <c r="AF142" s="48">
        <f>AF140/AF141</f>
        <v>1.118010193176969</v>
      </c>
      <c r="AG142" s="49"/>
      <c r="AH142" s="48">
        <f>AH140/AH141</f>
        <v>1.0877957150138773</v>
      </c>
      <c r="AI142" s="166"/>
      <c r="AJ142" s="48">
        <f>AJ140/AJ141</f>
        <v>1.1263173298174738</v>
      </c>
      <c r="AK142" s="49"/>
      <c r="AL142" s="48">
        <f>AL140/AL141</f>
        <v>1.1422521653378901</v>
      </c>
      <c r="AM142" s="49"/>
      <c r="AN142" s="48">
        <f>AN140/AN141</f>
        <v>0.98319832546430275</v>
      </c>
      <c r="AO142" s="49"/>
      <c r="AP142" s="48">
        <f>AP140/AP141</f>
        <v>0.88121373245044032</v>
      </c>
      <c r="AQ142" s="49"/>
      <c r="AR142" s="46"/>
      <c r="AS142" s="46"/>
      <c r="AT142" s="46"/>
      <c r="AU142" s="46"/>
      <c r="AV142" s="46"/>
      <c r="AW142" s="46"/>
      <c r="AX142" s="46"/>
      <c r="AY142" s="46"/>
      <c r="AZ142" s="46"/>
      <c r="BA142" s="46"/>
      <c r="BB142" s="46"/>
      <c r="BC142" s="46"/>
      <c r="BD142" s="46"/>
      <c r="BE142" s="46"/>
      <c r="BF142" s="46"/>
      <c r="BG142" s="46"/>
      <c r="BH142" s="46"/>
      <c r="BI142" s="46"/>
    </row>
    <row r="143" spans="1:142" x14ac:dyDescent="0.25">
      <c r="H143" s="8"/>
      <c r="I143" s="8"/>
      <c r="J143" s="8"/>
      <c r="K143" s="8"/>
      <c r="R143" s="8"/>
      <c r="S143" s="8"/>
      <c r="Z143" s="8"/>
      <c r="AA143" s="8"/>
      <c r="AB143" s="8"/>
      <c r="AC143" s="8"/>
      <c r="AR143" s="17"/>
      <c r="AS143" s="17"/>
      <c r="AT143" s="17"/>
      <c r="AU143" s="17"/>
      <c r="AV143" s="17"/>
    </row>
    <row r="144" spans="1:142" x14ac:dyDescent="0.25">
      <c r="AR144" s="17"/>
      <c r="AS144" s="17"/>
      <c r="AT144" s="17"/>
      <c r="AU144" s="17"/>
      <c r="AV144" s="17"/>
    </row>
    <row r="188" spans="40:40" x14ac:dyDescent="0.25">
      <c r="AN188" s="9"/>
    </row>
    <row r="189" spans="40:40" x14ac:dyDescent="0.25">
      <c r="AN189" s="9"/>
    </row>
    <row r="190" spans="40:40" x14ac:dyDescent="0.25">
      <c r="AN190" s="9"/>
    </row>
    <row r="191" spans="40:40" x14ac:dyDescent="0.25">
      <c r="AN191" s="9"/>
    </row>
    <row r="192" spans="40:40" x14ac:dyDescent="0.25">
      <c r="AN192" s="9"/>
    </row>
    <row r="193" spans="40:40" x14ac:dyDescent="0.25">
      <c r="AN193" s="26"/>
    </row>
    <row r="194" spans="40:40" x14ac:dyDescent="0.25">
      <c r="AN194" s="9"/>
    </row>
    <row r="195" spans="40:40" x14ac:dyDescent="0.25">
      <c r="AN195" s="9"/>
    </row>
    <row r="196" spans="40:40" x14ac:dyDescent="0.25">
      <c r="AN196" s="28"/>
    </row>
  </sheetData>
  <pageMargins left="0.31496062992125984" right="0.31496062992125984" top="0.15748031496062992" bottom="0.15748031496062992" header="0.31496062992125984" footer="0.31496062992125984"/>
  <pageSetup paperSize="9" scale="45" orientation="landscape" verticalDpi="144" r:id="rId1"/>
  <rowBreaks count="1" manualBreakCount="1">
    <brk id="81" max="44" man="1"/>
  </rowBreaks>
  <colBreaks count="2" manualBreakCount="2">
    <brk id="19" max="140" man="1"/>
    <brk id="27" max="140" man="1"/>
  </colBreaks>
  <ignoredErrors>
    <ignoredError sqref="AD26 AD12:AL13 Z30 Z42 Z48 Z60 AK11 AB11:AB13 AD11:AH11 Z11 Z98 AB98 AD98 AD100 AF98:AF100 AH98:AM98 AL101:AL102 AD103:AI103 AM103 AN98:AQ99 AO11 V13:X13 AL26 W30:X30 X98 V100:X100 V103:X103 V26 V32 V44 V50 V62 V98 T13 U136:U137 W137 Z139:AA139 Z137:AA137 AN12:AQ13 N13:P13 N26 N137 P137 N103:P104 N98:T99 N100:S100 AK103 N38:N40 N56:N58 L13 L98 AN134:AQ134 J134:K134 L134:L137 M138:P138 Y138:AA138 AC135:AQ141 I15 J98 M134:AL134 J138 N60 N62 N42 N44 AN14:AP14 AO103 N32 N50 J30 Z36 J42:J60 R54 F13:H13 F26:F32 F38:F44 J36 F50:F56 F134:F137 H137 H98 G100 F99:H99 F101:H104 F100 H100 F98:G98 B30:B36 D98" formula="1"/>
    <ignoredError sqref="R110:Y117 R132:Y133 R19:U20 U39 R28 T28 T62:U62 R140:Y142 R22:U22 R21 T21:U21 R25:U25 R23:R24 T23:U24 R27:U27 T26:U26 R120:Y126 S118:Y119 T138 R135 X136:Y136 V136 V135:Y135 R139 U42 U57 U60 T139:U139 U30 U48 U32 U44:U45 U50 C37:C45 C48 C50:C51 C54 C56:C57 C60 C62" evalError="1"/>
    <ignoredError sqref="R30:T30 R39:T39 R31 T32 R42:T42 R40 T40 R45:T45 R43 T44 R48:T48 R46 T46 R57:T57 R49 T50 R60:T60 R58 T58 R61 S135:U135 T137 S136:T136 V138 V137 X137:Y137 X138 V139:Y139 B37:B62" evalError="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P59"/>
  <sheetViews>
    <sheetView showGridLines="0" zoomScaleNormal="100" workbookViewId="0">
      <selection activeCell="E10" sqref="E10"/>
    </sheetView>
  </sheetViews>
  <sheetFormatPr baseColWidth="10" defaultColWidth="11.42578125" defaultRowHeight="15" x14ac:dyDescent="0.25"/>
  <cols>
    <col min="1" max="1" width="60.28515625" style="8" customWidth="1"/>
    <col min="2" max="2" width="148.140625" style="8" customWidth="1"/>
    <col min="3" max="16" width="11.42578125" style="17"/>
    <col min="17" max="16384" width="11.42578125" style="8"/>
  </cols>
  <sheetData>
    <row r="1" spans="1:16" ht="18.75" x14ac:dyDescent="0.3">
      <c r="A1" s="69" t="s">
        <v>142</v>
      </c>
    </row>
    <row r="2" spans="1:16" s="22" customFormat="1" ht="82.5" customHeight="1" x14ac:dyDescent="0.25">
      <c r="A2" s="222" t="s">
        <v>143</v>
      </c>
      <c r="B2" s="222"/>
      <c r="C2" s="78"/>
      <c r="D2" s="50"/>
      <c r="E2" s="50"/>
      <c r="F2" s="50"/>
      <c r="G2" s="50"/>
      <c r="H2" s="50"/>
      <c r="I2" s="50"/>
      <c r="J2" s="50"/>
      <c r="K2" s="50"/>
      <c r="L2" s="50"/>
      <c r="M2" s="50"/>
      <c r="N2" s="50"/>
      <c r="O2" s="50"/>
      <c r="P2" s="50"/>
    </row>
    <row r="3" spans="1:16" s="22" customFormat="1" ht="7.5" customHeight="1" thickBot="1" x14ac:dyDescent="0.3">
      <c r="A3" s="70"/>
      <c r="B3" s="82"/>
      <c r="C3" s="78"/>
      <c r="D3" s="50"/>
      <c r="E3" s="50"/>
      <c r="F3" s="50"/>
      <c r="G3" s="50"/>
      <c r="H3" s="50"/>
      <c r="I3" s="50"/>
      <c r="J3" s="50"/>
      <c r="K3" s="50"/>
      <c r="L3" s="50"/>
      <c r="M3" s="50"/>
      <c r="N3" s="50"/>
      <c r="O3" s="50"/>
      <c r="P3" s="50"/>
    </row>
    <row r="4" spans="1:16" ht="36.75" customHeight="1" thickBot="1" x14ac:dyDescent="0.3">
      <c r="A4" s="99" t="s">
        <v>144</v>
      </c>
      <c r="B4" s="102" t="s">
        <v>145</v>
      </c>
    </row>
    <row r="5" spans="1:16" ht="22.5" customHeight="1" x14ac:dyDescent="0.25">
      <c r="A5" s="100" t="s">
        <v>146</v>
      </c>
      <c r="B5" s="77"/>
    </row>
    <row r="6" spans="1:16" ht="46.5" customHeight="1" x14ac:dyDescent="0.25">
      <c r="A6" s="83" t="s">
        <v>147</v>
      </c>
      <c r="B6" s="84" t="s">
        <v>148</v>
      </c>
      <c r="C6" s="79"/>
    </row>
    <row r="7" spans="1:16" ht="21.75" customHeight="1" x14ac:dyDescent="0.25">
      <c r="A7" s="52" t="s">
        <v>149</v>
      </c>
      <c r="B7" s="81" t="s">
        <v>150</v>
      </c>
      <c r="C7" s="79"/>
    </row>
    <row r="8" spans="1:16" ht="21.75" customHeight="1" x14ac:dyDescent="0.25">
      <c r="A8" s="83" t="s">
        <v>151</v>
      </c>
      <c r="B8" s="84" t="s">
        <v>152</v>
      </c>
      <c r="C8" s="79"/>
    </row>
    <row r="9" spans="1:16" ht="66" customHeight="1" x14ac:dyDescent="0.25">
      <c r="A9" s="90" t="s">
        <v>153</v>
      </c>
      <c r="B9" s="81" t="s">
        <v>154</v>
      </c>
      <c r="C9" s="79"/>
    </row>
    <row r="10" spans="1:16" ht="47.25" customHeight="1" x14ac:dyDescent="0.25">
      <c r="A10" s="83" t="s">
        <v>155</v>
      </c>
      <c r="B10" s="84" t="s">
        <v>156</v>
      </c>
      <c r="C10" s="79"/>
    </row>
    <row r="11" spans="1:16" ht="22.5" customHeight="1" x14ac:dyDescent="0.25">
      <c r="A11" s="100" t="s">
        <v>157</v>
      </c>
      <c r="B11" s="77"/>
    </row>
    <row r="12" spans="1:16" ht="33" customHeight="1" x14ac:dyDescent="0.25">
      <c r="A12" s="85" t="s">
        <v>158</v>
      </c>
      <c r="B12" s="86" t="s">
        <v>159</v>
      </c>
      <c r="C12" s="79"/>
    </row>
    <row r="13" spans="1:16" ht="64.5" customHeight="1" x14ac:dyDescent="0.25">
      <c r="A13" s="62" t="s">
        <v>160</v>
      </c>
      <c r="B13" s="82" t="s">
        <v>161</v>
      </c>
      <c r="C13" s="79"/>
    </row>
    <row r="14" spans="1:16" ht="33" customHeight="1" x14ac:dyDescent="0.25">
      <c r="A14" s="85" t="s">
        <v>162</v>
      </c>
      <c r="B14" s="86" t="s">
        <v>163</v>
      </c>
      <c r="C14" s="79"/>
    </row>
    <row r="15" spans="1:16" ht="21" customHeight="1" x14ac:dyDescent="0.25">
      <c r="A15" s="62" t="s">
        <v>164</v>
      </c>
      <c r="B15" s="82" t="s">
        <v>165</v>
      </c>
      <c r="C15" s="79"/>
    </row>
    <row r="16" spans="1:16" ht="33" customHeight="1" x14ac:dyDescent="0.25">
      <c r="A16" s="85" t="s">
        <v>166</v>
      </c>
      <c r="B16" s="86" t="s">
        <v>167</v>
      </c>
      <c r="C16" s="79"/>
    </row>
    <row r="17" spans="1:3" ht="22.5" customHeight="1" x14ac:dyDescent="0.25">
      <c r="A17" s="100" t="s">
        <v>168</v>
      </c>
      <c r="B17" s="77"/>
    </row>
    <row r="18" spans="1:3" ht="62.25" customHeight="1" x14ac:dyDescent="0.25">
      <c r="A18" s="87" t="s">
        <v>169</v>
      </c>
      <c r="B18" s="88" t="s">
        <v>170</v>
      </c>
      <c r="C18" s="79"/>
    </row>
    <row r="19" spans="1:3" ht="110.25" customHeight="1" x14ac:dyDescent="0.25">
      <c r="A19" s="62" t="s">
        <v>171</v>
      </c>
      <c r="B19" s="82" t="s">
        <v>172</v>
      </c>
      <c r="C19" s="79"/>
    </row>
    <row r="20" spans="1:3" ht="60" x14ac:dyDescent="0.25">
      <c r="A20" s="85" t="s">
        <v>173</v>
      </c>
      <c r="B20" s="86" t="s">
        <v>174</v>
      </c>
      <c r="C20" s="79"/>
    </row>
    <row r="21" spans="1:3" ht="81" customHeight="1" x14ac:dyDescent="0.25">
      <c r="A21" s="62" t="s">
        <v>175</v>
      </c>
      <c r="B21" s="82" t="s">
        <v>176</v>
      </c>
      <c r="C21" s="79"/>
    </row>
    <row r="22" spans="1:3" ht="49.5" customHeight="1" x14ac:dyDescent="0.25">
      <c r="A22" s="85" t="s">
        <v>177</v>
      </c>
      <c r="B22" s="86" t="s">
        <v>178</v>
      </c>
      <c r="C22" s="79"/>
    </row>
    <row r="23" spans="1:3" ht="80.25" customHeight="1" x14ac:dyDescent="0.25">
      <c r="A23" s="62" t="s">
        <v>179</v>
      </c>
      <c r="B23" s="82" t="s">
        <v>180</v>
      </c>
      <c r="C23" s="79"/>
    </row>
    <row r="24" spans="1:3" ht="22.5" customHeight="1" x14ac:dyDescent="0.25">
      <c r="A24" s="100" t="s">
        <v>181</v>
      </c>
      <c r="B24" s="77"/>
    </row>
    <row r="25" spans="1:3" ht="33" customHeight="1" x14ac:dyDescent="0.25">
      <c r="A25" s="83" t="s">
        <v>182</v>
      </c>
      <c r="B25" s="84" t="s">
        <v>183</v>
      </c>
      <c r="C25" s="79"/>
    </row>
    <row r="26" spans="1:3" ht="33" customHeight="1" x14ac:dyDescent="0.25">
      <c r="A26" s="52" t="s">
        <v>184</v>
      </c>
      <c r="B26" s="81" t="s">
        <v>185</v>
      </c>
      <c r="C26" s="79"/>
    </row>
    <row r="27" spans="1:3" ht="33" customHeight="1" x14ac:dyDescent="0.25">
      <c r="A27" s="83" t="s">
        <v>186</v>
      </c>
      <c r="B27" s="84" t="s">
        <v>187</v>
      </c>
      <c r="C27" s="79"/>
    </row>
    <row r="28" spans="1:3" ht="24.75" customHeight="1" x14ac:dyDescent="0.25">
      <c r="A28" s="77"/>
      <c r="B28" s="77"/>
    </row>
    <row r="29" spans="1:3" ht="24.75" customHeight="1" x14ac:dyDescent="0.25">
      <c r="A29" s="77"/>
      <c r="B29" s="77"/>
    </row>
    <row r="30" spans="1:3" ht="24.75" customHeight="1" x14ac:dyDescent="0.25">
      <c r="A30" s="77"/>
      <c r="B30" s="77"/>
    </row>
    <row r="31" spans="1:3" ht="24.75" customHeight="1" x14ac:dyDescent="0.25">
      <c r="A31" s="77"/>
      <c r="B31" s="77"/>
    </row>
    <row r="32" spans="1:3" ht="24.75" customHeight="1" x14ac:dyDescent="0.25">
      <c r="A32" s="77"/>
      <c r="B32" s="77"/>
    </row>
    <row r="33" spans="1:2" ht="24.75" customHeight="1" x14ac:dyDescent="0.25">
      <c r="A33" s="77"/>
      <c r="B33" s="77"/>
    </row>
    <row r="34" spans="1:2" ht="24.75" customHeight="1" x14ac:dyDescent="0.25">
      <c r="A34" s="77"/>
      <c r="B34" s="77"/>
    </row>
    <row r="35" spans="1:2" ht="24.75" customHeight="1" x14ac:dyDescent="0.25">
      <c r="A35" s="77"/>
      <c r="B35" s="77"/>
    </row>
    <row r="36" spans="1:2" ht="24.75" customHeight="1" x14ac:dyDescent="0.25">
      <c r="A36" s="77"/>
      <c r="B36" s="77"/>
    </row>
    <row r="37" spans="1:2" ht="24.75" customHeight="1" x14ac:dyDescent="0.25">
      <c r="A37" s="77"/>
      <c r="B37" s="77"/>
    </row>
    <row r="38" spans="1:2" ht="24.75" customHeight="1" x14ac:dyDescent="0.25">
      <c r="A38" s="77"/>
      <c r="B38" s="77"/>
    </row>
    <row r="39" spans="1:2" ht="24.75" customHeight="1" x14ac:dyDescent="0.25">
      <c r="A39" s="77"/>
      <c r="B39" s="77"/>
    </row>
    <row r="40" spans="1:2" ht="24.75" customHeight="1" x14ac:dyDescent="0.25">
      <c r="A40" s="77"/>
      <c r="B40" s="77"/>
    </row>
    <row r="41" spans="1:2" ht="24.75" customHeight="1" x14ac:dyDescent="0.25">
      <c r="A41" s="77"/>
      <c r="B41" s="77"/>
    </row>
    <row r="42" spans="1:2" ht="24.75" customHeight="1" x14ac:dyDescent="0.25">
      <c r="A42" s="77"/>
      <c r="B42" s="77"/>
    </row>
    <row r="43" spans="1:2" ht="24.75" customHeight="1" x14ac:dyDescent="0.25">
      <c r="A43" s="77"/>
      <c r="B43" s="77"/>
    </row>
    <row r="44" spans="1:2" ht="24.75" customHeight="1" x14ac:dyDescent="0.25">
      <c r="A44" s="77"/>
      <c r="B44" s="77"/>
    </row>
    <row r="45" spans="1:2" ht="24.75" customHeight="1" x14ac:dyDescent="0.25">
      <c r="A45" s="77"/>
      <c r="B45" s="77"/>
    </row>
    <row r="46" spans="1:2" ht="24.75" customHeight="1" x14ac:dyDescent="0.25">
      <c r="A46" s="77"/>
      <c r="B46" s="77"/>
    </row>
    <row r="47" spans="1:2" ht="24.75" customHeight="1" x14ac:dyDescent="0.25">
      <c r="A47" s="77"/>
      <c r="B47" s="77"/>
    </row>
    <row r="48" spans="1:2" ht="24.75" customHeight="1" x14ac:dyDescent="0.25">
      <c r="A48" s="77"/>
      <c r="B48" s="77"/>
    </row>
    <row r="49" spans="1:2" ht="24.75" customHeight="1" x14ac:dyDescent="0.25">
      <c r="A49" s="77"/>
      <c r="B49" s="77"/>
    </row>
    <row r="50" spans="1:2" ht="24.75" customHeight="1" x14ac:dyDescent="0.25">
      <c r="A50" s="77"/>
      <c r="B50" s="77"/>
    </row>
    <row r="51" spans="1:2" ht="24.75" customHeight="1" x14ac:dyDescent="0.25">
      <c r="A51" s="77"/>
      <c r="B51" s="77"/>
    </row>
    <row r="52" spans="1:2" ht="24.75" customHeight="1" x14ac:dyDescent="0.25">
      <c r="A52" s="77"/>
      <c r="B52" s="77"/>
    </row>
    <row r="53" spans="1:2" ht="24.75" customHeight="1" x14ac:dyDescent="0.25">
      <c r="A53" s="77"/>
      <c r="B53" s="77"/>
    </row>
    <row r="54" spans="1:2" ht="24.75" customHeight="1" x14ac:dyDescent="0.25">
      <c r="A54" s="77"/>
      <c r="B54" s="77"/>
    </row>
    <row r="55" spans="1:2" ht="24.75" customHeight="1" x14ac:dyDescent="0.25">
      <c r="A55" s="77"/>
      <c r="B55" s="77"/>
    </row>
    <row r="56" spans="1:2" ht="24.75" customHeight="1" x14ac:dyDescent="0.25">
      <c r="A56" s="77"/>
      <c r="B56" s="77"/>
    </row>
    <row r="57" spans="1:2" ht="24.75" customHeight="1" x14ac:dyDescent="0.25">
      <c r="A57" s="77"/>
      <c r="B57" s="77"/>
    </row>
    <row r="58" spans="1:2" ht="24.75" customHeight="1" x14ac:dyDescent="0.25">
      <c r="A58" s="77"/>
      <c r="B58" s="77"/>
    </row>
    <row r="59" spans="1:2" ht="24.75" customHeight="1" x14ac:dyDescent="0.25">
      <c r="A59" s="77"/>
      <c r="B59" s="77"/>
    </row>
  </sheetData>
  <mergeCells count="1">
    <mergeCell ref="A2:B2"/>
  </mergeCells>
  <pageMargins left="0.31496062992125984" right="0.31496062992125984" top="0.15748031496062992" bottom="0.15748031496062992" header="0.31496062992125984" footer="0.31496062992125984"/>
  <pageSetup paperSize="9" scale="67" fitToHeight="2"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EL196"/>
  <sheetViews>
    <sheetView tabSelected="1" zoomScale="90" zoomScaleNormal="90" workbookViewId="0">
      <pane xSplit="1" ySplit="1" topLeftCell="B2" activePane="bottomRight" state="frozen"/>
      <selection pane="topRight" activeCell="A17" sqref="A17:XFD17"/>
      <selection pane="bottomLeft" activeCell="A17" sqref="A17:XFD17"/>
      <selection pane="bottomRight" activeCell="B150" sqref="B150"/>
    </sheetView>
  </sheetViews>
  <sheetFormatPr baseColWidth="10" defaultColWidth="11.42578125" defaultRowHeight="15" x14ac:dyDescent="0.25"/>
  <cols>
    <col min="1" max="1" width="58.85546875" style="8" customWidth="1"/>
    <col min="2" max="15" width="13.5703125" style="8" customWidth="1"/>
    <col min="16" max="17" width="13.7109375" style="8" customWidth="1"/>
    <col min="18" max="21" width="13.5703125" style="8" customWidth="1"/>
    <col min="22" max="25" width="13.7109375" style="8" customWidth="1"/>
    <col min="26" max="27" width="13.5703125" style="8" customWidth="1"/>
    <col min="28" max="29" width="13.7109375" style="17" customWidth="1"/>
    <col min="30" max="43" width="13.7109375" style="8" customWidth="1"/>
    <col min="44" max="16384" width="11.42578125" style="8"/>
  </cols>
  <sheetData>
    <row r="1" spans="1:65" s="24" customFormat="1" x14ac:dyDescent="0.25">
      <c r="A1" s="32" t="s">
        <v>188</v>
      </c>
      <c r="B1" s="188">
        <v>44651</v>
      </c>
      <c r="C1" s="201" t="s">
        <v>290</v>
      </c>
      <c r="D1" s="198">
        <v>44561</v>
      </c>
      <c r="E1" s="31" t="s">
        <v>189</v>
      </c>
      <c r="F1" s="188">
        <v>44469</v>
      </c>
      <c r="G1" s="31" t="s">
        <v>190</v>
      </c>
      <c r="H1" s="29">
        <v>44377</v>
      </c>
      <c r="I1" s="30" t="s">
        <v>191</v>
      </c>
      <c r="J1" s="188">
        <v>44286</v>
      </c>
      <c r="K1" s="201" t="s">
        <v>192</v>
      </c>
      <c r="L1" s="188">
        <v>44196</v>
      </c>
      <c r="M1" s="31" t="s">
        <v>193</v>
      </c>
      <c r="N1" s="188">
        <v>44104</v>
      </c>
      <c r="O1" s="31" t="s">
        <v>194</v>
      </c>
      <c r="P1" s="29">
        <v>44012</v>
      </c>
      <c r="Q1" s="30" t="s">
        <v>195</v>
      </c>
      <c r="R1" s="188">
        <v>43921</v>
      </c>
      <c r="S1" s="201" t="s">
        <v>196</v>
      </c>
      <c r="T1" s="188">
        <v>43830</v>
      </c>
      <c r="U1" s="31" t="s">
        <v>197</v>
      </c>
      <c r="V1" s="188">
        <v>43738</v>
      </c>
      <c r="W1" s="31" t="s">
        <v>198</v>
      </c>
      <c r="X1" s="29">
        <v>43646</v>
      </c>
      <c r="Y1" s="30" t="s">
        <v>199</v>
      </c>
      <c r="Z1" s="188">
        <v>43555</v>
      </c>
      <c r="AA1" s="188" t="s">
        <v>200</v>
      </c>
      <c r="AB1" s="103">
        <v>43465</v>
      </c>
      <c r="AC1" s="30" t="s">
        <v>201</v>
      </c>
      <c r="AD1" s="29">
        <v>43373</v>
      </c>
      <c r="AE1" s="30" t="s">
        <v>202</v>
      </c>
      <c r="AF1" s="29">
        <v>43281</v>
      </c>
      <c r="AG1" s="30" t="s">
        <v>203</v>
      </c>
      <c r="AH1" s="29">
        <v>43190</v>
      </c>
      <c r="AI1" s="104" t="s">
        <v>204</v>
      </c>
      <c r="AJ1" s="29">
        <v>43100</v>
      </c>
      <c r="AK1" s="30" t="s">
        <v>205</v>
      </c>
      <c r="AL1" s="29">
        <v>43008</v>
      </c>
      <c r="AM1" s="30" t="s">
        <v>206</v>
      </c>
      <c r="AN1" s="29">
        <v>42916</v>
      </c>
      <c r="AO1" s="30" t="s">
        <v>207</v>
      </c>
      <c r="AP1" s="29">
        <v>42825</v>
      </c>
      <c r="AQ1" s="30" t="s">
        <v>208</v>
      </c>
      <c r="AR1" s="31"/>
      <c r="AS1" s="32"/>
      <c r="AT1" s="32"/>
      <c r="AU1" s="32"/>
      <c r="AV1" s="32"/>
      <c r="AW1" s="32"/>
      <c r="AX1" s="32"/>
      <c r="AY1" s="32"/>
      <c r="AZ1" s="32"/>
      <c r="BA1" s="32"/>
      <c r="BB1" s="32"/>
      <c r="BC1" s="32"/>
      <c r="BD1" s="32"/>
      <c r="BE1" s="32"/>
      <c r="BF1" s="32"/>
      <c r="BG1" s="32"/>
      <c r="BH1" s="32"/>
      <c r="BI1" s="32"/>
      <c r="BJ1" s="32"/>
      <c r="BK1" s="32"/>
      <c r="BL1" s="32"/>
      <c r="BM1" s="32"/>
    </row>
    <row r="2" spans="1:65" x14ac:dyDescent="0.25">
      <c r="B2" s="17"/>
      <c r="C2" s="17"/>
      <c r="D2" s="116"/>
      <c r="H2" s="17"/>
      <c r="I2" s="17"/>
      <c r="J2" s="17"/>
      <c r="K2" s="17"/>
      <c r="L2" s="116"/>
      <c r="R2" s="17"/>
      <c r="S2" s="146"/>
      <c r="Z2" s="17"/>
      <c r="AA2" s="17"/>
      <c r="AB2" s="105"/>
      <c r="AI2" s="106"/>
      <c r="AR2" s="17"/>
      <c r="AS2" s="17"/>
      <c r="AT2" s="17"/>
      <c r="AU2" s="17"/>
      <c r="AV2" s="17"/>
      <c r="AW2" s="17"/>
      <c r="AX2" s="17"/>
      <c r="AY2" s="17"/>
      <c r="AZ2" s="17"/>
      <c r="BA2" s="17"/>
      <c r="BB2" s="17"/>
      <c r="BC2" s="17"/>
      <c r="BD2" s="17"/>
      <c r="BE2" s="17"/>
      <c r="BF2" s="17"/>
      <c r="BG2" s="17"/>
      <c r="BH2" s="17"/>
      <c r="BI2" s="17"/>
      <c r="BJ2" s="17"/>
      <c r="BK2" s="17"/>
      <c r="BL2" s="17"/>
      <c r="BM2" s="17"/>
    </row>
    <row r="3" spans="1:65" x14ac:dyDescent="0.25">
      <c r="A3" s="17" t="s">
        <v>209</v>
      </c>
      <c r="B3" s="3">
        <f>C3</f>
        <v>753</v>
      </c>
      <c r="C3" s="3">
        <v>753</v>
      </c>
      <c r="D3" s="107">
        <f>I3+E3+G3+K3</f>
        <v>3156</v>
      </c>
      <c r="E3" s="3">
        <v>889</v>
      </c>
      <c r="F3" s="3">
        <f>K3+G3+I3</f>
        <v>2267</v>
      </c>
      <c r="G3" s="3">
        <v>733</v>
      </c>
      <c r="H3" s="3">
        <f>K3+I3</f>
        <v>1534</v>
      </c>
      <c r="I3" s="3">
        <v>816</v>
      </c>
      <c r="J3" s="3">
        <f>K3</f>
        <v>718</v>
      </c>
      <c r="K3" s="3">
        <v>718</v>
      </c>
      <c r="L3" s="107">
        <f>Q3+M3+O3+S3</f>
        <v>1589.932</v>
      </c>
      <c r="M3" s="3">
        <v>608</v>
      </c>
      <c r="N3" s="3">
        <f>S3+O3+Q3</f>
        <v>981.93200000000002</v>
      </c>
      <c r="O3" s="3">
        <v>505</v>
      </c>
      <c r="P3" s="3">
        <f>Q3+S3</f>
        <v>476.93200000000002</v>
      </c>
      <c r="Q3" s="3">
        <v>255.94900000000001</v>
      </c>
      <c r="R3" s="3">
        <f>S3</f>
        <v>220.983</v>
      </c>
      <c r="S3" s="3">
        <v>220.983</v>
      </c>
      <c r="T3" s="3">
        <f>Y3+U3+W3+AA3</f>
        <v>3124</v>
      </c>
      <c r="U3" s="3">
        <v>485</v>
      </c>
      <c r="V3" s="3">
        <f>AA3+W3+Y3</f>
        <v>2639</v>
      </c>
      <c r="W3" s="3">
        <v>593</v>
      </c>
      <c r="X3" s="3">
        <f>Y3+AA3</f>
        <v>2046</v>
      </c>
      <c r="Y3" s="3">
        <v>900</v>
      </c>
      <c r="Z3" s="3">
        <f>AA3</f>
        <v>1146</v>
      </c>
      <c r="AA3" s="3">
        <v>1146</v>
      </c>
      <c r="AB3" s="107">
        <f>AI3+AG3+AE3+AC3</f>
        <v>2295.9123329700051</v>
      </c>
      <c r="AC3" s="3">
        <v>527.40968886001451</v>
      </c>
      <c r="AD3" s="3">
        <f>AI3+AG3+AE3</f>
        <v>1768.5026441099906</v>
      </c>
      <c r="AE3" s="3">
        <v>633.92554623999126</v>
      </c>
      <c r="AF3" s="3">
        <f>AG3+AI3</f>
        <v>1134.5770978699993</v>
      </c>
      <c r="AG3" s="3">
        <v>616.96496496999964</v>
      </c>
      <c r="AH3" s="3">
        <f>AI3</f>
        <v>517.61213289999955</v>
      </c>
      <c r="AI3" s="108">
        <v>517.61213289999955</v>
      </c>
      <c r="AJ3" s="3">
        <f>AQ3+AO3+AM3+AK3</f>
        <v>2085.5269346600007</v>
      </c>
      <c r="AK3" s="3">
        <v>558.04132110999979</v>
      </c>
      <c r="AL3" s="3">
        <f>AQ3+AO3+AM3</f>
        <v>1527.4856135500008</v>
      </c>
      <c r="AM3" s="3">
        <v>610.52643794000062</v>
      </c>
      <c r="AN3" s="3">
        <f>AQ3+AO3</f>
        <v>916.95917561000033</v>
      </c>
      <c r="AO3" s="3">
        <v>513.96318905999931</v>
      </c>
      <c r="AP3" s="3">
        <f>AQ3</f>
        <v>402.99598655000108</v>
      </c>
      <c r="AQ3" s="3">
        <v>402.99598655000108</v>
      </c>
      <c r="AR3" s="17"/>
      <c r="AS3" s="17"/>
      <c r="AT3" s="17"/>
      <c r="AU3" s="17"/>
      <c r="AV3" s="17"/>
      <c r="AW3" s="17"/>
      <c r="AX3" s="17"/>
      <c r="AY3" s="17"/>
      <c r="AZ3" s="17"/>
      <c r="BA3" s="17"/>
      <c r="BB3" s="17"/>
      <c r="BC3" s="17"/>
      <c r="BD3" s="17"/>
      <c r="BE3" s="17"/>
      <c r="BF3" s="17"/>
      <c r="BG3" s="17"/>
      <c r="BH3" s="17"/>
      <c r="BI3" s="17"/>
      <c r="BJ3" s="17"/>
      <c r="BK3" s="17"/>
      <c r="BL3" s="17"/>
      <c r="BM3" s="17"/>
    </row>
    <row r="4" spans="1:65" x14ac:dyDescent="0.25">
      <c r="A4" s="21" t="s">
        <v>210</v>
      </c>
      <c r="B4" s="61">
        <f>C4</f>
        <v>19</v>
      </c>
      <c r="C4" s="185">
        <v>19</v>
      </c>
      <c r="D4" s="199">
        <f>G4+E4+I4+K4</f>
        <v>66.609000000000009</v>
      </c>
      <c r="E4" s="36">
        <v>17.719000000000001</v>
      </c>
      <c r="F4" s="36">
        <f>I4+G4+K4</f>
        <v>48.89</v>
      </c>
      <c r="G4" s="36">
        <v>17.143000000000001</v>
      </c>
      <c r="H4" s="61">
        <v>31.747</v>
      </c>
      <c r="I4" s="61">
        <f>H4-J4</f>
        <v>14.061</v>
      </c>
      <c r="J4" s="61">
        <f>K4</f>
        <v>17.686</v>
      </c>
      <c r="K4" s="185">
        <v>17.686</v>
      </c>
      <c r="L4" s="199">
        <f>O4+M4+Q4+S4</f>
        <v>87.539999999999992</v>
      </c>
      <c r="M4" s="36">
        <v>21</v>
      </c>
      <c r="N4" s="36">
        <f>Q4+O4+S4</f>
        <v>66.539999999999992</v>
      </c>
      <c r="O4" s="36">
        <v>18</v>
      </c>
      <c r="P4" s="36">
        <v>48.54</v>
      </c>
      <c r="Q4" s="4">
        <f>P4-R4</f>
        <v>23.96</v>
      </c>
      <c r="R4" s="61">
        <f>S4</f>
        <v>24.58</v>
      </c>
      <c r="S4" s="185">
        <v>24.58</v>
      </c>
      <c r="T4" s="36">
        <f>W4+U4+Y4+AA4</f>
        <v>40</v>
      </c>
      <c r="U4" s="36">
        <v>15</v>
      </c>
      <c r="V4" s="36">
        <f>Y4+W4+AA4</f>
        <v>25</v>
      </c>
      <c r="W4" s="36">
        <v>12</v>
      </c>
      <c r="X4" s="36">
        <f>AA4+Y4</f>
        <v>13</v>
      </c>
      <c r="Y4" s="36">
        <v>9</v>
      </c>
      <c r="Z4" s="61">
        <f>AA4</f>
        <v>4</v>
      </c>
      <c r="AA4" s="185">
        <v>4</v>
      </c>
      <c r="AB4" s="109">
        <v>4.764621</v>
      </c>
      <c r="AC4" s="1">
        <v>1.1309969999999998</v>
      </c>
      <c r="AD4" s="4">
        <v>3.6336240000000002</v>
      </c>
      <c r="AE4" s="4">
        <f>AD4-AF4</f>
        <v>1.2030830000000003</v>
      </c>
      <c r="AF4" s="36">
        <v>2.4305409999999998</v>
      </c>
      <c r="AG4" s="36">
        <f>AF4-AH4</f>
        <v>1.2923659999999999</v>
      </c>
      <c r="AH4" s="36">
        <f>AI4</f>
        <v>1.1381749999999999</v>
      </c>
      <c r="AI4" s="110">
        <v>1.1381749999999999</v>
      </c>
      <c r="AJ4" s="4">
        <f>AQ4+AO4+AM4+AK4</f>
        <v>2.0754739999999998</v>
      </c>
      <c r="AK4" s="4">
        <v>2.0754739999999998</v>
      </c>
      <c r="AL4" s="4">
        <f>AQ4+AO4+AM4</f>
        <v>0</v>
      </c>
      <c r="AM4" s="4">
        <v>0</v>
      </c>
      <c r="AN4" s="4">
        <f>AQ4+AO4</f>
        <v>0</v>
      </c>
      <c r="AO4" s="4">
        <v>0</v>
      </c>
      <c r="AP4" s="4">
        <v>0</v>
      </c>
      <c r="AQ4" s="4">
        <v>0</v>
      </c>
      <c r="AR4" s="17"/>
      <c r="AS4" s="17"/>
      <c r="AT4" s="17"/>
      <c r="AU4" s="17"/>
      <c r="AV4" s="17"/>
      <c r="AW4" s="17"/>
      <c r="AX4" s="17"/>
      <c r="AY4" s="17"/>
      <c r="AZ4" s="17"/>
      <c r="BA4" s="17"/>
      <c r="BB4" s="17"/>
      <c r="BC4" s="17"/>
      <c r="BD4" s="17"/>
      <c r="BE4" s="17"/>
      <c r="BF4" s="17"/>
      <c r="BG4" s="17"/>
      <c r="BH4" s="17"/>
      <c r="BI4" s="17"/>
      <c r="BJ4" s="17"/>
      <c r="BK4" s="17"/>
      <c r="BL4" s="17"/>
      <c r="BM4" s="17"/>
    </row>
    <row r="5" spans="1:65" x14ac:dyDescent="0.25">
      <c r="A5" s="17" t="s">
        <v>211</v>
      </c>
      <c r="B5" s="37">
        <f t="shared" ref="B5:C5" si="0">B3-B4</f>
        <v>734</v>
      </c>
      <c r="C5" s="37">
        <f t="shared" si="0"/>
        <v>734</v>
      </c>
      <c r="D5" s="152">
        <f t="shared" ref="D5:E5" si="1">D3-D4</f>
        <v>3089.3910000000001</v>
      </c>
      <c r="E5" s="3">
        <f t="shared" si="1"/>
        <v>871.28099999999995</v>
      </c>
      <c r="F5" s="37">
        <f t="shared" ref="F5:K5" si="2">F3-F4</f>
        <v>2218.11</v>
      </c>
      <c r="G5" s="3">
        <f t="shared" si="2"/>
        <v>715.85699999999997</v>
      </c>
      <c r="H5" s="37">
        <f t="shared" si="2"/>
        <v>1502.2529999999999</v>
      </c>
      <c r="I5" s="37">
        <f t="shared" si="2"/>
        <v>801.93899999999996</v>
      </c>
      <c r="J5" s="37">
        <f t="shared" si="2"/>
        <v>700.31399999999996</v>
      </c>
      <c r="K5" s="37">
        <f t="shared" si="2"/>
        <v>700.31399999999996</v>
      </c>
      <c r="L5" s="152">
        <f t="shared" ref="L5:M5" si="3">L3-L4</f>
        <v>1502.3920000000001</v>
      </c>
      <c r="M5" s="3">
        <f t="shared" si="3"/>
        <v>587</v>
      </c>
      <c r="N5" s="37">
        <f t="shared" ref="N5:O5" si="4">N3-N4</f>
        <v>915.39200000000005</v>
      </c>
      <c r="O5" s="3">
        <f t="shared" si="4"/>
        <v>487</v>
      </c>
      <c r="P5" s="37">
        <f t="shared" ref="P5:Q5" si="5">P3-P4</f>
        <v>428.392</v>
      </c>
      <c r="Q5" s="3">
        <f t="shared" si="5"/>
        <v>231.989</v>
      </c>
      <c r="R5" s="37">
        <f t="shared" ref="R5:S5" si="6">R3-R4</f>
        <v>196.40300000000002</v>
      </c>
      <c r="S5" s="112">
        <f t="shared" si="6"/>
        <v>196.40300000000002</v>
      </c>
      <c r="T5" s="98">
        <f t="shared" ref="T5:U5" si="7">T3-T4</f>
        <v>3084</v>
      </c>
      <c r="U5" s="98">
        <f t="shared" si="7"/>
        <v>470</v>
      </c>
      <c r="V5" s="37">
        <f t="shared" ref="V5:W5" si="8">V3-V4</f>
        <v>2614</v>
      </c>
      <c r="W5" s="3">
        <f t="shared" si="8"/>
        <v>581</v>
      </c>
      <c r="X5" s="37">
        <f t="shared" ref="X5:Y5" si="9">X3-X4</f>
        <v>2033</v>
      </c>
      <c r="Y5" s="37">
        <f t="shared" si="9"/>
        <v>891</v>
      </c>
      <c r="Z5" s="37">
        <f t="shared" ref="Z5:AA5" si="10">Z3-Z4</f>
        <v>1142</v>
      </c>
      <c r="AA5" s="112">
        <f t="shared" si="10"/>
        <v>1142</v>
      </c>
      <c r="AB5" s="111">
        <f t="shared" ref="AB5:AQ5" si="11">AB3-AB4</f>
        <v>2291.1477119700053</v>
      </c>
      <c r="AC5" s="98">
        <f t="shared" si="11"/>
        <v>526.27869186001453</v>
      </c>
      <c r="AD5" s="3">
        <f t="shared" si="11"/>
        <v>1764.8690201099905</v>
      </c>
      <c r="AE5" s="3">
        <f t="shared" si="11"/>
        <v>632.72246323999127</v>
      </c>
      <c r="AF5" s="37">
        <f t="shared" si="11"/>
        <v>1132.1465568699994</v>
      </c>
      <c r="AG5" s="37">
        <f t="shared" si="11"/>
        <v>615.67259896999963</v>
      </c>
      <c r="AH5" s="37">
        <f t="shared" si="11"/>
        <v>516.4739578999995</v>
      </c>
      <c r="AI5" s="112">
        <f t="shared" si="11"/>
        <v>516.4739578999995</v>
      </c>
      <c r="AJ5" s="3">
        <f t="shared" si="11"/>
        <v>2083.4514606600005</v>
      </c>
      <c r="AK5" s="3">
        <f t="shared" si="11"/>
        <v>555.9658471099998</v>
      </c>
      <c r="AL5" s="3">
        <f t="shared" si="11"/>
        <v>1527.4856135500008</v>
      </c>
      <c r="AM5" s="3">
        <f t="shared" si="11"/>
        <v>610.52643794000062</v>
      </c>
      <c r="AN5" s="3">
        <f t="shared" si="11"/>
        <v>916.95917561000033</v>
      </c>
      <c r="AO5" s="3">
        <f t="shared" si="11"/>
        <v>513.96318905999931</v>
      </c>
      <c r="AP5" s="3">
        <f t="shared" si="11"/>
        <v>402.99598655000108</v>
      </c>
      <c r="AQ5" s="3">
        <f t="shared" si="11"/>
        <v>402.99598655000108</v>
      </c>
      <c r="AR5" s="17"/>
      <c r="AS5" s="17"/>
      <c r="AT5" s="17"/>
      <c r="AU5" s="17"/>
      <c r="AV5" s="17"/>
      <c r="AW5" s="17"/>
      <c r="AX5" s="17"/>
      <c r="AY5" s="17"/>
      <c r="AZ5" s="17"/>
      <c r="BA5" s="17"/>
      <c r="BB5" s="17"/>
      <c r="BC5" s="17"/>
      <c r="BD5" s="17"/>
      <c r="BE5" s="17"/>
      <c r="BF5" s="17"/>
      <c r="BG5" s="17"/>
      <c r="BH5" s="17"/>
      <c r="BI5" s="17"/>
      <c r="BJ5" s="17"/>
      <c r="BK5" s="17"/>
      <c r="BL5" s="17"/>
      <c r="BM5" s="17"/>
    </row>
    <row r="6" spans="1:65" x14ac:dyDescent="0.25">
      <c r="B6" s="17"/>
      <c r="C6" s="17"/>
      <c r="D6" s="147"/>
      <c r="E6" s="17"/>
      <c r="F6" s="6"/>
      <c r="G6" s="17"/>
      <c r="H6" s="17"/>
      <c r="I6" s="17"/>
      <c r="J6" s="17"/>
      <c r="K6" s="17"/>
      <c r="L6" s="147"/>
      <c r="M6" s="17"/>
      <c r="N6" s="6"/>
      <c r="O6" s="17"/>
      <c r="P6" s="6"/>
      <c r="Q6" s="17"/>
      <c r="R6" s="17"/>
      <c r="S6" s="146"/>
      <c r="V6" s="6"/>
      <c r="W6" s="17"/>
      <c r="X6" s="6"/>
      <c r="Y6" s="6"/>
      <c r="Z6" s="17"/>
      <c r="AA6" s="17"/>
      <c r="AB6" s="105"/>
      <c r="AD6" s="6"/>
      <c r="AE6" s="6"/>
      <c r="AF6" s="6"/>
      <c r="AG6" s="6"/>
      <c r="AH6" s="6"/>
      <c r="AI6" s="113"/>
      <c r="AJ6" s="3"/>
      <c r="AK6" s="3"/>
      <c r="AL6" s="6"/>
      <c r="AM6" s="6"/>
      <c r="AN6" s="6"/>
      <c r="AO6" s="6"/>
      <c r="AP6" s="6"/>
      <c r="AQ6" s="6"/>
      <c r="AR6" s="17"/>
      <c r="AS6" s="17"/>
      <c r="AT6" s="17"/>
      <c r="AU6" s="17"/>
      <c r="AV6" s="17"/>
      <c r="AW6" s="17"/>
      <c r="AX6" s="17"/>
      <c r="AY6" s="17"/>
      <c r="AZ6" s="17"/>
      <c r="BA6" s="17"/>
      <c r="BB6" s="17"/>
      <c r="BC6" s="17"/>
      <c r="BD6" s="17"/>
      <c r="BE6" s="17"/>
      <c r="BF6" s="17"/>
      <c r="BG6" s="17"/>
      <c r="BH6" s="17"/>
      <c r="BI6" s="17"/>
      <c r="BJ6" s="17"/>
      <c r="BK6" s="17"/>
      <c r="BL6" s="17"/>
      <c r="BM6" s="17"/>
    </row>
    <row r="7" spans="1:65" x14ac:dyDescent="0.25">
      <c r="A7" s="17" t="s">
        <v>212</v>
      </c>
      <c r="B7" s="3">
        <f>C7</f>
        <v>28016</v>
      </c>
      <c r="C7" s="3">
        <v>28016</v>
      </c>
      <c r="D7" s="107">
        <f>E7</f>
        <v>27179</v>
      </c>
      <c r="E7" s="3">
        <v>27179</v>
      </c>
      <c r="F7" s="3">
        <f>G7</f>
        <v>26351</v>
      </c>
      <c r="G7" s="3">
        <v>26351</v>
      </c>
      <c r="H7" s="3">
        <f>I7</f>
        <v>26419</v>
      </c>
      <c r="I7" s="3">
        <v>26419</v>
      </c>
      <c r="J7" s="3">
        <f>K7</f>
        <v>25661</v>
      </c>
      <c r="K7" s="3">
        <v>25661</v>
      </c>
      <c r="L7" s="107">
        <f>M7</f>
        <v>26393</v>
      </c>
      <c r="M7" s="3">
        <v>26393</v>
      </c>
      <c r="N7" s="3">
        <f>O7</f>
        <v>25764</v>
      </c>
      <c r="O7" s="3">
        <v>25764</v>
      </c>
      <c r="P7" s="3">
        <f>Q7</f>
        <v>25203</v>
      </c>
      <c r="Q7" s="3">
        <v>25203</v>
      </c>
      <c r="R7" s="3">
        <f>S7</f>
        <v>25008</v>
      </c>
      <c r="S7" s="3">
        <v>25008</v>
      </c>
      <c r="T7" s="3">
        <f>U7</f>
        <v>24834</v>
      </c>
      <c r="U7" s="3">
        <v>24834</v>
      </c>
      <c r="V7" s="3">
        <f>W7</f>
        <v>23645</v>
      </c>
      <c r="W7" s="3">
        <v>23645</v>
      </c>
      <c r="X7" s="3">
        <f>Y7</f>
        <v>23094</v>
      </c>
      <c r="Y7" s="3">
        <v>23094</v>
      </c>
      <c r="Z7" s="3">
        <f>AA7</f>
        <v>23114</v>
      </c>
      <c r="AA7" s="3">
        <v>23114</v>
      </c>
      <c r="AB7" s="107">
        <f>AC7</f>
        <v>21584.663038989998</v>
      </c>
      <c r="AC7" s="3">
        <v>21584.663038989998</v>
      </c>
      <c r="AD7" s="3">
        <f>AE7</f>
        <v>21008.049352730101</v>
      </c>
      <c r="AE7" s="3">
        <v>21008.049352730101</v>
      </c>
      <c r="AF7" s="3">
        <f>AG7</f>
        <v>19907.898292170099</v>
      </c>
      <c r="AG7" s="3">
        <v>19907.898292170099</v>
      </c>
      <c r="AH7" s="3">
        <f>AI7</f>
        <v>20400.052938220098</v>
      </c>
      <c r="AI7" s="108">
        <v>20400.052938220098</v>
      </c>
      <c r="AJ7" s="3">
        <f>AK7</f>
        <v>19888.9809127796</v>
      </c>
      <c r="AK7" s="3">
        <v>19888.9809127796</v>
      </c>
      <c r="AL7" s="3">
        <f>AM7</f>
        <v>19333.9652694096</v>
      </c>
      <c r="AM7" s="3">
        <v>19333.9652694096</v>
      </c>
      <c r="AN7" s="3">
        <f>AO7</f>
        <v>18733.655773489601</v>
      </c>
      <c r="AO7" s="3">
        <v>18733.655773489601</v>
      </c>
      <c r="AP7" s="3">
        <f>AQ7</f>
        <v>18631.941692049601</v>
      </c>
      <c r="AQ7" s="3">
        <v>18631.941692049601</v>
      </c>
      <c r="AR7" s="17"/>
      <c r="AS7" s="17"/>
      <c r="AT7" s="17"/>
      <c r="AU7" s="17"/>
      <c r="AV7" s="17"/>
      <c r="AW7" s="17"/>
      <c r="AX7" s="17"/>
      <c r="AY7" s="17"/>
      <c r="AZ7" s="17"/>
      <c r="BA7" s="17"/>
      <c r="BB7" s="17"/>
      <c r="BC7" s="17"/>
      <c r="BD7" s="17"/>
      <c r="BE7" s="17"/>
      <c r="BF7" s="17"/>
      <c r="BG7" s="17"/>
      <c r="BH7" s="17"/>
      <c r="BI7" s="17"/>
      <c r="BJ7" s="17"/>
      <c r="BK7" s="17"/>
      <c r="BL7" s="17"/>
      <c r="BM7" s="17"/>
    </row>
    <row r="8" spans="1:65" s="17" customFormat="1" x14ac:dyDescent="0.25">
      <c r="A8" s="21" t="s">
        <v>213</v>
      </c>
      <c r="B8" s="4">
        <f>C8</f>
        <v>1850</v>
      </c>
      <c r="C8" s="4">
        <v>1850</v>
      </c>
      <c r="D8" s="114">
        <f>E8</f>
        <v>1850</v>
      </c>
      <c r="E8" s="4">
        <v>1850</v>
      </c>
      <c r="F8" s="4">
        <f>G8</f>
        <v>1850</v>
      </c>
      <c r="G8" s="4">
        <v>1850</v>
      </c>
      <c r="H8" s="4">
        <f>I8</f>
        <v>1850</v>
      </c>
      <c r="I8" s="4">
        <v>1850</v>
      </c>
      <c r="J8" s="4">
        <f>K8</f>
        <v>1850</v>
      </c>
      <c r="K8" s="4">
        <v>1850</v>
      </c>
      <c r="L8" s="114">
        <f>M8</f>
        <v>1850</v>
      </c>
      <c r="M8" s="4">
        <v>1850</v>
      </c>
      <c r="N8" s="4">
        <f>O8</f>
        <v>1850</v>
      </c>
      <c r="O8" s="4">
        <v>1850</v>
      </c>
      <c r="P8" s="4">
        <f>Q8</f>
        <v>1850</v>
      </c>
      <c r="Q8" s="4">
        <v>1850</v>
      </c>
      <c r="R8" s="4">
        <f>S8</f>
        <v>1850</v>
      </c>
      <c r="S8" s="4">
        <v>1850</v>
      </c>
      <c r="T8" s="4">
        <f>U8</f>
        <v>1850</v>
      </c>
      <c r="U8" s="4">
        <v>1850</v>
      </c>
      <c r="V8" s="4">
        <f>W8</f>
        <v>1250</v>
      </c>
      <c r="W8" s="4">
        <v>1250</v>
      </c>
      <c r="X8" s="4">
        <f>Y8</f>
        <v>1250</v>
      </c>
      <c r="Y8" s="4">
        <v>1250</v>
      </c>
      <c r="Z8" s="4">
        <f>AA8</f>
        <v>1000</v>
      </c>
      <c r="AA8" s="4">
        <v>1000</v>
      </c>
      <c r="AB8" s="114">
        <f>AC8</f>
        <v>550</v>
      </c>
      <c r="AC8" s="4">
        <v>550</v>
      </c>
      <c r="AD8" s="4">
        <f>AE8</f>
        <v>550</v>
      </c>
      <c r="AE8" s="4">
        <v>550</v>
      </c>
      <c r="AF8" s="4">
        <f>AG8</f>
        <v>150</v>
      </c>
      <c r="AG8" s="4">
        <v>150</v>
      </c>
      <c r="AH8" s="4">
        <f>AI8</f>
        <v>150</v>
      </c>
      <c r="AI8" s="115">
        <v>150</v>
      </c>
      <c r="AJ8" s="4">
        <f>AK8</f>
        <v>150</v>
      </c>
      <c r="AK8" s="4">
        <v>150</v>
      </c>
      <c r="AL8" s="4">
        <f>AM8</f>
        <v>150</v>
      </c>
      <c r="AM8" s="4">
        <v>150</v>
      </c>
      <c r="AN8" s="4">
        <f>AO8</f>
        <v>150</v>
      </c>
      <c r="AO8" s="4">
        <v>150</v>
      </c>
      <c r="AP8" s="4">
        <f>AQ8</f>
        <v>0</v>
      </c>
      <c r="AQ8" s="4">
        <v>0</v>
      </c>
    </row>
    <row r="9" spans="1:65" x14ac:dyDescent="0.25">
      <c r="A9" s="17" t="s">
        <v>214</v>
      </c>
      <c r="B9" s="3">
        <f t="shared" ref="B9:C9" si="12">B7-B8</f>
        <v>26166</v>
      </c>
      <c r="C9" s="3">
        <f t="shared" si="12"/>
        <v>26166</v>
      </c>
      <c r="D9" s="107">
        <f t="shared" ref="D9:E9" si="13">D7-D8</f>
        <v>25329</v>
      </c>
      <c r="E9" s="3">
        <f t="shared" si="13"/>
        <v>25329</v>
      </c>
      <c r="F9" s="3">
        <f t="shared" ref="F9:K9" si="14">F7-F8</f>
        <v>24501</v>
      </c>
      <c r="G9" s="3">
        <f t="shared" si="14"/>
        <v>24501</v>
      </c>
      <c r="H9" s="3">
        <f t="shared" si="14"/>
        <v>24569</v>
      </c>
      <c r="I9" s="3">
        <f t="shared" si="14"/>
        <v>24569</v>
      </c>
      <c r="J9" s="3">
        <f t="shared" si="14"/>
        <v>23811</v>
      </c>
      <c r="K9" s="3">
        <f t="shared" si="14"/>
        <v>23811</v>
      </c>
      <c r="L9" s="107">
        <f t="shared" ref="L9:M9" si="15">L7-L8</f>
        <v>24543</v>
      </c>
      <c r="M9" s="3">
        <f t="shared" si="15"/>
        <v>24543</v>
      </c>
      <c r="N9" s="3">
        <f t="shared" ref="N9:O9" si="16">N7-N8</f>
        <v>23914</v>
      </c>
      <c r="O9" s="3">
        <f t="shared" si="16"/>
        <v>23914</v>
      </c>
      <c r="P9" s="3">
        <f t="shared" ref="P9:Q9" si="17">P7-P8</f>
        <v>23353</v>
      </c>
      <c r="Q9" s="3">
        <f t="shared" si="17"/>
        <v>23353</v>
      </c>
      <c r="R9" s="3">
        <f t="shared" ref="R9:S9" si="18">R7-R8</f>
        <v>23158</v>
      </c>
      <c r="S9" s="108">
        <f t="shared" si="18"/>
        <v>23158</v>
      </c>
      <c r="T9" s="3">
        <f t="shared" ref="T9:U9" si="19">T7-T8</f>
        <v>22984</v>
      </c>
      <c r="U9" s="3">
        <f t="shared" si="19"/>
        <v>22984</v>
      </c>
      <c r="V9" s="3">
        <f t="shared" ref="V9:W9" si="20">V7-V8</f>
        <v>22395</v>
      </c>
      <c r="W9" s="3">
        <f t="shared" si="20"/>
        <v>22395</v>
      </c>
      <c r="X9" s="3">
        <f t="shared" ref="X9:Y9" si="21">X7-X8</f>
        <v>21844</v>
      </c>
      <c r="Y9" s="3">
        <f t="shared" si="21"/>
        <v>21844</v>
      </c>
      <c r="Z9" s="3">
        <f t="shared" ref="Z9:AA9" si="22">Z7-Z8</f>
        <v>22114</v>
      </c>
      <c r="AA9" s="108">
        <f t="shared" si="22"/>
        <v>22114</v>
      </c>
      <c r="AB9" s="107">
        <f t="shared" ref="AB9:AQ9" si="23">AB7-AB8</f>
        <v>21034.663038989998</v>
      </c>
      <c r="AC9" s="3">
        <f t="shared" si="23"/>
        <v>21034.663038989998</v>
      </c>
      <c r="AD9" s="3">
        <f t="shared" si="23"/>
        <v>20458.049352730101</v>
      </c>
      <c r="AE9" s="3">
        <f t="shared" si="23"/>
        <v>20458.049352730101</v>
      </c>
      <c r="AF9" s="3">
        <f t="shared" si="23"/>
        <v>19757.898292170099</v>
      </c>
      <c r="AG9" s="3">
        <f t="shared" si="23"/>
        <v>19757.898292170099</v>
      </c>
      <c r="AH9" s="3">
        <f t="shared" si="23"/>
        <v>20250.052938220098</v>
      </c>
      <c r="AI9" s="108">
        <f t="shared" si="23"/>
        <v>20250.052938220098</v>
      </c>
      <c r="AJ9" s="3">
        <f t="shared" si="23"/>
        <v>19738.9809127796</v>
      </c>
      <c r="AK9" s="3">
        <f t="shared" si="23"/>
        <v>19738.9809127796</v>
      </c>
      <c r="AL9" s="3">
        <f t="shared" si="23"/>
        <v>19183.9652694096</v>
      </c>
      <c r="AM9" s="3">
        <f t="shared" si="23"/>
        <v>19183.9652694096</v>
      </c>
      <c r="AN9" s="3">
        <f t="shared" si="23"/>
        <v>18583.655773489601</v>
      </c>
      <c r="AO9" s="3">
        <f t="shared" si="23"/>
        <v>18583.655773489601</v>
      </c>
      <c r="AP9" s="3">
        <f t="shared" si="23"/>
        <v>18631.941692049601</v>
      </c>
      <c r="AQ9" s="3">
        <f t="shared" si="23"/>
        <v>18631.941692049601</v>
      </c>
      <c r="AR9" s="17"/>
      <c r="AS9" s="17"/>
      <c r="AT9" s="17"/>
      <c r="AU9" s="17"/>
      <c r="AV9" s="17"/>
      <c r="AW9" s="17"/>
      <c r="AX9" s="17"/>
      <c r="AY9" s="17"/>
      <c r="AZ9" s="17"/>
      <c r="BA9" s="17"/>
      <c r="BB9" s="17"/>
      <c r="BC9" s="17"/>
      <c r="BD9" s="17"/>
      <c r="BE9" s="17"/>
      <c r="BF9" s="17"/>
      <c r="BG9" s="17"/>
      <c r="BH9" s="17"/>
      <c r="BI9" s="17"/>
      <c r="BJ9" s="17"/>
      <c r="BK9" s="17"/>
      <c r="BL9" s="17"/>
      <c r="BM9" s="17"/>
    </row>
    <row r="10" spans="1:65" x14ac:dyDescent="0.25">
      <c r="D10" s="147"/>
      <c r="F10" s="6"/>
      <c r="L10" s="147"/>
      <c r="N10" s="6"/>
      <c r="P10" s="6"/>
      <c r="S10" s="106"/>
      <c r="V10" s="6"/>
      <c r="X10" s="6"/>
      <c r="Y10" s="6"/>
      <c r="AB10" s="116"/>
      <c r="AC10" s="8"/>
      <c r="AD10" s="6"/>
      <c r="AE10" s="6"/>
      <c r="AF10" s="6"/>
      <c r="AG10" s="6"/>
      <c r="AH10" s="6"/>
      <c r="AI10" s="113"/>
      <c r="AJ10" s="3"/>
      <c r="AK10" s="3"/>
      <c r="AL10" s="6"/>
      <c r="AM10" s="6"/>
      <c r="AN10" s="6"/>
      <c r="AO10" s="6"/>
      <c r="AP10" s="6"/>
      <c r="AQ10" s="6"/>
      <c r="AR10" s="17"/>
      <c r="AS10" s="17"/>
      <c r="AT10" s="17"/>
      <c r="AU10" s="17"/>
      <c r="AV10" s="17"/>
      <c r="AW10" s="17"/>
      <c r="AX10" s="17"/>
      <c r="AY10" s="17"/>
      <c r="AZ10" s="17"/>
      <c r="BA10" s="17"/>
      <c r="BB10" s="17"/>
      <c r="BC10" s="17"/>
      <c r="BD10" s="17"/>
      <c r="BE10" s="17"/>
      <c r="BF10" s="17"/>
      <c r="BG10" s="17"/>
      <c r="BH10" s="17"/>
      <c r="BI10" s="17"/>
      <c r="BJ10" s="17"/>
      <c r="BK10" s="17"/>
      <c r="BL10" s="17"/>
      <c r="BM10" s="17"/>
    </row>
    <row r="11" spans="1:65" s="17" customFormat="1" x14ac:dyDescent="0.25">
      <c r="A11" s="17" t="s">
        <v>215</v>
      </c>
      <c r="B11" s="3">
        <f>(B9+D9)/2</f>
        <v>25747.5</v>
      </c>
      <c r="C11" s="3">
        <f>(C9+E9)/2</f>
        <v>25747.5</v>
      </c>
      <c r="D11" s="107">
        <f>(D9+F9+H9+J9+L9)/5</f>
        <v>24550.6</v>
      </c>
      <c r="E11" s="3">
        <f>(E9+G9)/2</f>
        <v>24915</v>
      </c>
      <c r="F11" s="3">
        <f>(F9+H9+J9+L9)/4</f>
        <v>24356</v>
      </c>
      <c r="G11" s="3">
        <f>(I9+G9)/2</f>
        <v>24535</v>
      </c>
      <c r="H11" s="3">
        <f>(H9+J9+L9)/3</f>
        <v>24307.666666666668</v>
      </c>
      <c r="I11" s="3">
        <f>(I9+K9)/2</f>
        <v>24190</v>
      </c>
      <c r="J11" s="3">
        <f>(J9+L9)/2</f>
        <v>24177</v>
      </c>
      <c r="K11" s="3">
        <f>(J9+L9)/2</f>
        <v>24177</v>
      </c>
      <c r="L11" s="107">
        <f>(L9+N9+P9+R9+T9)/5</f>
        <v>23590.400000000001</v>
      </c>
      <c r="M11" s="3">
        <f>(M9+O9)/2</f>
        <v>24228.5</v>
      </c>
      <c r="N11" s="3">
        <f>(N9+P9+R9+T9)/4</f>
        <v>23352.25</v>
      </c>
      <c r="O11" s="3">
        <f>(Q9+O9)/2</f>
        <v>23633.5</v>
      </c>
      <c r="P11" s="3">
        <f>(P9+R9+T9)/3</f>
        <v>23165</v>
      </c>
      <c r="Q11" s="3">
        <f>(Q9+S9)/2</f>
        <v>23255.5</v>
      </c>
      <c r="R11" s="3">
        <f>(R9+T9)/2</f>
        <v>23071</v>
      </c>
      <c r="S11" s="108">
        <f>(S9+T9)/2</f>
        <v>23071</v>
      </c>
      <c r="T11" s="3">
        <f>(T9+V9+X9+Z9+AB9)/5</f>
        <v>22074.332607797998</v>
      </c>
      <c r="U11" s="3">
        <f>(U9+W9)/2</f>
        <v>22689.5</v>
      </c>
      <c r="V11" s="3">
        <f>(V9+X9+Z9+AB9)/4</f>
        <v>21846.915759747499</v>
      </c>
      <c r="W11" s="3">
        <f>(Y9+AA9+W9)/3</f>
        <v>22117.666666666668</v>
      </c>
      <c r="X11" s="3">
        <f>(X9+Z9+AB9)/3</f>
        <v>21664.221012996666</v>
      </c>
      <c r="Y11" s="3">
        <v>21979</v>
      </c>
      <c r="Z11" s="3">
        <f>(Z9+AB9)/2</f>
        <v>21574.331519494997</v>
      </c>
      <c r="AA11" s="108">
        <f>(AA9+AB9)/2</f>
        <v>21574.331519494997</v>
      </c>
      <c r="AB11" s="107">
        <f>(AB9+AD9+AF9+AH9+AJ9)/5</f>
        <v>20247.928906977981</v>
      </c>
      <c r="AC11" s="3">
        <f>(AC9+AD9)/2</f>
        <v>20746.356195860048</v>
      </c>
      <c r="AD11" s="3">
        <f>(AD9+AF9+AH9+AJ9)/4</f>
        <v>20051.245373974973</v>
      </c>
      <c r="AE11" s="3">
        <f>(AE9+AF9)/2</f>
        <v>20107.973822450098</v>
      </c>
      <c r="AF11" s="3">
        <f>(AF9+AH9+AJ9)/3</f>
        <v>19915.644047723268</v>
      </c>
      <c r="AG11" s="3">
        <f>(AG9+AH9)/2</f>
        <v>20003.975615195101</v>
      </c>
      <c r="AH11" s="3">
        <f>(AH9+AJ9)/2</f>
        <v>19994.516925499847</v>
      </c>
      <c r="AI11" s="108">
        <f>(AI9+AJ9)/2</f>
        <v>19994.516925499847</v>
      </c>
      <c r="AJ11" s="3">
        <v>18885.288483171702</v>
      </c>
      <c r="AK11" s="3">
        <v>19461.473091094602</v>
      </c>
      <c r="AL11" s="3">
        <v>18671.865375769725</v>
      </c>
      <c r="AM11" s="3">
        <v>18883.810521449603</v>
      </c>
      <c r="AN11" s="3">
        <v>18501.165411223101</v>
      </c>
      <c r="AO11" s="3">
        <v>18607.798732769603</v>
      </c>
      <c r="AP11" s="3">
        <v>18459.920230089851</v>
      </c>
      <c r="AQ11" s="3">
        <v>18459.920230089851</v>
      </c>
    </row>
    <row r="12" spans="1:65" x14ac:dyDescent="0.25">
      <c r="D12" s="147"/>
      <c r="F12" s="6"/>
      <c r="L12" s="147"/>
      <c r="N12" s="6"/>
      <c r="P12" s="6"/>
      <c r="S12" s="106"/>
      <c r="V12" s="6"/>
      <c r="X12" s="6"/>
      <c r="Y12" s="6"/>
      <c r="AB12" s="116"/>
      <c r="AC12" s="8"/>
      <c r="AD12" s="6"/>
      <c r="AE12" s="6"/>
      <c r="AF12" s="6"/>
      <c r="AG12" s="6"/>
      <c r="AH12" s="6"/>
      <c r="AI12" s="113"/>
      <c r="AJ12" s="3"/>
      <c r="AK12" s="3"/>
      <c r="AL12" s="6"/>
      <c r="AM12" s="6"/>
      <c r="AN12" s="6"/>
      <c r="AO12" s="6"/>
      <c r="AP12" s="6"/>
      <c r="AQ12" s="6"/>
      <c r="AR12" s="17"/>
      <c r="AS12" s="17"/>
      <c r="AT12" s="17"/>
      <c r="AU12" s="17"/>
      <c r="AV12" s="17"/>
      <c r="AW12" s="17"/>
      <c r="AX12" s="17"/>
      <c r="AY12" s="17"/>
      <c r="AZ12" s="17"/>
      <c r="BA12" s="17"/>
      <c r="BB12" s="17"/>
      <c r="BC12" s="17"/>
      <c r="BD12" s="17"/>
      <c r="BE12" s="17"/>
      <c r="BF12" s="17"/>
      <c r="BG12" s="17"/>
      <c r="BH12" s="17"/>
      <c r="BI12" s="17"/>
      <c r="BJ12" s="17"/>
      <c r="BK12" s="17"/>
      <c r="BL12" s="17"/>
      <c r="BM12" s="17"/>
    </row>
    <row r="13" spans="1:65" s="17" customFormat="1" x14ac:dyDescent="0.25">
      <c r="A13" s="17" t="s">
        <v>216</v>
      </c>
      <c r="B13" s="3">
        <f>B5*4</f>
        <v>2936</v>
      </c>
      <c r="C13" s="3">
        <f>C5*4</f>
        <v>2936</v>
      </c>
      <c r="D13" s="107">
        <f>D5</f>
        <v>3089.3910000000001</v>
      </c>
      <c r="E13" s="3">
        <f>E5*4</f>
        <v>3485.1239999999998</v>
      </c>
      <c r="F13" s="3">
        <f>F5/3*4</f>
        <v>2957.48</v>
      </c>
      <c r="G13" s="3">
        <f>G5*4</f>
        <v>2863.4279999999999</v>
      </c>
      <c r="H13" s="3">
        <f>H5/2*4</f>
        <v>3004.5059999999999</v>
      </c>
      <c r="I13" s="3">
        <f>I5*4</f>
        <v>3207.7559999999999</v>
      </c>
      <c r="J13" s="3">
        <f>J5*4</f>
        <v>2801.2559999999999</v>
      </c>
      <c r="K13" s="3">
        <f>K5*4</f>
        <v>2801.2559999999999</v>
      </c>
      <c r="L13" s="107">
        <f>L5</f>
        <v>1502.3920000000001</v>
      </c>
      <c r="M13" s="3">
        <f>M5*4</f>
        <v>2348</v>
      </c>
      <c r="N13" s="3">
        <f>N5/3*4</f>
        <v>1220.5226666666667</v>
      </c>
      <c r="O13" s="3">
        <f>O5*4</f>
        <v>1948</v>
      </c>
      <c r="P13" s="3">
        <f>P5/2*4</f>
        <v>856.78399999999999</v>
      </c>
      <c r="Q13" s="3">
        <f>Q5*4</f>
        <v>927.95600000000002</v>
      </c>
      <c r="R13" s="3">
        <f>R5*4</f>
        <v>785.61200000000008</v>
      </c>
      <c r="S13" s="108">
        <f>S5*4</f>
        <v>785.61200000000008</v>
      </c>
      <c r="T13" s="3">
        <f>T5</f>
        <v>3084</v>
      </c>
      <c r="U13" s="3">
        <f>U5*4</f>
        <v>1880</v>
      </c>
      <c r="V13" s="3">
        <f>V5/3*4</f>
        <v>3485.3333333333335</v>
      </c>
      <c r="W13" s="3">
        <f>W5*4</f>
        <v>2324</v>
      </c>
      <c r="X13" s="3">
        <f>X5/2*4</f>
        <v>4066</v>
      </c>
      <c r="Y13" s="3">
        <f>Y5*4</f>
        <v>3564</v>
      </c>
      <c r="Z13" s="3">
        <f>Z5*4</f>
        <v>4568</v>
      </c>
      <c r="AA13" s="108">
        <f>AA5*4</f>
        <v>4568</v>
      </c>
      <c r="AB13" s="107">
        <f>AB5</f>
        <v>2291.1477119700053</v>
      </c>
      <c r="AC13" s="3">
        <f>AC5*4</f>
        <v>2105.1147674400581</v>
      </c>
      <c r="AD13" s="3">
        <f>AD5/3*4</f>
        <v>2353.1586934799875</v>
      </c>
      <c r="AE13" s="3">
        <f>AE5*4</f>
        <v>2530.8898529599651</v>
      </c>
      <c r="AF13" s="3">
        <f>AF5/2*4</f>
        <v>2264.2931137399987</v>
      </c>
      <c r="AG13" s="3">
        <f>AG5*4</f>
        <v>2462.6903958799985</v>
      </c>
      <c r="AH13" s="3">
        <f>AH5*4</f>
        <v>2065.895831599998</v>
      </c>
      <c r="AI13" s="108">
        <f>AI5*4</f>
        <v>2065.895831599998</v>
      </c>
      <c r="AJ13" s="3">
        <f>AJ5</f>
        <v>2083.4514606600005</v>
      </c>
      <c r="AK13" s="3">
        <f>AK5*4</f>
        <v>2223.8633884399992</v>
      </c>
      <c r="AL13" s="3">
        <f>AL5/3*4</f>
        <v>2036.6474847333345</v>
      </c>
      <c r="AM13" s="3">
        <f>AM5*4</f>
        <v>2442.1057517600025</v>
      </c>
      <c r="AN13" s="3">
        <f>AN5/2*4</f>
        <v>1833.9183512200007</v>
      </c>
      <c r="AO13" s="3">
        <f>AO5*4</f>
        <v>2055.8527562399972</v>
      </c>
      <c r="AP13" s="3">
        <f>AP5*4</f>
        <v>1611.9839462000043</v>
      </c>
      <c r="AQ13" s="3">
        <f>AQ5*4</f>
        <v>1611.9839462000043</v>
      </c>
    </row>
    <row r="14" spans="1:65" x14ac:dyDescent="0.25">
      <c r="A14" s="21" t="s">
        <v>215</v>
      </c>
      <c r="B14" s="4">
        <f t="shared" ref="B14:C14" si="24">B11</f>
        <v>25747.5</v>
      </c>
      <c r="C14" s="4">
        <f t="shared" si="24"/>
        <v>25747.5</v>
      </c>
      <c r="D14" s="114">
        <f t="shared" ref="D14:E14" si="25">D11</f>
        <v>24550.6</v>
      </c>
      <c r="E14" s="4">
        <f t="shared" si="25"/>
        <v>24915</v>
      </c>
      <c r="F14" s="36">
        <f t="shared" ref="F14:K14" si="26">F11</f>
        <v>24356</v>
      </c>
      <c r="G14" s="36">
        <f t="shared" si="26"/>
        <v>24535</v>
      </c>
      <c r="H14" s="36">
        <f t="shared" si="26"/>
        <v>24307.666666666668</v>
      </c>
      <c r="I14" s="36">
        <f t="shared" si="26"/>
        <v>24190</v>
      </c>
      <c r="J14" s="4">
        <f t="shared" si="26"/>
        <v>24177</v>
      </c>
      <c r="K14" s="4">
        <f t="shared" si="26"/>
        <v>24177</v>
      </c>
      <c r="L14" s="114">
        <f t="shared" ref="L14:M14" si="27">L11</f>
        <v>23590.400000000001</v>
      </c>
      <c r="M14" s="4">
        <f t="shared" si="27"/>
        <v>24228.5</v>
      </c>
      <c r="N14" s="36">
        <f t="shared" ref="N14:O14" si="28">N11</f>
        <v>23352.25</v>
      </c>
      <c r="O14" s="36">
        <f t="shared" si="28"/>
        <v>23633.5</v>
      </c>
      <c r="P14" s="36">
        <f t="shared" ref="P14:Q14" si="29">P11</f>
        <v>23165</v>
      </c>
      <c r="Q14" s="36">
        <f t="shared" si="29"/>
        <v>23255.5</v>
      </c>
      <c r="R14" s="4">
        <f t="shared" ref="R14:AI14" si="30">R11</f>
        <v>23071</v>
      </c>
      <c r="S14" s="115">
        <f t="shared" si="30"/>
        <v>23071</v>
      </c>
      <c r="T14" s="4">
        <f t="shared" si="30"/>
        <v>22074.332607797998</v>
      </c>
      <c r="U14" s="4">
        <f t="shared" si="30"/>
        <v>22689.5</v>
      </c>
      <c r="V14" s="36">
        <f t="shared" si="30"/>
        <v>21846.915759747499</v>
      </c>
      <c r="W14" s="36">
        <f t="shared" si="30"/>
        <v>22117.666666666668</v>
      </c>
      <c r="X14" s="36">
        <f t="shared" si="30"/>
        <v>21664.221012996666</v>
      </c>
      <c r="Y14" s="36">
        <f t="shared" si="30"/>
        <v>21979</v>
      </c>
      <c r="Z14" s="4">
        <f t="shared" si="30"/>
        <v>21574.331519494997</v>
      </c>
      <c r="AA14" s="115">
        <f t="shared" si="30"/>
        <v>21574.331519494997</v>
      </c>
      <c r="AB14" s="114">
        <f t="shared" si="30"/>
        <v>20247.928906977981</v>
      </c>
      <c r="AC14" s="4">
        <f t="shared" si="30"/>
        <v>20746.356195860048</v>
      </c>
      <c r="AD14" s="36">
        <f t="shared" si="30"/>
        <v>20051.245373974973</v>
      </c>
      <c r="AE14" s="36">
        <f t="shared" si="30"/>
        <v>20107.973822450098</v>
      </c>
      <c r="AF14" s="36">
        <f t="shared" si="30"/>
        <v>19915.644047723268</v>
      </c>
      <c r="AG14" s="36">
        <f t="shared" si="30"/>
        <v>20003.975615195101</v>
      </c>
      <c r="AH14" s="4">
        <f t="shared" si="30"/>
        <v>19994.516925499847</v>
      </c>
      <c r="AI14" s="115">
        <f t="shared" si="30"/>
        <v>19994.516925499847</v>
      </c>
      <c r="AJ14" s="4">
        <v>18885.288483171702</v>
      </c>
      <c r="AK14" s="4">
        <v>19461.473091094602</v>
      </c>
      <c r="AL14" s="4">
        <v>18671.865375769725</v>
      </c>
      <c r="AM14" s="4">
        <v>18883.810521449603</v>
      </c>
      <c r="AN14" s="4">
        <v>18501.165411223101</v>
      </c>
      <c r="AO14" s="4">
        <v>18607.798732769603</v>
      </c>
      <c r="AP14" s="4">
        <v>18459.920230089851</v>
      </c>
      <c r="AQ14" s="4">
        <v>18459.920230089851</v>
      </c>
      <c r="AR14" s="17"/>
      <c r="AS14" s="17"/>
      <c r="AT14" s="17"/>
      <c r="AU14" s="17"/>
      <c r="AV14" s="17"/>
      <c r="AW14" s="17"/>
      <c r="AX14" s="17"/>
      <c r="AY14" s="17"/>
      <c r="AZ14" s="17"/>
      <c r="BA14" s="17"/>
      <c r="BB14" s="17"/>
      <c r="BC14" s="17"/>
      <c r="BD14" s="17"/>
      <c r="BE14" s="17"/>
      <c r="BF14" s="17"/>
      <c r="BG14" s="17"/>
      <c r="BH14" s="17"/>
      <c r="BI14" s="17"/>
      <c r="BJ14" s="17"/>
      <c r="BK14" s="17"/>
      <c r="BL14" s="17"/>
      <c r="BM14" s="17"/>
    </row>
    <row r="15" spans="1:65" ht="15.75" thickBot="1" x14ac:dyDescent="0.3">
      <c r="A15" s="47" t="s">
        <v>147</v>
      </c>
      <c r="B15" s="44">
        <f t="shared" ref="B15" si="31">B13/B14</f>
        <v>0.11403048839693174</v>
      </c>
      <c r="C15" s="44">
        <f>C13/C14</f>
        <v>0.11403048839693174</v>
      </c>
      <c r="D15" s="117">
        <f t="shared" ref="D15:E15" si="32">D13/D14</f>
        <v>0.12583769846765458</v>
      </c>
      <c r="E15" s="44">
        <f t="shared" si="32"/>
        <v>0.13988055388320289</v>
      </c>
      <c r="F15" s="43">
        <f t="shared" ref="F15:H15" si="33">F13/F14</f>
        <v>0.12142716373788799</v>
      </c>
      <c r="G15" s="43">
        <f t="shared" si="33"/>
        <v>0.11670788669248013</v>
      </c>
      <c r="H15" s="43">
        <f t="shared" si="33"/>
        <v>0.12360322531985792</v>
      </c>
      <c r="I15" s="43">
        <f>I13/I14-0.0002</f>
        <v>0.13240669698222404</v>
      </c>
      <c r="J15" s="44">
        <f t="shared" ref="J15" si="34">J13/J14</f>
        <v>0.11586449931753319</v>
      </c>
      <c r="K15" s="44">
        <f>K13/K14</f>
        <v>0.11586449931753319</v>
      </c>
      <c r="L15" s="117">
        <f t="shared" ref="L15:M15" si="35">L13/L14</f>
        <v>6.3686584373304392E-2</v>
      </c>
      <c r="M15" s="44">
        <f t="shared" si="35"/>
        <v>9.6910663062096294E-2</v>
      </c>
      <c r="N15" s="43">
        <f t="shared" ref="N15:O15" si="36">N13/N14</f>
        <v>5.2265741702262808E-2</v>
      </c>
      <c r="O15" s="43">
        <f t="shared" si="36"/>
        <v>8.2425370766073577E-2</v>
      </c>
      <c r="P15" s="43">
        <f t="shared" ref="P15:Q15" si="37">P13/P14</f>
        <v>3.6986142887977552E-2</v>
      </c>
      <c r="Q15" s="43">
        <f t="shared" si="37"/>
        <v>3.9902646685730257E-2</v>
      </c>
      <c r="R15" s="44">
        <f t="shared" ref="R15:S15" si="38">R13/R14</f>
        <v>3.4051926661176374E-2</v>
      </c>
      <c r="S15" s="118">
        <f t="shared" si="38"/>
        <v>3.4051926661176374E-2</v>
      </c>
      <c r="T15" s="44">
        <f t="shared" ref="T15:U15" si="39">T13/T14</f>
        <v>0.13970977310138669</v>
      </c>
      <c r="U15" s="44">
        <f t="shared" si="39"/>
        <v>8.2857709513210961E-2</v>
      </c>
      <c r="V15" s="43">
        <f t="shared" ref="V15:W15" si="40">V13/V14</f>
        <v>0.15953434213148704</v>
      </c>
      <c r="W15" s="43">
        <f t="shared" si="40"/>
        <v>0.10507437493406477</v>
      </c>
      <c r="X15" s="43">
        <f t="shared" ref="X15:Y15" si="41">X13/X14</f>
        <v>0.1876827233972895</v>
      </c>
      <c r="Y15" s="43">
        <f t="shared" si="41"/>
        <v>0.16215478411210701</v>
      </c>
      <c r="Z15" s="44">
        <f t="shared" ref="Z15:AA15" si="42">Z13/Z14</f>
        <v>0.21173309568698637</v>
      </c>
      <c r="AA15" s="118">
        <f t="shared" si="42"/>
        <v>0.21173309568698637</v>
      </c>
      <c r="AB15" s="117">
        <f t="shared" ref="AB15:AJ15" si="43">AB13/AB14</f>
        <v>0.11315466991690266</v>
      </c>
      <c r="AC15" s="44">
        <f t="shared" si="43"/>
        <v>0.10146913258243082</v>
      </c>
      <c r="AD15" s="43">
        <f t="shared" si="43"/>
        <v>0.11735723390698778</v>
      </c>
      <c r="AE15" s="43">
        <f t="shared" si="43"/>
        <v>0.12586498646294655</v>
      </c>
      <c r="AF15" s="43">
        <f t="shared" si="43"/>
        <v>0.11369419479049435</v>
      </c>
      <c r="AG15" s="43">
        <f t="shared" si="43"/>
        <v>0.12311004788514784</v>
      </c>
      <c r="AH15" s="44">
        <f t="shared" si="43"/>
        <v>0.10332311799767836</v>
      </c>
      <c r="AI15" s="118">
        <f t="shared" si="43"/>
        <v>0.10332311799767836</v>
      </c>
      <c r="AJ15" s="44">
        <f t="shared" si="43"/>
        <v>0.11032139977721399</v>
      </c>
      <c r="AK15" s="44">
        <f t="shared" ref="AK15:AQ15" si="44">AK13/AK14</f>
        <v>0.11427004410357916</v>
      </c>
      <c r="AL15" s="44">
        <f t="shared" si="44"/>
        <v>0.10907573741273165</v>
      </c>
      <c r="AM15" s="44">
        <f t="shared" si="44"/>
        <v>0.12932272059106298</v>
      </c>
      <c r="AN15" s="44">
        <f t="shared" si="44"/>
        <v>9.9124477321170079E-2</v>
      </c>
      <c r="AO15" s="44">
        <f t="shared" si="44"/>
        <v>0.11048339385891466</v>
      </c>
      <c r="AP15" s="44">
        <f t="shared" si="44"/>
        <v>8.7323451353405884E-2</v>
      </c>
      <c r="AQ15" s="44">
        <f t="shared" si="44"/>
        <v>8.7323451353405884E-2</v>
      </c>
      <c r="AR15" s="74"/>
      <c r="AS15" s="17"/>
      <c r="AT15" s="17"/>
      <c r="AU15" s="17"/>
      <c r="AV15" s="17"/>
      <c r="AW15" s="17"/>
      <c r="AX15" s="17"/>
      <c r="AY15" s="17"/>
      <c r="AZ15" s="17"/>
      <c r="BA15" s="17"/>
      <c r="BB15" s="17"/>
      <c r="BC15" s="17"/>
      <c r="BD15" s="17"/>
      <c r="BE15" s="17"/>
      <c r="BF15" s="17"/>
      <c r="BG15" s="17"/>
      <c r="BH15" s="17"/>
      <c r="BI15" s="17"/>
      <c r="BJ15" s="17"/>
      <c r="BK15" s="17"/>
      <c r="BL15" s="17"/>
      <c r="BM15" s="17"/>
    </row>
    <row r="16" spans="1:65" x14ac:dyDescent="0.25">
      <c r="A16" s="46"/>
      <c r="B16" s="189"/>
      <c r="C16" s="189"/>
      <c r="D16" s="200"/>
      <c r="E16" s="46"/>
      <c r="F16" s="191"/>
      <c r="G16" s="46"/>
      <c r="H16" s="189"/>
      <c r="I16" s="189"/>
      <c r="J16" s="189"/>
      <c r="K16" s="189"/>
      <c r="L16" s="200"/>
      <c r="M16" s="46"/>
      <c r="N16" s="191"/>
      <c r="O16" s="46"/>
      <c r="P16" s="191"/>
      <c r="Q16" s="46"/>
      <c r="R16" s="189"/>
      <c r="S16" s="192"/>
      <c r="T16" s="46"/>
      <c r="U16" s="46"/>
      <c r="V16" s="191"/>
      <c r="W16" s="46"/>
      <c r="X16" s="191"/>
      <c r="Y16" s="191"/>
      <c r="Z16" s="189"/>
      <c r="AA16" s="189"/>
      <c r="AB16" s="190"/>
      <c r="AC16" s="189"/>
      <c r="AD16" s="191"/>
      <c r="AE16" s="191"/>
      <c r="AF16" s="191"/>
      <c r="AG16" s="191"/>
      <c r="AH16" s="189"/>
      <c r="AI16" s="192"/>
      <c r="AJ16" s="189"/>
      <c r="AK16" s="189"/>
      <c r="AL16" s="189"/>
      <c r="AM16" s="189"/>
      <c r="AN16" s="189"/>
      <c r="AO16" s="189"/>
      <c r="AP16" s="189"/>
      <c r="AQ16" s="189"/>
      <c r="AR16" s="74"/>
      <c r="AS16" s="17"/>
      <c r="AT16" s="17"/>
      <c r="AU16" s="17"/>
      <c r="AV16" s="17"/>
      <c r="AW16" s="17"/>
      <c r="AX16" s="17"/>
      <c r="AY16" s="17"/>
      <c r="AZ16" s="17"/>
      <c r="BA16" s="17"/>
      <c r="BB16" s="17"/>
      <c r="BC16" s="17"/>
      <c r="BD16" s="17"/>
      <c r="BE16" s="17"/>
      <c r="BF16" s="17"/>
      <c r="BG16" s="17"/>
      <c r="BH16" s="17"/>
      <c r="BI16" s="17"/>
      <c r="BJ16" s="17"/>
      <c r="BK16" s="17"/>
      <c r="BL16" s="17"/>
      <c r="BM16" s="17"/>
    </row>
    <row r="17" spans="1:65" x14ac:dyDescent="0.25">
      <c r="A17" t="s">
        <v>217</v>
      </c>
      <c r="B17" s="76">
        <f>C17</f>
        <v>695</v>
      </c>
      <c r="C17" s="3">
        <v>695</v>
      </c>
      <c r="D17" s="120">
        <f>K17+I17+G17+E17</f>
        <v>2714</v>
      </c>
      <c r="E17">
        <v>755</v>
      </c>
      <c r="F17" s="3">
        <f>G17+I17+K17</f>
        <v>1959</v>
      </c>
      <c r="G17" s="14">
        <v>666</v>
      </c>
      <c r="H17" s="76">
        <f>K17+I17</f>
        <v>1293</v>
      </c>
      <c r="I17" s="76">
        <v>681</v>
      </c>
      <c r="J17" s="76">
        <f>K17</f>
        <v>612</v>
      </c>
      <c r="K17" s="3">
        <v>612</v>
      </c>
      <c r="L17" s="120">
        <f>S17+Q17+O17+M17</f>
        <v>2386</v>
      </c>
      <c r="M17">
        <v>629</v>
      </c>
      <c r="N17" s="3">
        <f>O17+Q17+S17</f>
        <v>1757</v>
      </c>
      <c r="O17" s="14">
        <v>595</v>
      </c>
      <c r="P17" s="3">
        <f>Q17+S17</f>
        <v>1162</v>
      </c>
      <c r="Q17" s="3">
        <v>570</v>
      </c>
      <c r="R17" s="76">
        <f>S17</f>
        <v>592</v>
      </c>
      <c r="S17" s="3">
        <v>592</v>
      </c>
      <c r="T17" s="76">
        <f>AA17+Y17+W17+U17</f>
        <v>2478</v>
      </c>
      <c r="U17">
        <v>678</v>
      </c>
      <c r="V17" s="3">
        <f>W17+Y17+AA17</f>
        <v>1800</v>
      </c>
      <c r="W17">
        <v>615</v>
      </c>
      <c r="X17" s="3">
        <f>Y17+AA17</f>
        <v>1185</v>
      </c>
      <c r="Y17" s="3">
        <v>602</v>
      </c>
      <c r="Z17" s="76">
        <f>AA17</f>
        <v>583</v>
      </c>
      <c r="AA17" s="3">
        <v>583</v>
      </c>
      <c r="AB17" s="120">
        <f>AI17+AG17+AE17+AC17</f>
        <v>2229.4154961199997</v>
      </c>
      <c r="AC17" s="3">
        <v>575.99125096</v>
      </c>
      <c r="AD17" s="3">
        <f>AI17+AG17+AE17</f>
        <v>1653.4242451599998</v>
      </c>
      <c r="AE17" s="3">
        <v>542.60172895999995</v>
      </c>
      <c r="AF17" s="3">
        <f>AG17+AI17</f>
        <v>1110.8225161999999</v>
      </c>
      <c r="AG17" s="3">
        <v>571.92680112999994</v>
      </c>
      <c r="AH17" s="3">
        <f>AI17</f>
        <v>538.89571507000005</v>
      </c>
      <c r="AI17" s="108">
        <v>538.89571507000005</v>
      </c>
      <c r="AJ17" s="3">
        <f>AQ17+AO17+AM17+AK17</f>
        <v>2166.7143709199991</v>
      </c>
      <c r="AK17" s="3">
        <v>569.35506624999903</v>
      </c>
      <c r="AL17" s="3">
        <f>AQ17+AO17+AM17</f>
        <v>1597.3593046700003</v>
      </c>
      <c r="AM17" s="3">
        <v>530.28978420999999</v>
      </c>
      <c r="AN17" s="3">
        <f>AQ17+AO17</f>
        <v>1067.0695204600001</v>
      </c>
      <c r="AO17" s="3">
        <v>547.69052364000004</v>
      </c>
      <c r="AP17" s="3">
        <f>AQ17</f>
        <v>519.37899682</v>
      </c>
      <c r="AQ17" s="3">
        <v>519.37899682</v>
      </c>
      <c r="AR17" s="17"/>
      <c r="AS17" s="17"/>
      <c r="AT17" s="17"/>
      <c r="AU17" s="17"/>
      <c r="AV17" s="17"/>
      <c r="AW17" s="17"/>
      <c r="AX17" s="17"/>
      <c r="AY17" s="17"/>
      <c r="AZ17" s="17"/>
      <c r="BA17" s="17"/>
      <c r="BB17" s="17"/>
      <c r="BC17" s="17"/>
      <c r="BD17" s="17"/>
      <c r="BE17" s="17"/>
      <c r="BF17" s="17"/>
      <c r="BG17" s="17"/>
      <c r="BH17" s="17"/>
      <c r="BI17" s="17"/>
      <c r="BJ17" s="17"/>
      <c r="BK17" s="17"/>
      <c r="BL17" s="17"/>
      <c r="BM17" s="17"/>
    </row>
    <row r="18" spans="1:65" x14ac:dyDescent="0.25">
      <c r="A18" s="38" t="s">
        <v>218</v>
      </c>
      <c r="B18" s="92">
        <f>C18</f>
        <v>1631</v>
      </c>
      <c r="C18" s="4">
        <v>1631</v>
      </c>
      <c r="D18" s="121">
        <f>K18+I18+G18+E18</f>
        <v>6744</v>
      </c>
      <c r="E18" s="4">
        <v>1804</v>
      </c>
      <c r="F18" s="4">
        <f>G18+I18+K18</f>
        <v>4940</v>
      </c>
      <c r="G18" s="4">
        <v>1629</v>
      </c>
      <c r="H18" s="92">
        <f>K18+I18</f>
        <v>3311</v>
      </c>
      <c r="I18" s="92">
        <v>1698</v>
      </c>
      <c r="J18" s="92">
        <f>K18</f>
        <v>1613</v>
      </c>
      <c r="K18" s="4">
        <v>1613</v>
      </c>
      <c r="L18" s="121">
        <f>S18+Q18+O18+M18</f>
        <v>6237</v>
      </c>
      <c r="M18" s="4">
        <v>1604</v>
      </c>
      <c r="N18" s="4">
        <f>O18+Q18+S18</f>
        <v>4633</v>
      </c>
      <c r="O18" s="4">
        <v>1567</v>
      </c>
      <c r="P18" s="4">
        <f>Q18+S18</f>
        <v>3066</v>
      </c>
      <c r="Q18" s="4">
        <v>1667</v>
      </c>
      <c r="R18" s="92">
        <f>S18</f>
        <v>1399</v>
      </c>
      <c r="S18" s="4">
        <v>1399</v>
      </c>
      <c r="T18" s="92">
        <f>AA18+Y18+W18+U18</f>
        <v>6530</v>
      </c>
      <c r="U18" s="4">
        <v>1443</v>
      </c>
      <c r="V18" s="4">
        <f>W18+Y18+AA18</f>
        <v>5087</v>
      </c>
      <c r="W18" s="4">
        <v>1440</v>
      </c>
      <c r="X18" s="4">
        <f>Y18+AA18</f>
        <v>3647</v>
      </c>
      <c r="Y18" s="4">
        <v>1692</v>
      </c>
      <c r="Z18" s="92">
        <f>AA18</f>
        <v>1955</v>
      </c>
      <c r="AA18" s="4">
        <v>1955</v>
      </c>
      <c r="AB18" s="121">
        <f>AI18+AG18+AE18+AC18</f>
        <v>5445.0939397799593</v>
      </c>
      <c r="AC18" s="4">
        <v>1344.04428511997</v>
      </c>
      <c r="AD18" s="4">
        <f>AI18+AG18+AE18</f>
        <v>4101.0496546599898</v>
      </c>
      <c r="AE18" s="4">
        <v>1395.36743137999</v>
      </c>
      <c r="AF18" s="4">
        <f>AG18+AI18</f>
        <v>2705.6822232799996</v>
      </c>
      <c r="AG18" s="4">
        <v>1424.6105378499999</v>
      </c>
      <c r="AH18" s="4">
        <f>AI18</f>
        <v>1281.0716854299999</v>
      </c>
      <c r="AI18" s="115">
        <v>1281.0716854299999</v>
      </c>
      <c r="AJ18" s="4">
        <f>AQ18+AO18+AM18+AK18</f>
        <v>5319.8942357599999</v>
      </c>
      <c r="AK18" s="4">
        <v>1388.9683926</v>
      </c>
      <c r="AL18" s="4">
        <f>AQ18+AO18+AM18</f>
        <v>3930.9258431600001</v>
      </c>
      <c r="AM18" s="4">
        <v>1405.59626551</v>
      </c>
      <c r="AN18" s="4">
        <f>AQ18+AO18</f>
        <v>2525.3295776499999</v>
      </c>
      <c r="AO18" s="4">
        <v>1326.04926705</v>
      </c>
      <c r="AP18" s="4">
        <f>AQ18</f>
        <v>1199.2803105999999</v>
      </c>
      <c r="AQ18" s="4">
        <v>1199.2803105999999</v>
      </c>
      <c r="AR18" s="17"/>
      <c r="AS18" s="17"/>
      <c r="AT18" s="17"/>
      <c r="AU18" s="17"/>
      <c r="AV18" s="17"/>
      <c r="AW18" s="17"/>
      <c r="AX18" s="17"/>
      <c r="AY18" s="17"/>
      <c r="AZ18" s="17"/>
      <c r="BA18" s="17"/>
      <c r="BB18" s="17"/>
      <c r="BC18" s="17"/>
      <c r="BD18" s="17"/>
      <c r="BE18" s="17"/>
      <c r="BF18" s="17"/>
      <c r="BG18" s="17"/>
      <c r="BH18" s="17"/>
      <c r="BI18" s="17"/>
      <c r="BJ18" s="17"/>
      <c r="BK18" s="17"/>
      <c r="BL18" s="17"/>
      <c r="BM18" s="17"/>
    </row>
    <row r="19" spans="1:65" s="23" customFormat="1" ht="15.75" thickBot="1" x14ac:dyDescent="0.3">
      <c r="A19" s="47" t="s">
        <v>219</v>
      </c>
      <c r="B19" s="51">
        <f>B17/B18</f>
        <v>0.42611894543225015</v>
      </c>
      <c r="C19" s="51">
        <f t="shared" ref="C19" si="45">C17/C18</f>
        <v>0.42611894543225015</v>
      </c>
      <c r="D19" s="122">
        <f>D17/D18</f>
        <v>0.40243179122182682</v>
      </c>
      <c r="E19" s="93">
        <f t="shared" ref="E19" si="46">E17/E18</f>
        <v>0.41851441241685144</v>
      </c>
      <c r="F19" s="51">
        <f>F17/F18</f>
        <v>0.39655870445344127</v>
      </c>
      <c r="G19" s="51">
        <f t="shared" ref="G19" si="47">G17/G18</f>
        <v>0.40883977900552487</v>
      </c>
      <c r="H19" s="51">
        <f>H17/H18</f>
        <v>0.39051646028390213</v>
      </c>
      <c r="I19" s="51">
        <f t="shared" ref="I19" si="48">I17/I18</f>
        <v>0.40106007067137811</v>
      </c>
      <c r="J19" s="51">
        <f>J17/J18</f>
        <v>0.37941723496590207</v>
      </c>
      <c r="K19" s="51">
        <f t="shared" ref="K19" si="49">K17/K18</f>
        <v>0.37941723496590207</v>
      </c>
      <c r="L19" s="122">
        <f>L17/L18</f>
        <v>0.38255571588904924</v>
      </c>
      <c r="M19" s="93">
        <f t="shared" ref="M19" si="50">M17/M18</f>
        <v>0.39214463840399</v>
      </c>
      <c r="N19" s="51">
        <f>N17/N18</f>
        <v>0.37923591625296782</v>
      </c>
      <c r="O19" s="51">
        <f t="shared" ref="O19" si="51">O17/O18</f>
        <v>0.37970644543714105</v>
      </c>
      <c r="P19" s="51">
        <f>P17/P18</f>
        <v>0.37899543378995432</v>
      </c>
      <c r="Q19" s="51">
        <f t="shared" ref="Q19" si="52">Q17/Q18</f>
        <v>0.34193161367726455</v>
      </c>
      <c r="R19" s="51">
        <f>R17/R18</f>
        <v>0.42315939957112225</v>
      </c>
      <c r="S19" s="123">
        <f t="shared" ref="S19" si="53">S17/S18</f>
        <v>0.42315939957112225</v>
      </c>
      <c r="T19" s="93">
        <f>T17/T18</f>
        <v>0.37947932618683</v>
      </c>
      <c r="U19" s="93">
        <f t="shared" ref="U19" si="54">U17/U18</f>
        <v>0.46985446985446988</v>
      </c>
      <c r="V19" s="51">
        <f>V17/V18</f>
        <v>0.3538431295459013</v>
      </c>
      <c r="W19" s="51">
        <f t="shared" ref="W19" si="55">W17/W18</f>
        <v>0.42708333333333331</v>
      </c>
      <c r="X19" s="51">
        <f>X17/X18</f>
        <v>0.32492459555799286</v>
      </c>
      <c r="Y19" s="51">
        <f t="shared" ref="Y19" si="56">Y17/Y18</f>
        <v>0.35579196217494091</v>
      </c>
      <c r="Z19" s="51">
        <f>Z17/Z18</f>
        <v>0.29820971867007673</v>
      </c>
      <c r="AA19" s="123">
        <f t="shared" ref="AA19" si="57">AA17/AA18</f>
        <v>0.29820971867007673</v>
      </c>
      <c r="AB19" s="122">
        <f>AB17/AB18</f>
        <v>0.40943563522984733</v>
      </c>
      <c r="AC19" s="93">
        <f t="shared" ref="AC19:AQ19" si="58">AC17/AC18</f>
        <v>0.4285507980182266</v>
      </c>
      <c r="AD19" s="51">
        <f>AD17/AD18</f>
        <v>0.40317098898844766</v>
      </c>
      <c r="AE19" s="51">
        <f t="shared" si="58"/>
        <v>0.38885939055018498</v>
      </c>
      <c r="AF19" s="51">
        <f>AF17/AF18</f>
        <v>0.41055172948336499</v>
      </c>
      <c r="AG19" s="51">
        <f t="shared" si="58"/>
        <v>0.40146186338979561</v>
      </c>
      <c r="AH19" s="51">
        <f>AH17/AH18</f>
        <v>0.42066007796364357</v>
      </c>
      <c r="AI19" s="123">
        <f t="shared" si="58"/>
        <v>0.42066007796364357</v>
      </c>
      <c r="AJ19" s="51">
        <f t="shared" si="58"/>
        <v>0.40728523442354908</v>
      </c>
      <c r="AK19" s="51">
        <f t="shared" si="58"/>
        <v>0.40991218323134576</v>
      </c>
      <c r="AL19" s="51">
        <f t="shared" si="58"/>
        <v>0.40635701827076748</v>
      </c>
      <c r="AM19" s="51">
        <f t="shared" si="58"/>
        <v>0.37727034228964185</v>
      </c>
      <c r="AN19" s="51">
        <f t="shared" si="58"/>
        <v>0.42254663704251416</v>
      </c>
      <c r="AO19" s="51">
        <f t="shared" si="58"/>
        <v>0.41302426482118693</v>
      </c>
      <c r="AP19" s="51">
        <f t="shared" si="58"/>
        <v>0.43307556392729796</v>
      </c>
      <c r="AQ19" s="51">
        <f t="shared" si="58"/>
        <v>0.43307556392729796</v>
      </c>
      <c r="AR19" s="46"/>
      <c r="AS19" s="46"/>
      <c r="AT19" s="46"/>
      <c r="AU19" s="46"/>
      <c r="AV19" s="46"/>
      <c r="AW19" s="46"/>
      <c r="AX19" s="46"/>
      <c r="AY19" s="46"/>
      <c r="AZ19" s="46"/>
      <c r="BA19" s="46"/>
      <c r="BB19" s="46"/>
      <c r="BC19" s="46"/>
      <c r="BD19" s="46"/>
      <c r="BE19" s="46"/>
      <c r="BF19" s="46"/>
      <c r="BG19" s="46"/>
      <c r="BH19" s="46"/>
      <c r="BI19" s="46"/>
      <c r="BJ19" s="46"/>
      <c r="BK19" s="46"/>
      <c r="BL19" s="46"/>
      <c r="BM19" s="46"/>
    </row>
    <row r="20" spans="1:65" x14ac:dyDescent="0.25">
      <c r="B20" s="17"/>
      <c r="C20" s="17"/>
      <c r="D20" s="178"/>
      <c r="F20" s="7"/>
      <c r="H20" s="17"/>
      <c r="I20" s="17"/>
      <c r="J20" s="17"/>
      <c r="K20" s="17"/>
      <c r="L20" s="178"/>
      <c r="N20" s="7"/>
      <c r="P20" s="7"/>
      <c r="R20" s="17"/>
      <c r="S20" s="146"/>
      <c r="V20" s="7"/>
      <c r="X20" s="7"/>
      <c r="Y20" s="7"/>
      <c r="Z20" s="17"/>
      <c r="AA20" s="17"/>
      <c r="AB20" s="105"/>
      <c r="AD20" s="7"/>
      <c r="AE20" s="7"/>
      <c r="AF20" s="7"/>
      <c r="AG20" s="7"/>
      <c r="AH20" s="7"/>
      <c r="AI20" s="119"/>
      <c r="AJ20" s="7"/>
      <c r="AK20" s="7"/>
      <c r="AL20" s="7"/>
      <c r="AM20" s="7"/>
      <c r="AN20" s="7"/>
      <c r="AO20" s="7"/>
      <c r="AP20" s="7"/>
      <c r="AQ20" s="7"/>
      <c r="AR20" s="17"/>
      <c r="AS20" s="17"/>
      <c r="AT20" s="17"/>
      <c r="AU20" s="17"/>
      <c r="AV20" s="17"/>
      <c r="AW20" s="17"/>
      <c r="AX20" s="17"/>
      <c r="AY20" s="17"/>
      <c r="AZ20" s="17"/>
      <c r="BA20" s="17"/>
      <c r="BB20" s="17"/>
      <c r="BC20" s="17"/>
      <c r="BD20" s="17"/>
      <c r="BE20" s="17"/>
      <c r="BF20" s="17"/>
      <c r="BG20" s="17"/>
      <c r="BH20" s="17"/>
      <c r="BI20" s="17"/>
      <c r="BJ20" s="17"/>
      <c r="BK20" s="17"/>
      <c r="BL20" s="17"/>
      <c r="BM20" s="17"/>
    </row>
    <row r="21" spans="1:65" ht="15" customHeight="1" x14ac:dyDescent="0.25">
      <c r="A21" s="52" t="s">
        <v>220</v>
      </c>
      <c r="B21" s="76">
        <f>C21</f>
        <v>1009</v>
      </c>
      <c r="C21" s="3">
        <v>1009</v>
      </c>
      <c r="D21" s="120">
        <f>K21+I21+G21+E21</f>
        <v>3990</v>
      </c>
      <c r="E21" s="3">
        <v>1005</v>
      </c>
      <c r="F21" s="3">
        <f>G21+I21+K21</f>
        <v>2985</v>
      </c>
      <c r="G21" s="3">
        <v>989</v>
      </c>
      <c r="H21" s="76">
        <f>K21+I21</f>
        <v>1996</v>
      </c>
      <c r="I21" s="76">
        <v>1001</v>
      </c>
      <c r="J21" s="76">
        <f>K21</f>
        <v>995</v>
      </c>
      <c r="K21" s="3">
        <v>995</v>
      </c>
      <c r="L21" s="120">
        <f>S21+Q21+O21+M21</f>
        <v>4142</v>
      </c>
      <c r="M21" s="3">
        <v>994</v>
      </c>
      <c r="N21" s="3">
        <f>O21+Q21+S21</f>
        <v>3148</v>
      </c>
      <c r="O21" s="3">
        <v>1041</v>
      </c>
      <c r="P21" s="3">
        <f>Q21+S21</f>
        <v>2107</v>
      </c>
      <c r="Q21" s="76">
        <v>1026</v>
      </c>
      <c r="R21" s="76">
        <f>S21</f>
        <v>1081</v>
      </c>
      <c r="S21" s="3">
        <v>1081</v>
      </c>
      <c r="T21" s="76">
        <f>AA21+Y21+W21+U21</f>
        <v>3987</v>
      </c>
      <c r="U21" s="3">
        <v>1062</v>
      </c>
      <c r="V21" s="3">
        <f>W21+Y21+AA21</f>
        <v>2925</v>
      </c>
      <c r="W21" s="3">
        <v>1019</v>
      </c>
      <c r="X21" s="3">
        <f>Y21+AA21</f>
        <v>1906</v>
      </c>
      <c r="Y21" s="3">
        <v>968</v>
      </c>
      <c r="Z21" s="76">
        <f>AA21</f>
        <v>938</v>
      </c>
      <c r="AA21" s="3">
        <v>938</v>
      </c>
      <c r="AB21" s="120">
        <f>AI21+AG21+AE21+AC21</f>
        <v>3439.1798141099853</v>
      </c>
      <c r="AC21" s="3">
        <v>925.775245509976</v>
      </c>
      <c r="AD21" s="3">
        <f>AI21+AG21+AE21</f>
        <v>2513.404568600009</v>
      </c>
      <c r="AE21" s="3">
        <v>871.06052092000698</v>
      </c>
      <c r="AF21" s="3">
        <f>AG21+AI21</f>
        <v>1642.3440476800019</v>
      </c>
      <c r="AG21" s="3">
        <v>842.01406414000098</v>
      </c>
      <c r="AH21" s="3">
        <f>AI21</f>
        <v>800.32998354000097</v>
      </c>
      <c r="AI21" s="108">
        <v>800.32998354000097</v>
      </c>
      <c r="AJ21" s="3">
        <f>AQ21+AO21+AM21+AK21</f>
        <v>3161.6730513899993</v>
      </c>
      <c r="AK21" s="3">
        <v>818.47981789000005</v>
      </c>
      <c r="AL21" s="3">
        <f>AQ21+AO21+AM21</f>
        <v>2343.1932334999992</v>
      </c>
      <c r="AM21" s="3">
        <v>820.63921234999896</v>
      </c>
      <c r="AN21" s="3">
        <f>AQ21+AO21</f>
        <v>1522.5540211500002</v>
      </c>
      <c r="AO21" s="3">
        <v>783.80171598000004</v>
      </c>
      <c r="AP21" s="3">
        <f>AQ21</f>
        <v>738.75230517</v>
      </c>
      <c r="AQ21" s="3">
        <v>738.75230517</v>
      </c>
      <c r="AR21" s="17"/>
      <c r="AS21" s="17"/>
      <c r="AT21" s="17"/>
      <c r="AU21" s="17"/>
      <c r="AV21" s="17"/>
      <c r="AW21" s="17"/>
      <c r="AX21" s="17"/>
      <c r="AY21" s="17"/>
      <c r="AZ21" s="17"/>
      <c r="BA21" s="17"/>
      <c r="BB21" s="17"/>
      <c r="BC21" s="17"/>
      <c r="BD21" s="17"/>
      <c r="BE21" s="17"/>
      <c r="BF21" s="17"/>
      <c r="BG21" s="17"/>
      <c r="BH21" s="17"/>
      <c r="BI21" s="17"/>
      <c r="BJ21" s="17"/>
      <c r="BK21" s="17"/>
      <c r="BL21" s="17"/>
      <c r="BM21" s="17"/>
    </row>
    <row r="22" spans="1:65" x14ac:dyDescent="0.25">
      <c r="A22" s="52"/>
      <c r="B22" s="17"/>
      <c r="C22" s="17"/>
      <c r="D22" s="116"/>
      <c r="E22" s="52"/>
      <c r="G22" s="52"/>
      <c r="H22" s="17"/>
      <c r="I22" s="17"/>
      <c r="J22" s="17"/>
      <c r="K22" s="17"/>
      <c r="L22" s="116"/>
      <c r="M22" s="52"/>
      <c r="O22" s="52"/>
      <c r="Q22" s="52"/>
      <c r="R22" s="17"/>
      <c r="S22" s="146"/>
      <c r="U22" s="52"/>
      <c r="W22" s="52"/>
      <c r="Z22" s="17"/>
      <c r="AA22" s="17"/>
      <c r="AB22" s="105"/>
      <c r="AI22" s="106"/>
      <c r="AR22" s="17"/>
      <c r="AS22" s="17"/>
      <c r="AT22" s="17"/>
      <c r="AU22" s="17"/>
      <c r="AV22" s="17"/>
      <c r="AW22" s="17"/>
      <c r="AX22" s="17"/>
      <c r="AY22" s="17"/>
      <c r="AZ22" s="17"/>
      <c r="BA22" s="17"/>
      <c r="BB22" s="17"/>
      <c r="BC22" s="17"/>
      <c r="BD22" s="17"/>
      <c r="BE22" s="17"/>
      <c r="BF22" s="17"/>
      <c r="BG22" s="17"/>
      <c r="BH22" s="17"/>
      <c r="BI22" s="17"/>
      <c r="BJ22" s="17"/>
      <c r="BK22" s="17"/>
      <c r="BL22" s="17"/>
      <c r="BM22" s="17"/>
    </row>
    <row r="23" spans="1:65" x14ac:dyDescent="0.25">
      <c r="A23" s="52" t="s">
        <v>221</v>
      </c>
      <c r="B23" s="3">
        <f>C23</f>
        <v>318295</v>
      </c>
      <c r="C23" s="3">
        <v>318295</v>
      </c>
      <c r="D23" s="107">
        <f>E23</f>
        <v>304402</v>
      </c>
      <c r="E23" s="3">
        <v>304402</v>
      </c>
      <c r="F23" s="3">
        <f>G23</f>
        <v>296987</v>
      </c>
      <c r="G23" s="3">
        <v>296987</v>
      </c>
      <c r="H23" s="3">
        <f>I23</f>
        <v>299939</v>
      </c>
      <c r="I23" s="3">
        <v>299939</v>
      </c>
      <c r="J23" s="3">
        <f>K23</f>
        <v>296492</v>
      </c>
      <c r="K23" s="3">
        <v>296492</v>
      </c>
      <c r="L23" s="107">
        <f>M23</f>
        <v>287049</v>
      </c>
      <c r="M23" s="3">
        <v>287049</v>
      </c>
      <c r="N23" s="3">
        <f>O23</f>
        <v>280338</v>
      </c>
      <c r="O23" s="3">
        <v>280338</v>
      </c>
      <c r="P23" s="3">
        <f>Q23</f>
        <v>278715</v>
      </c>
      <c r="Q23" s="3">
        <v>278715</v>
      </c>
      <c r="R23" s="3">
        <f>S23</f>
        <v>278639</v>
      </c>
      <c r="S23" s="3">
        <v>278639</v>
      </c>
      <c r="T23" s="3">
        <f>U23</f>
        <v>255895</v>
      </c>
      <c r="U23" s="3">
        <v>255895</v>
      </c>
      <c r="V23" s="3">
        <f>W23</f>
        <v>251604</v>
      </c>
      <c r="W23" s="3">
        <v>251604</v>
      </c>
      <c r="X23" s="3">
        <f>Y23</f>
        <v>246462</v>
      </c>
      <c r="Y23" s="3">
        <v>246462</v>
      </c>
      <c r="Z23" s="3">
        <f>AA23</f>
        <v>241926</v>
      </c>
      <c r="AA23" s="3">
        <v>241926</v>
      </c>
      <c r="AB23" s="107">
        <f>AC23</f>
        <v>234061</v>
      </c>
      <c r="AC23" s="3">
        <v>234061</v>
      </c>
      <c r="AD23" s="3">
        <v>226023</v>
      </c>
      <c r="AE23" s="3">
        <f>AD23</f>
        <v>226023</v>
      </c>
      <c r="AF23" s="3">
        <v>223954</v>
      </c>
      <c r="AG23" s="3">
        <f>AF23</f>
        <v>223954</v>
      </c>
      <c r="AH23" s="3">
        <v>217370</v>
      </c>
      <c r="AI23" s="108">
        <f>AH23</f>
        <v>217370</v>
      </c>
      <c r="AJ23" s="3">
        <v>216618</v>
      </c>
      <c r="AK23" s="3">
        <f>AJ23</f>
        <v>216618</v>
      </c>
      <c r="AL23" s="3">
        <v>215309</v>
      </c>
      <c r="AM23" s="3">
        <f>AL23</f>
        <v>215309</v>
      </c>
      <c r="AN23" s="3">
        <v>212879</v>
      </c>
      <c r="AO23" s="3">
        <f>AN23</f>
        <v>212879</v>
      </c>
      <c r="AP23" s="3">
        <v>200182</v>
      </c>
      <c r="AQ23" s="3">
        <f>AP23</f>
        <v>200182</v>
      </c>
      <c r="AR23" s="3"/>
      <c r="AS23" s="3"/>
      <c r="AT23" s="3"/>
      <c r="AU23" s="3"/>
      <c r="AV23" s="17"/>
      <c r="AW23" s="17"/>
      <c r="AX23" s="17"/>
      <c r="AY23" s="17"/>
      <c r="AZ23" s="17"/>
      <c r="BA23" s="17"/>
      <c r="BB23" s="17"/>
      <c r="BC23" s="17"/>
      <c r="BD23" s="17"/>
      <c r="BE23" s="17"/>
      <c r="BF23" s="17"/>
      <c r="BG23" s="17"/>
      <c r="BH23" s="17"/>
      <c r="BI23" s="17"/>
      <c r="BJ23" s="17"/>
      <c r="BK23" s="17"/>
      <c r="BL23" s="17"/>
      <c r="BM23" s="17"/>
    </row>
    <row r="24" spans="1:65" x14ac:dyDescent="0.25">
      <c r="A24" s="52" t="s">
        <v>222</v>
      </c>
      <c r="B24" s="3">
        <f>C24</f>
        <v>308512</v>
      </c>
      <c r="C24" s="3">
        <v>308512</v>
      </c>
      <c r="D24" s="107">
        <v>295753</v>
      </c>
      <c r="E24" s="3">
        <v>301021</v>
      </c>
      <c r="F24" s="3">
        <v>293769</v>
      </c>
      <c r="G24" s="3">
        <v>300562</v>
      </c>
      <c r="H24" s="3">
        <v>290768</v>
      </c>
      <c r="I24" s="3">
        <v>295347</v>
      </c>
      <c r="J24" s="3">
        <f>K24</f>
        <v>287629</v>
      </c>
      <c r="K24" s="3">
        <v>287629</v>
      </c>
      <c r="L24" s="107">
        <v>275235</v>
      </c>
      <c r="M24" s="3">
        <v>282912</v>
      </c>
      <c r="N24" s="3">
        <v>272674</v>
      </c>
      <c r="O24" s="3">
        <v>280147</v>
      </c>
      <c r="P24" s="3">
        <v>269266</v>
      </c>
      <c r="Q24" s="3">
        <v>275917</v>
      </c>
      <c r="R24" s="3">
        <f>S24</f>
        <v>264959</v>
      </c>
      <c r="S24" s="3">
        <v>264959</v>
      </c>
      <c r="T24" s="3">
        <v>247923</v>
      </c>
      <c r="U24" s="3">
        <v>256488</v>
      </c>
      <c r="V24" s="3">
        <v>244865</v>
      </c>
      <c r="W24" s="3">
        <v>251291</v>
      </c>
      <c r="X24" s="3">
        <v>241421</v>
      </c>
      <c r="Y24" s="3">
        <v>245009</v>
      </c>
      <c r="Z24" s="3">
        <f>AA24</f>
        <v>237959</v>
      </c>
      <c r="AA24" s="3">
        <v>237959</v>
      </c>
      <c r="AB24" s="107">
        <v>223838</v>
      </c>
      <c r="AC24" s="3">
        <v>231062</v>
      </c>
      <c r="AD24" s="3">
        <v>221168</v>
      </c>
      <c r="AE24" s="3">
        <v>225472</v>
      </c>
      <c r="AF24" s="3">
        <v>219106</v>
      </c>
      <c r="AG24" s="3">
        <v>221838</v>
      </c>
      <c r="AH24" s="3">
        <v>215940</v>
      </c>
      <c r="AI24" s="108">
        <v>215940</v>
      </c>
      <c r="AJ24" s="3">
        <v>207562</v>
      </c>
      <c r="AK24" s="53">
        <v>217202</v>
      </c>
      <c r="AL24" s="3">
        <v>204481</v>
      </c>
      <c r="AM24" s="3">
        <v>211111</v>
      </c>
      <c r="AN24" s="3">
        <v>201892</v>
      </c>
      <c r="AO24" s="3">
        <v>207389</v>
      </c>
      <c r="AP24" s="3">
        <v>195967</v>
      </c>
      <c r="AQ24" s="3">
        <v>195967</v>
      </c>
      <c r="AR24" s="3"/>
      <c r="AS24" s="3"/>
      <c r="AT24" s="3"/>
      <c r="AU24" s="3"/>
      <c r="AV24" s="17"/>
      <c r="AW24" s="17"/>
      <c r="AX24" s="17"/>
      <c r="AY24" s="17"/>
      <c r="AZ24" s="17"/>
      <c r="BA24" s="17"/>
      <c r="BB24" s="17"/>
      <c r="BC24" s="17"/>
      <c r="BD24" s="17"/>
      <c r="BE24" s="17"/>
      <c r="BF24" s="17"/>
      <c r="BG24" s="17"/>
      <c r="BH24" s="17"/>
      <c r="BI24" s="17"/>
      <c r="BJ24" s="17"/>
      <c r="BK24" s="17"/>
      <c r="BL24" s="17"/>
      <c r="BM24" s="17"/>
    </row>
    <row r="25" spans="1:65" x14ac:dyDescent="0.25">
      <c r="A25" s="52"/>
      <c r="B25" s="17"/>
      <c r="C25" s="17"/>
      <c r="D25" s="116"/>
      <c r="E25" s="52"/>
      <c r="G25" s="52"/>
      <c r="H25" s="17"/>
      <c r="I25" s="17"/>
      <c r="J25" s="17"/>
      <c r="K25" s="17"/>
      <c r="L25" s="116"/>
      <c r="M25" s="52"/>
      <c r="O25" s="52"/>
      <c r="Q25" s="3"/>
      <c r="R25" s="17"/>
      <c r="S25" s="146"/>
      <c r="U25" s="52"/>
      <c r="W25" s="52"/>
      <c r="Z25" s="17"/>
      <c r="AA25" s="17"/>
      <c r="AB25" s="105"/>
      <c r="AI25" s="106"/>
      <c r="AR25" s="17"/>
      <c r="AS25" s="17"/>
      <c r="AT25" s="17"/>
      <c r="AU25" s="17"/>
      <c r="AV25" s="17"/>
      <c r="AW25" s="17"/>
      <c r="AX25" s="17"/>
      <c r="AY25" s="17"/>
      <c r="AZ25" s="17"/>
      <c r="BA25" s="17"/>
      <c r="BB25" s="17"/>
      <c r="BC25" s="17"/>
      <c r="BD25" s="17"/>
      <c r="BE25" s="17"/>
      <c r="BF25" s="17"/>
      <c r="BG25" s="17"/>
      <c r="BH25" s="17"/>
      <c r="BI25" s="17"/>
      <c r="BJ25" s="17"/>
      <c r="BK25" s="17"/>
      <c r="BL25" s="17"/>
      <c r="BM25" s="17"/>
    </row>
    <row r="26" spans="1:65" ht="15.75" thickBot="1" x14ac:dyDescent="0.3">
      <c r="A26" s="47" t="s">
        <v>151</v>
      </c>
      <c r="B26" s="57">
        <f>(B21/90*365)/B24</f>
        <v>1.3263845670688839E-2</v>
      </c>
      <c r="C26" s="57">
        <f>(C21/90*365)/C24</f>
        <v>1.3263845670688839E-2</v>
      </c>
      <c r="D26" s="124">
        <f>(D21/365*365)/D24</f>
        <v>1.3490987411792948E-2</v>
      </c>
      <c r="E26" s="57">
        <f>(E21/92*365)/E24</f>
        <v>1.3245681400532073E-2</v>
      </c>
      <c r="F26" s="56">
        <f>(F21/273*365)/F24</f>
        <v>1.3585279814868369E-2</v>
      </c>
      <c r="G26" s="57">
        <f>(G21/92*365)/G24</f>
        <v>1.3054710841689901E-2</v>
      </c>
      <c r="H26" s="56">
        <f>(H21/181*365)/H24</f>
        <v>1.3842936199747486E-2</v>
      </c>
      <c r="I26" s="57">
        <f>(I21/91*365)/I24</f>
        <v>1.3594179050405117E-2</v>
      </c>
      <c r="J26" s="57">
        <f>(J21/90*365)/J24</f>
        <v>1.4029453837331346E-2</v>
      </c>
      <c r="K26" s="57">
        <f>(K21/90*365)/K24</f>
        <v>1.4029453837331346E-2</v>
      </c>
      <c r="L26" s="124">
        <f>(L21/366*366)/L24</f>
        <v>1.5048958163024324E-2</v>
      </c>
      <c r="M26" s="57">
        <f>(M21/92*366)/M24</f>
        <v>1.3977460497779615E-2</v>
      </c>
      <c r="N26" s="56">
        <f>(N21/273*365)/N24</f>
        <v>1.5435518123709885E-2</v>
      </c>
      <c r="O26" s="57">
        <f>(O21/92*365)/O24+0.001%</f>
        <v>1.4752454310865677E-2</v>
      </c>
      <c r="P26" s="56">
        <f>(P21/182*365)/P24</f>
        <v>1.5692946465862466E-2</v>
      </c>
      <c r="Q26" s="57">
        <f>(Q21/91*365)/Q24+0.0036%</f>
        <v>1.4950900949469317E-2</v>
      </c>
      <c r="R26" s="57">
        <f>(R21/91*365)/R24</f>
        <v>1.6364339844576411E-2</v>
      </c>
      <c r="S26" s="125">
        <f>(S21/91*365)/S24</f>
        <v>1.6364339844576411E-2</v>
      </c>
      <c r="T26" s="57">
        <f>(T21/365*365)/T24</f>
        <v>1.6081605982502634E-2</v>
      </c>
      <c r="U26" s="57">
        <f>(U21/92*365)/U24</f>
        <v>1.6427160589257164E-2</v>
      </c>
      <c r="V26" s="56">
        <f>(V21/273*365)/V24</f>
        <v>1.5970899416879854E-2</v>
      </c>
      <c r="W26" s="57">
        <f>(W21/92*365)/W24</f>
        <v>1.6088008480727261E-2</v>
      </c>
      <c r="X26" s="56">
        <f>(X21/181*365)/X24</f>
        <v>1.5920699360126064E-2</v>
      </c>
      <c r="Y26" s="57">
        <f>(Y21/91*365)/Y24</f>
        <v>1.5846917307679974E-2</v>
      </c>
      <c r="Z26" s="57">
        <f>(Z21/90*365)/Z24</f>
        <v>1.5986414092810573E-2</v>
      </c>
      <c r="AA26" s="125">
        <f>(AA21/90*365)/AA24</f>
        <v>1.5986414092810573E-2</v>
      </c>
      <c r="AB26" s="124">
        <f>(AB21/365*365)/AB24</f>
        <v>1.5364593206291985E-2</v>
      </c>
      <c r="AC26" s="57">
        <f>(AC21/92*365)/AC24</f>
        <v>1.5895788397991675E-2</v>
      </c>
      <c r="AD26" s="56">
        <f>(AD21/273*365)/AD24</f>
        <v>1.5193937195290779E-2</v>
      </c>
      <c r="AE26" s="57">
        <f>(AE21/92*365)/AE24</f>
        <v>1.53271268106848E-2</v>
      </c>
      <c r="AF26" s="56">
        <f>(AF21/181*365)/AF24</f>
        <v>1.5115557161469784E-2</v>
      </c>
      <c r="AG26" s="57">
        <f>(AG21/91*365)/AG24</f>
        <v>1.5224213878432643E-2</v>
      </c>
      <c r="AH26" s="57">
        <f>(AH21/90*365)/AH24</f>
        <v>1.5030947073369164E-2</v>
      </c>
      <c r="AI26" s="125">
        <f>(AI21/90*365)/AI24</f>
        <v>1.5030947073369164E-2</v>
      </c>
      <c r="AJ26" s="56">
        <f>(AJ21/365*365)/AJ24</f>
        <v>1.5232427185082045E-2</v>
      </c>
      <c r="AK26" s="56">
        <f>(AK21/92*365)/AK24</f>
        <v>1.4950275376290173E-2</v>
      </c>
      <c r="AL26" s="56">
        <f>(AL21/273*365)/AL24</f>
        <v>1.5320938229293193E-2</v>
      </c>
      <c r="AM26" s="57">
        <f>(AM21/92*365)/AM24</f>
        <v>1.5422203841032609E-2</v>
      </c>
      <c r="AN26" s="56">
        <f>(AN21/181*365)/AN24</f>
        <v>1.5207852437481481E-2</v>
      </c>
      <c r="AO26" s="57">
        <f>(AO21/91*365)/AO24</f>
        <v>1.5159049272575257E-2</v>
      </c>
      <c r="AP26" s="57">
        <f>(AP21/90*365)/AP24</f>
        <v>1.5288548660803435E-2</v>
      </c>
      <c r="AQ26" s="57">
        <f>(AQ21/90*365)/AQ24</f>
        <v>1.5288548660803435E-2</v>
      </c>
      <c r="AR26" s="17"/>
      <c r="AS26" s="17"/>
      <c r="AT26" s="17"/>
      <c r="AU26" s="17"/>
      <c r="AV26" s="17"/>
      <c r="AW26" s="17"/>
      <c r="AX26" s="17"/>
      <c r="AY26" s="17"/>
      <c r="AZ26" s="17"/>
      <c r="BA26" s="17"/>
      <c r="BB26" s="17"/>
      <c r="BC26" s="17"/>
      <c r="BD26" s="17"/>
      <c r="BE26" s="17"/>
      <c r="BF26" s="17"/>
      <c r="BG26" s="17"/>
      <c r="BH26" s="17"/>
      <c r="BI26" s="17"/>
      <c r="BJ26" s="17"/>
      <c r="BK26" s="17"/>
      <c r="BL26" s="17"/>
      <c r="BM26" s="17"/>
    </row>
    <row r="27" spans="1:65" customFormat="1" x14ac:dyDescent="0.25">
      <c r="D27" s="179"/>
      <c r="F27" s="89"/>
      <c r="L27" s="179"/>
      <c r="N27" s="89"/>
      <c r="P27" s="89"/>
      <c r="S27" s="141"/>
      <c r="T27" s="89"/>
      <c r="V27" s="89"/>
      <c r="X27" s="89"/>
      <c r="Y27" s="89"/>
      <c r="AB27" s="126"/>
      <c r="AD27" s="89"/>
      <c r="AE27" s="89"/>
      <c r="AF27" s="89"/>
      <c r="AG27" s="89"/>
      <c r="AH27" s="89"/>
      <c r="AI27" s="127"/>
      <c r="AJ27" s="89"/>
      <c r="AK27" s="89"/>
      <c r="AL27" s="89"/>
      <c r="AM27" s="89"/>
      <c r="AN27" s="89"/>
      <c r="AO27" s="89"/>
      <c r="AP27" s="89"/>
      <c r="AQ27" s="89"/>
    </row>
    <row r="28" spans="1:65" x14ac:dyDescent="0.25">
      <c r="A28" t="s">
        <v>223</v>
      </c>
      <c r="B28" s="3">
        <f>C28</f>
        <v>575</v>
      </c>
      <c r="C28" s="3">
        <v>575</v>
      </c>
      <c r="D28" s="107">
        <f>E28+G28+I28+K28</f>
        <v>2031.6679849100001</v>
      </c>
      <c r="E28" s="3">
        <v>545.57996581000009</v>
      </c>
      <c r="F28" s="3">
        <f>K28+I28+G28</f>
        <v>1486.0880191000001</v>
      </c>
      <c r="G28" s="14">
        <v>486.5437509799998</v>
      </c>
      <c r="H28" s="3">
        <f>K28+I28</f>
        <v>999.5442681200002</v>
      </c>
      <c r="I28" s="3">
        <v>483.48174381000007</v>
      </c>
      <c r="J28" s="3">
        <f>K28</f>
        <v>516.06252431000019</v>
      </c>
      <c r="K28" s="3">
        <v>516.06252431000019</v>
      </c>
      <c r="L28" s="107">
        <f>M28+O28+Q28+S28</f>
        <v>2690.2661728700004</v>
      </c>
      <c r="M28" s="3">
        <v>592.53104798000004</v>
      </c>
      <c r="N28" s="3">
        <f>S28+Q28+O28</f>
        <v>2097.7351248900004</v>
      </c>
      <c r="O28" s="14">
        <v>621.32892963000006</v>
      </c>
      <c r="P28" s="3">
        <f>S28+Q28</f>
        <v>1476.4061952600002</v>
      </c>
      <c r="Q28" s="3">
        <v>677.42180770000004</v>
      </c>
      <c r="R28" s="3">
        <f>S28</f>
        <v>798.98438756000019</v>
      </c>
      <c r="S28" s="3">
        <v>798.98438756000019</v>
      </c>
      <c r="T28" s="3">
        <f>U28+W28+Y28+AA28</f>
        <v>2895.69324228</v>
      </c>
      <c r="U28" s="3">
        <v>784.86741915000016</v>
      </c>
      <c r="V28" s="3">
        <f>AA28+Y28+W28</f>
        <v>2110.8258231299997</v>
      </c>
      <c r="W28" s="3">
        <v>748.80045958999972</v>
      </c>
      <c r="X28" s="3">
        <f>AA28+Y28</f>
        <v>1362.0253635399999</v>
      </c>
      <c r="Y28" s="3">
        <v>699.46656106000012</v>
      </c>
      <c r="Z28" s="3">
        <f>AA28</f>
        <v>662.55880247999983</v>
      </c>
      <c r="AA28" s="3">
        <v>662.55880247999983</v>
      </c>
      <c r="AB28" s="107">
        <f>AC28+AE28+AG28+AI28</f>
        <v>2307.48231059</v>
      </c>
      <c r="AC28" s="3">
        <v>636.91967253999997</v>
      </c>
      <c r="AD28" s="3">
        <v>1670.5626380500003</v>
      </c>
      <c r="AE28" s="3">
        <v>586.83123940000019</v>
      </c>
      <c r="AF28" s="3">
        <v>1083.7313986499998</v>
      </c>
      <c r="AG28" s="3">
        <v>566.59916804</v>
      </c>
      <c r="AH28" s="3">
        <v>517.13223060999985</v>
      </c>
      <c r="AI28" s="108">
        <v>517.13223060999985</v>
      </c>
      <c r="AJ28" s="3">
        <v>2060.63209908</v>
      </c>
      <c r="AK28" s="3">
        <v>516.66935782999997</v>
      </c>
      <c r="AL28" s="3">
        <v>1543.9627412499999</v>
      </c>
      <c r="AM28" s="3">
        <v>511.71918703999995</v>
      </c>
      <c r="AN28" s="3">
        <v>1032.24355421</v>
      </c>
      <c r="AO28" s="3">
        <v>515.26890645000003</v>
      </c>
      <c r="AP28" s="3">
        <v>516.97464776000004</v>
      </c>
      <c r="AQ28" s="3">
        <v>516.97464776000004</v>
      </c>
      <c r="AR28" s="17"/>
      <c r="AS28" s="17"/>
      <c r="AT28" s="17"/>
      <c r="AU28" s="17"/>
      <c r="AV28" s="17"/>
      <c r="AW28" s="17"/>
      <c r="AX28" s="17"/>
      <c r="AY28" s="17"/>
      <c r="AZ28" s="17"/>
      <c r="BA28" s="17"/>
      <c r="BB28" s="17"/>
      <c r="BC28" s="17"/>
      <c r="BD28" s="17"/>
      <c r="BE28" s="17"/>
      <c r="BF28" s="17"/>
      <c r="BG28" s="17"/>
      <c r="BH28" s="17"/>
      <c r="BI28" s="17"/>
      <c r="BJ28" s="17"/>
      <c r="BK28" s="17"/>
      <c r="BL28" s="17"/>
      <c r="BM28" s="17"/>
    </row>
    <row r="29" spans="1:65" x14ac:dyDescent="0.25">
      <c r="A29" s="21" t="s">
        <v>224</v>
      </c>
      <c r="B29" s="4">
        <f>C29</f>
        <v>-134</v>
      </c>
      <c r="C29" s="4">
        <v>-134</v>
      </c>
      <c r="D29" s="114">
        <f>K29+I29+G29+E29</f>
        <v>-209.42268865870432</v>
      </c>
      <c r="E29" s="4">
        <v>-89.280522002242648</v>
      </c>
      <c r="F29" s="4">
        <f>G29+I29+K29</f>
        <v>-120.14216665646167</v>
      </c>
      <c r="G29" s="4">
        <v>-42.403755637136683</v>
      </c>
      <c r="H29" s="4">
        <f>K29+I29</f>
        <v>-77.738411019324985</v>
      </c>
      <c r="I29" s="4">
        <v>-29.682531687304401</v>
      </c>
      <c r="J29" s="4">
        <f>K29</f>
        <v>-48.055879332020581</v>
      </c>
      <c r="K29" s="4">
        <v>-48.055879332020581</v>
      </c>
      <c r="L29" s="114">
        <v>-378.33894764861128</v>
      </c>
      <c r="M29" s="4">
        <v>-51.932985498677311</v>
      </c>
      <c r="N29" s="4">
        <v>-576.2933315699604</v>
      </c>
      <c r="O29" s="4">
        <v>-38.132724154757682</v>
      </c>
      <c r="P29" s="4">
        <f>S29+Q29</f>
        <v>-288.2732379951762</v>
      </c>
      <c r="Q29" s="4">
        <v>-64.564593246931594</v>
      </c>
      <c r="R29" s="4">
        <v>-223.70864474824461</v>
      </c>
      <c r="S29" s="4">
        <v>-223.70864474824461</v>
      </c>
      <c r="T29" s="4">
        <v>-826.90848648404165</v>
      </c>
      <c r="U29" s="4">
        <v>-250.61515491408122</v>
      </c>
      <c r="V29" s="4">
        <v>-576.2933315699604</v>
      </c>
      <c r="W29" s="4">
        <v>-217.94195144315731</v>
      </c>
      <c r="X29" s="4">
        <v>-358.35138012680301</v>
      </c>
      <c r="Y29" s="4">
        <v>-193.24315474615645</v>
      </c>
      <c r="Z29" s="4">
        <v>-165.10822538064647</v>
      </c>
      <c r="AA29" s="4">
        <v>-165.10822538064647</v>
      </c>
      <c r="AB29" s="114">
        <v>-510.19362333641607</v>
      </c>
      <c r="AC29" s="4">
        <v>-151.99439937329316</v>
      </c>
      <c r="AD29" s="4">
        <v>-358.1992239631229</v>
      </c>
      <c r="AE29" s="4">
        <v>-127.66900899610964</v>
      </c>
      <c r="AF29" s="4">
        <v>-230.53021496701331</v>
      </c>
      <c r="AG29" s="4">
        <v>-124.77084356176023</v>
      </c>
      <c r="AH29" s="4">
        <v>-105.75937140525308</v>
      </c>
      <c r="AI29" s="115">
        <v>-105.75937140525308</v>
      </c>
      <c r="AJ29" s="4">
        <v>-408.48391033649932</v>
      </c>
      <c r="AK29" s="4">
        <v>-91.677295687046467</v>
      </c>
      <c r="AL29" s="4">
        <v>-316.80661464945285</v>
      </c>
      <c r="AM29" s="4">
        <v>-95.508093695665934</v>
      </c>
      <c r="AN29" s="4">
        <v>-221.29852095378689</v>
      </c>
      <c r="AO29" s="4">
        <v>-105.03578755809167</v>
      </c>
      <c r="AP29" s="4">
        <v>-116.26273339569521</v>
      </c>
      <c r="AQ29" s="4">
        <v>-116.26273339569521</v>
      </c>
      <c r="AR29" s="17"/>
      <c r="AS29" s="17"/>
      <c r="AT29" s="17"/>
      <c r="AU29" s="17"/>
      <c r="AV29" s="17"/>
      <c r="AW29" s="17"/>
      <c r="AX29" s="17"/>
      <c r="AY29" s="17"/>
      <c r="AZ29" s="17"/>
      <c r="BA29" s="17"/>
      <c r="BB29" s="17"/>
      <c r="BC29" s="17"/>
      <c r="BD29" s="17"/>
      <c r="BE29" s="17"/>
      <c r="BF29" s="17"/>
      <c r="BG29" s="17"/>
      <c r="BH29" s="17"/>
      <c r="BI29" s="17"/>
      <c r="BJ29" s="17"/>
      <c r="BK29" s="17"/>
      <c r="BL29" s="17"/>
      <c r="BM29" s="17"/>
    </row>
    <row r="30" spans="1:65" x14ac:dyDescent="0.25">
      <c r="A30" s="17" t="s">
        <v>225</v>
      </c>
      <c r="B30" s="3">
        <f t="shared" ref="B30:C30" si="59">SUM(B28:B29)</f>
        <v>441</v>
      </c>
      <c r="C30" s="3">
        <f t="shared" si="59"/>
        <v>441</v>
      </c>
      <c r="D30" s="107">
        <f t="shared" ref="D30:E30" si="60">SUM(D28:D29)</f>
        <v>1822.2452962512957</v>
      </c>
      <c r="E30" s="3">
        <f t="shared" si="60"/>
        <v>456.29944380775743</v>
      </c>
      <c r="F30" s="3">
        <f t="shared" ref="F30:K30" si="61">SUM(F28:F29)</f>
        <v>1365.9458524435383</v>
      </c>
      <c r="G30" s="3">
        <f t="shared" si="61"/>
        <v>444.13999534286313</v>
      </c>
      <c r="H30" s="3">
        <f t="shared" si="61"/>
        <v>921.80585710067521</v>
      </c>
      <c r="I30" s="3">
        <f t="shared" si="61"/>
        <v>453.79921212269568</v>
      </c>
      <c r="J30" s="3">
        <f t="shared" si="61"/>
        <v>468.00664497797959</v>
      </c>
      <c r="K30" s="3">
        <f t="shared" si="61"/>
        <v>468.00664497797959</v>
      </c>
      <c r="L30" s="107">
        <f t="shared" ref="L30:M30" si="62">SUM(L28:L29)</f>
        <v>2311.9272252213891</v>
      </c>
      <c r="M30" s="3">
        <f t="shared" si="62"/>
        <v>540.5980624813227</v>
      </c>
      <c r="N30" s="3">
        <f t="shared" ref="N30:O30" si="63">SUM(N28:N29)</f>
        <v>1521.44179332004</v>
      </c>
      <c r="O30" s="3">
        <f t="shared" si="63"/>
        <v>583.19620547524232</v>
      </c>
      <c r="P30" s="3">
        <f t="shared" ref="P30:Q30" si="64">SUM(P28:P29)</f>
        <v>1188.132957264824</v>
      </c>
      <c r="Q30" s="3">
        <f t="shared" si="64"/>
        <v>612.85721445306842</v>
      </c>
      <c r="R30" s="3">
        <f t="shared" ref="R30:S30" si="65">SUM(R28:R29)</f>
        <v>575.27574281175555</v>
      </c>
      <c r="S30" s="108">
        <f t="shared" si="65"/>
        <v>575.27574281175555</v>
      </c>
      <c r="T30" s="3">
        <f t="shared" ref="T30:U30" si="66">SUM(T28:T29)</f>
        <v>2068.7847557959585</v>
      </c>
      <c r="U30" s="3">
        <f t="shared" si="66"/>
        <v>534.25226423591891</v>
      </c>
      <c r="V30" s="3">
        <f t="shared" ref="V30" si="67">SUM(V28:V29)</f>
        <v>1534.5324915600393</v>
      </c>
      <c r="W30" s="3">
        <f t="shared" ref="W30" si="68">SUM(W28:W29)</f>
        <v>530.85850814684238</v>
      </c>
      <c r="X30" s="3">
        <f t="shared" ref="X30:Y30" si="69">SUM(X28:X29)</f>
        <v>1003.673983413197</v>
      </c>
      <c r="Y30" s="3">
        <f t="shared" si="69"/>
        <v>506.22340631384367</v>
      </c>
      <c r="Z30" s="3">
        <f t="shared" ref="Z30:AA30" si="70">SUM(Z28:Z29)</f>
        <v>497.45057709935338</v>
      </c>
      <c r="AA30" s="108">
        <f t="shared" si="70"/>
        <v>497.45057709935338</v>
      </c>
      <c r="AB30" s="107">
        <f>SUM(AB28:AB29)</f>
        <v>1797.2886872535839</v>
      </c>
      <c r="AC30" s="3">
        <f>SUM(AC28:AC29)</f>
        <v>484.9252731667068</v>
      </c>
      <c r="AD30" s="3">
        <f>SUM(AD28:AD29)</f>
        <v>1312.3634140868774</v>
      </c>
      <c r="AE30" s="3">
        <f t="shared" ref="AE30:AQ30" si="71">SUM(AE28:AE29)</f>
        <v>459.16223040389053</v>
      </c>
      <c r="AF30" s="3">
        <f t="shared" si="71"/>
        <v>853.20118368298654</v>
      </c>
      <c r="AG30" s="3">
        <f t="shared" si="71"/>
        <v>441.82832447823978</v>
      </c>
      <c r="AH30" s="3">
        <f t="shared" si="71"/>
        <v>411.37285920474676</v>
      </c>
      <c r="AI30" s="108">
        <f t="shared" si="71"/>
        <v>411.37285920474676</v>
      </c>
      <c r="AJ30" s="3">
        <f t="shared" si="71"/>
        <v>1652.1481887435007</v>
      </c>
      <c r="AK30" s="3">
        <f t="shared" si="71"/>
        <v>424.9920621429535</v>
      </c>
      <c r="AL30" s="3">
        <f t="shared" si="71"/>
        <v>1227.1561266005469</v>
      </c>
      <c r="AM30" s="3">
        <f t="shared" si="71"/>
        <v>416.21109334433402</v>
      </c>
      <c r="AN30" s="3">
        <f t="shared" si="71"/>
        <v>810.94503325621304</v>
      </c>
      <c r="AO30" s="3">
        <f t="shared" si="71"/>
        <v>410.23311889190836</v>
      </c>
      <c r="AP30" s="3">
        <f t="shared" si="71"/>
        <v>400.71191436430485</v>
      </c>
      <c r="AQ30" s="3">
        <f t="shared" si="71"/>
        <v>400.71191436430485</v>
      </c>
      <c r="AR30" s="17"/>
      <c r="AS30" s="17"/>
      <c r="AT30" s="17"/>
      <c r="AU30" s="17"/>
      <c r="AV30" s="17"/>
      <c r="AW30" s="17"/>
      <c r="AX30" s="17"/>
      <c r="AY30" s="17"/>
      <c r="AZ30" s="17"/>
      <c r="BA30" s="17"/>
      <c r="BB30" s="17"/>
      <c r="BC30" s="17"/>
      <c r="BD30" s="17"/>
      <c r="BE30" s="17"/>
      <c r="BF30" s="17"/>
      <c r="BG30" s="17"/>
      <c r="BH30" s="17"/>
      <c r="BI30" s="17"/>
      <c r="BJ30" s="17"/>
      <c r="BK30" s="17"/>
      <c r="BL30" s="17"/>
      <c r="BM30" s="17"/>
    </row>
    <row r="31" spans="1:65" x14ac:dyDescent="0.25">
      <c r="A31" s="17" t="s">
        <v>226</v>
      </c>
      <c r="B31" s="3">
        <f>C31</f>
        <v>68747</v>
      </c>
      <c r="C31" s="3">
        <v>68747</v>
      </c>
      <c r="D31" s="107">
        <v>66364.403078796662</v>
      </c>
      <c r="E31" s="3">
        <v>68132.101721960003</v>
      </c>
      <c r="F31" s="3">
        <v>65775.17019774222</v>
      </c>
      <c r="G31" s="3">
        <v>67167.735902873334</v>
      </c>
      <c r="H31" s="3">
        <v>65078.88734517667</v>
      </c>
      <c r="I31" s="3">
        <v>65627.698813786657</v>
      </c>
      <c r="J31" s="3">
        <f>K31</f>
        <v>64530.075876566676</v>
      </c>
      <c r="K31" s="3">
        <v>64530.075876566676</v>
      </c>
      <c r="L31" s="107">
        <v>77143.642916557495</v>
      </c>
      <c r="M31" s="3">
        <v>76881.333934053342</v>
      </c>
      <c r="N31" s="3">
        <v>74167.992336193318</v>
      </c>
      <c r="O31" s="3">
        <v>77423.598079703326</v>
      </c>
      <c r="P31" s="3">
        <v>77134.81982623665</v>
      </c>
      <c r="Q31" s="3">
        <v>77734.474796863346</v>
      </c>
      <c r="R31" s="3">
        <f>S31</f>
        <v>76535.164855609997</v>
      </c>
      <c r="S31" s="3">
        <v>76535.164855609997</v>
      </c>
      <c r="T31" s="3">
        <v>74667.180185173318</v>
      </c>
      <c r="U31" s="3">
        <v>76164.743732113333</v>
      </c>
      <c r="V31" s="3">
        <v>74167.992336193318</v>
      </c>
      <c r="W31" s="3">
        <v>74607.147716993306</v>
      </c>
      <c r="X31" s="3">
        <v>73948.414645793338</v>
      </c>
      <c r="Y31" s="3">
        <v>75025.381441076679</v>
      </c>
      <c r="Z31" s="3">
        <f>AA31</f>
        <v>72871.447850509998</v>
      </c>
      <c r="AA31" s="3">
        <v>72871.447850509998</v>
      </c>
      <c r="AB31" s="107">
        <v>65936.015153712491</v>
      </c>
      <c r="AC31" s="3">
        <v>70228.91038904</v>
      </c>
      <c r="AD31" s="3">
        <v>64505.050075269988</v>
      </c>
      <c r="AE31" s="3">
        <v>67062.098568970003</v>
      </c>
      <c r="AF31" s="3">
        <v>63226.525828420003</v>
      </c>
      <c r="AG31" s="3">
        <v>64598.227632016664</v>
      </c>
      <c r="AH31" s="3">
        <v>61854.824024823334</v>
      </c>
      <c r="AI31" s="108">
        <v>61854.824024823334</v>
      </c>
      <c r="AJ31" s="3">
        <v>60418.812206778326</v>
      </c>
      <c r="AK31" s="3">
        <v>60745.624709759984</v>
      </c>
      <c r="AL31" s="3">
        <v>60309.874705784445</v>
      </c>
      <c r="AM31" s="3">
        <v>60362.39533283667</v>
      </c>
      <c r="AN31" s="3">
        <v>60283.614392258329</v>
      </c>
      <c r="AO31" s="3">
        <v>60647.954492446661</v>
      </c>
      <c r="AP31" s="3">
        <v>59919.274292069997</v>
      </c>
      <c r="AQ31" s="3">
        <v>59919.274292069997</v>
      </c>
      <c r="AR31" s="17"/>
      <c r="AS31" s="17"/>
      <c r="AT31" s="17"/>
      <c r="AU31" s="17"/>
      <c r="AV31" s="17"/>
      <c r="AW31" s="17"/>
      <c r="AX31" s="17"/>
      <c r="AY31" s="17"/>
      <c r="AZ31" s="17"/>
      <c r="BA31" s="17"/>
      <c r="BB31" s="17"/>
      <c r="BC31" s="17"/>
      <c r="BD31" s="17"/>
      <c r="BE31" s="17"/>
      <c r="BF31" s="17"/>
      <c r="BG31" s="17"/>
      <c r="BH31" s="17"/>
      <c r="BI31" s="17"/>
      <c r="BJ31" s="17"/>
      <c r="BK31" s="17"/>
      <c r="BL31" s="17"/>
      <c r="BM31" s="17"/>
    </row>
    <row r="32" spans="1:65" ht="15.75" thickBot="1" x14ac:dyDescent="0.3">
      <c r="A32" s="47" t="s">
        <v>227</v>
      </c>
      <c r="B32" s="57">
        <f>(B30/90*365)/B31</f>
        <v>2.6015680684248043E-2</v>
      </c>
      <c r="C32" s="57">
        <f>(C30/90*365)/C31</f>
        <v>2.6015680684248043E-2</v>
      </c>
      <c r="D32" s="124">
        <f>(D30/365*365)/D31</f>
        <v>2.7458173534502875E-2</v>
      </c>
      <c r="E32" s="57">
        <f>(E30/92*365)/E31</f>
        <v>2.6570711893335791E-2</v>
      </c>
      <c r="F32" s="57">
        <f>(F30/273*365)/F31</f>
        <v>2.7765258467017051E-2</v>
      </c>
      <c r="G32" s="57">
        <f>(G30/92*365)/G31</f>
        <v>2.6233981713845146E-2</v>
      </c>
      <c r="H32" s="57">
        <f>(H30/181*365)/H31</f>
        <v>2.8563645448631245E-2</v>
      </c>
      <c r="I32" s="57">
        <f>(I30/91*365)/I31</f>
        <v>2.7734991260081037E-2</v>
      </c>
      <c r="J32" s="57">
        <f>(J30/90*365)/J31</f>
        <v>2.9413059310636997E-2</v>
      </c>
      <c r="K32" s="57">
        <f>(K30/90*365)/K31</f>
        <v>2.9413059310636997E-2</v>
      </c>
      <c r="L32" s="124">
        <f>(L30/366*366)/L31</f>
        <v>2.9969121729474038E-2</v>
      </c>
      <c r="M32" s="57">
        <f>(M30/92*366)/M31</f>
        <v>2.7973501604134202E-2</v>
      </c>
      <c r="N32" s="57">
        <f>(N30/273*366)/N31</f>
        <v>2.7501555418113121E-2</v>
      </c>
      <c r="O32" s="57">
        <f>(O30/92*366)/O31</f>
        <v>2.99664017310672E-2</v>
      </c>
      <c r="P32" s="57">
        <f>(P30/182*366)/P31</f>
        <v>3.097592405136769E-2</v>
      </c>
      <c r="Q32" s="57">
        <f>(Q30/91*366)/Q31</f>
        <v>3.1709203073439607E-2</v>
      </c>
      <c r="R32" s="57">
        <f>(R30/91*366)/R31</f>
        <v>3.02311545095779E-2</v>
      </c>
      <c r="S32" s="125">
        <f>(S30/91*366)/S31</f>
        <v>3.02311545095779E-2</v>
      </c>
      <c r="T32" s="57">
        <f>(T30/365*365)/T31</f>
        <v>2.7706748141089674E-2</v>
      </c>
      <c r="U32" s="57">
        <f>(U30/92*365)/U31</f>
        <v>2.7828988631705201E-2</v>
      </c>
      <c r="V32" s="57">
        <f>(V30/273*365)/V31</f>
        <v>2.7662395267728464E-2</v>
      </c>
      <c r="W32" s="57">
        <f>(W30/92*365)/W31</f>
        <v>2.8229512767998895E-2</v>
      </c>
      <c r="X32" s="57">
        <f>(X30/181*365)/X31</f>
        <v>2.7370207419715055E-2</v>
      </c>
      <c r="Y32" s="57">
        <f>(Y30/91*365)/Y31</f>
        <v>2.7063594757261299E-2</v>
      </c>
      <c r="Z32" s="57">
        <f>(Z30/90*365)/Z31</f>
        <v>2.7684895951404932E-2</v>
      </c>
      <c r="AA32" s="125">
        <f>(AA30/90*365)/AA31</f>
        <v>2.7684895951404932E-2</v>
      </c>
      <c r="AB32" s="124">
        <f>(AB30/365*365)/AB31</f>
        <v>2.7258072588458332E-2</v>
      </c>
      <c r="AC32" s="57">
        <f>(AC30/92*365)/AC31</f>
        <v>2.7394534549411587E-2</v>
      </c>
      <c r="AD32" s="57">
        <f>(AD30/273*365)/AD31</f>
        <v>2.7201359822133557E-2</v>
      </c>
      <c r="AE32" s="57">
        <f>(AE30/92*365)/AE31</f>
        <v>2.7164020796573277E-2</v>
      </c>
      <c r="AF32" s="57">
        <f>(AF30/181*365)/AF31</f>
        <v>2.7212373302278468E-2</v>
      </c>
      <c r="AG32" s="57">
        <f>(AG30/91*365)/AG31</f>
        <v>2.7433702427890935E-2</v>
      </c>
      <c r="AH32" s="57">
        <f>(AH30/90*365)/AH31</f>
        <v>2.6971954263147691E-2</v>
      </c>
      <c r="AI32" s="125">
        <f>(AI30/90*365)/AI31</f>
        <v>2.6971954263147691E-2</v>
      </c>
      <c r="AJ32" s="57">
        <f>(AJ30/365*365)/AJ31</f>
        <v>2.734492997130036E-2</v>
      </c>
      <c r="AK32" s="57">
        <f>(AK30/92*365)/AK31</f>
        <v>2.7756893106605878E-2</v>
      </c>
      <c r="AL32" s="57">
        <f>(AL30/273*365)/AL31</f>
        <v>2.7204554050087936E-2</v>
      </c>
      <c r="AM32" s="57">
        <f>(AM30/92*365)/AM31</f>
        <v>2.7355976571213587E-2</v>
      </c>
      <c r="AN32" s="57">
        <f>(AN30/181*365)/AN31</f>
        <v>2.7127290904801999E-2</v>
      </c>
      <c r="AO32" s="57">
        <f>(AO30/91*365)/AO31</f>
        <v>2.7131014484983541E-2</v>
      </c>
      <c r="AP32" s="57">
        <f>(AP30/90*365)/AP31</f>
        <v>2.7121647411082434E-2</v>
      </c>
      <c r="AQ32" s="57">
        <f>(AQ30/90*365)/AQ31</f>
        <v>2.7121647411082434E-2</v>
      </c>
      <c r="AR32" s="17"/>
      <c r="AS32" s="17"/>
      <c r="AT32" s="17"/>
      <c r="AU32" s="17"/>
      <c r="AV32" s="17"/>
      <c r="AW32" s="17"/>
      <c r="AX32" s="17"/>
      <c r="AY32" s="17"/>
      <c r="AZ32" s="17"/>
      <c r="BA32" s="17"/>
      <c r="BB32" s="17"/>
      <c r="BC32" s="17"/>
      <c r="BD32" s="17"/>
      <c r="BE32" s="17"/>
      <c r="BF32" s="17"/>
      <c r="BG32" s="17"/>
      <c r="BH32" s="17"/>
      <c r="BI32" s="17"/>
      <c r="BJ32" s="17"/>
      <c r="BK32" s="17"/>
      <c r="BL32" s="17"/>
      <c r="BM32" s="17"/>
    </row>
    <row r="33" spans="1:65" x14ac:dyDescent="0.25">
      <c r="A33" s="46"/>
      <c r="B33" s="196"/>
      <c r="C33" s="196"/>
      <c r="D33" s="197"/>
      <c r="E33" s="196"/>
      <c r="F33" s="196"/>
      <c r="G33" s="196"/>
      <c r="H33" s="196"/>
      <c r="I33" s="196"/>
      <c r="J33" s="196"/>
      <c r="K33" s="196"/>
      <c r="L33" s="197"/>
      <c r="M33" s="196"/>
      <c r="N33" s="196"/>
      <c r="O33" s="196"/>
      <c r="P33" s="196"/>
      <c r="Q33" s="196"/>
      <c r="R33" s="196"/>
      <c r="S33" s="208"/>
      <c r="T33" s="196"/>
      <c r="U33" s="196"/>
      <c r="V33" s="196"/>
      <c r="W33" s="196"/>
      <c r="X33" s="196"/>
      <c r="Y33" s="196"/>
      <c r="Z33" s="196"/>
      <c r="AA33" s="196"/>
      <c r="AB33" s="197"/>
      <c r="AC33" s="196"/>
      <c r="AD33" s="196"/>
      <c r="AE33" s="196"/>
      <c r="AF33" s="196"/>
      <c r="AG33" s="196"/>
      <c r="AH33" s="196"/>
      <c r="AI33" s="208"/>
      <c r="AJ33" s="196"/>
      <c r="AK33" s="196"/>
      <c r="AL33" s="196"/>
      <c r="AM33" s="196"/>
      <c r="AN33" s="196"/>
      <c r="AO33" s="196"/>
      <c r="AP33" s="196"/>
      <c r="AQ33" s="196"/>
      <c r="AR33" s="17"/>
      <c r="AS33" s="17"/>
      <c r="AT33" s="17"/>
      <c r="AU33" s="17"/>
      <c r="AV33" s="17"/>
      <c r="AW33" s="17"/>
      <c r="AX33" s="17"/>
      <c r="AY33" s="17"/>
      <c r="AZ33" s="17"/>
      <c r="BA33" s="17"/>
      <c r="BB33" s="17"/>
      <c r="BC33" s="17"/>
      <c r="BD33" s="17"/>
      <c r="BE33" s="17"/>
      <c r="BF33" s="17"/>
      <c r="BG33" s="17"/>
      <c r="BH33" s="17"/>
      <c r="BI33" s="17"/>
      <c r="BJ33" s="17"/>
      <c r="BK33" s="17"/>
      <c r="BL33" s="17"/>
      <c r="BM33" s="17"/>
    </row>
    <row r="34" spans="1:65" x14ac:dyDescent="0.25">
      <c r="A34" s="217" t="s">
        <v>282</v>
      </c>
      <c r="B34" s="3">
        <f>C34</f>
        <v>575</v>
      </c>
      <c r="C34" s="3">
        <v>575</v>
      </c>
      <c r="D34" s="107">
        <f>E34+G34+I34+K34</f>
        <v>541.34106891999988</v>
      </c>
      <c r="E34" s="3">
        <v>143.43230831</v>
      </c>
      <c r="F34" s="3">
        <f>K34+I34+G34</f>
        <v>397.90876060999994</v>
      </c>
      <c r="G34" s="14">
        <v>132.97665442000002</v>
      </c>
      <c r="H34" s="3">
        <f>K34+I34</f>
        <v>264.93210618999996</v>
      </c>
      <c r="I34" s="3">
        <v>133.11863704999999</v>
      </c>
      <c r="J34" s="3">
        <f>K34</f>
        <v>131.81346913999997</v>
      </c>
      <c r="K34" s="3">
        <v>131.81346913999997</v>
      </c>
      <c r="L34" s="197"/>
      <c r="M34" s="196"/>
      <c r="N34" s="196"/>
      <c r="O34" s="196"/>
      <c r="P34" s="196"/>
      <c r="Q34" s="196"/>
      <c r="R34" s="196"/>
      <c r="S34" s="208"/>
      <c r="T34" s="196"/>
      <c r="U34" s="196"/>
      <c r="V34" s="196"/>
      <c r="W34" s="196"/>
      <c r="X34" s="196"/>
      <c r="Y34" s="196"/>
      <c r="Z34" s="196"/>
      <c r="AA34" s="196"/>
      <c r="AB34" s="197"/>
      <c r="AC34" s="196"/>
      <c r="AD34" s="196"/>
      <c r="AE34" s="196"/>
      <c r="AF34" s="196"/>
      <c r="AG34" s="196"/>
      <c r="AH34" s="196"/>
      <c r="AI34" s="208"/>
      <c r="AJ34" s="196"/>
      <c r="AK34" s="196"/>
      <c r="AL34" s="196"/>
      <c r="AM34" s="196"/>
      <c r="AN34" s="196"/>
      <c r="AO34" s="196"/>
      <c r="AP34" s="196"/>
      <c r="AQ34" s="196"/>
      <c r="AR34" s="17"/>
      <c r="AS34" s="17"/>
      <c r="AT34" s="17"/>
      <c r="AU34" s="17"/>
      <c r="AV34" s="17"/>
      <c r="AW34" s="17"/>
      <c r="AX34" s="17"/>
      <c r="AY34" s="17"/>
      <c r="AZ34" s="17"/>
      <c r="BA34" s="17"/>
      <c r="BB34" s="17"/>
      <c r="BC34" s="17"/>
      <c r="BD34" s="17"/>
      <c r="BE34" s="17"/>
      <c r="BF34" s="17"/>
      <c r="BG34" s="17"/>
      <c r="BH34" s="17"/>
      <c r="BI34" s="17"/>
      <c r="BJ34" s="17"/>
      <c r="BK34" s="17"/>
      <c r="BL34" s="17"/>
      <c r="BM34" s="17"/>
    </row>
    <row r="35" spans="1:65" x14ac:dyDescent="0.25">
      <c r="A35" s="21" t="s">
        <v>224</v>
      </c>
      <c r="B35" s="4">
        <f>C35</f>
        <v>-134</v>
      </c>
      <c r="C35" s="4">
        <v>-134</v>
      </c>
      <c r="D35" s="114">
        <f>K35+I35+G35+E35</f>
        <v>-92.659918779103293</v>
      </c>
      <c r="E35" s="4">
        <v>-35.171240442173961</v>
      </c>
      <c r="F35" s="4">
        <f>G35+I35+K35</f>
        <v>-57.488678336929325</v>
      </c>
      <c r="G35" s="4">
        <v>-19.855022970997201</v>
      </c>
      <c r="H35" s="4">
        <f>K35+I35</f>
        <v>-37.633655365932128</v>
      </c>
      <c r="I35" s="4">
        <v>-15.66742200397953</v>
      </c>
      <c r="J35" s="4">
        <f>K35</f>
        <v>-21.9662333619526</v>
      </c>
      <c r="K35" s="4">
        <v>-21.9662333619526</v>
      </c>
      <c r="L35" s="197"/>
      <c r="M35" s="196"/>
      <c r="N35" s="196"/>
      <c r="O35" s="196"/>
      <c r="P35" s="196"/>
      <c r="Q35" s="196"/>
      <c r="R35" s="196"/>
      <c r="S35" s="208"/>
      <c r="T35" s="196"/>
      <c r="U35" s="196"/>
      <c r="V35" s="196"/>
      <c r="W35" s="196"/>
      <c r="X35" s="196"/>
      <c r="Y35" s="196"/>
      <c r="Z35" s="196"/>
      <c r="AA35" s="196"/>
      <c r="AB35" s="197"/>
      <c r="AC35" s="196"/>
      <c r="AD35" s="196"/>
      <c r="AE35" s="196"/>
      <c r="AF35" s="196"/>
      <c r="AG35" s="196"/>
      <c r="AH35" s="196"/>
      <c r="AI35" s="208"/>
      <c r="AJ35" s="196"/>
      <c r="AK35" s="196"/>
      <c r="AL35" s="196"/>
      <c r="AM35" s="196"/>
      <c r="AN35" s="196"/>
      <c r="AO35" s="196"/>
      <c r="AP35" s="196"/>
      <c r="AQ35" s="196"/>
      <c r="AR35" s="17"/>
      <c r="AS35" s="17"/>
      <c r="AT35" s="17"/>
      <c r="AU35" s="17"/>
      <c r="AV35" s="17"/>
      <c r="AW35" s="17"/>
      <c r="AX35" s="17"/>
      <c r="AY35" s="17"/>
      <c r="AZ35" s="17"/>
      <c r="BA35" s="17"/>
      <c r="BB35" s="17"/>
      <c r="BC35" s="17"/>
      <c r="BD35" s="17"/>
      <c r="BE35" s="17"/>
      <c r="BF35" s="17"/>
      <c r="BG35" s="17"/>
      <c r="BH35" s="17"/>
      <c r="BI35" s="17"/>
      <c r="BJ35" s="17"/>
      <c r="BK35" s="17"/>
      <c r="BL35" s="17"/>
      <c r="BM35" s="17"/>
    </row>
    <row r="36" spans="1:65" x14ac:dyDescent="0.25">
      <c r="A36" s="218" t="s">
        <v>283</v>
      </c>
      <c r="B36" s="3">
        <f t="shared" ref="B36:C36" si="72">SUM(B34:B35)</f>
        <v>441</v>
      </c>
      <c r="C36" s="3">
        <f t="shared" si="72"/>
        <v>441</v>
      </c>
      <c r="D36" s="107">
        <f t="shared" ref="D36:E36" si="73">SUM(D34:D35)</f>
        <v>448.68115014089659</v>
      </c>
      <c r="E36" s="3">
        <f t="shared" si="73"/>
        <v>108.26106786782603</v>
      </c>
      <c r="F36" s="3">
        <f t="shared" ref="F36:K36" si="74">SUM(F34:F35)</f>
        <v>340.42008227307065</v>
      </c>
      <c r="G36" s="3">
        <f t="shared" si="74"/>
        <v>113.12163144900282</v>
      </c>
      <c r="H36" s="3">
        <f t="shared" si="74"/>
        <v>227.29845082406783</v>
      </c>
      <c r="I36" s="3">
        <f t="shared" si="74"/>
        <v>117.45121504602047</v>
      </c>
      <c r="J36" s="3">
        <f t="shared" si="74"/>
        <v>109.84723577804736</v>
      </c>
      <c r="K36" s="3">
        <f t="shared" si="74"/>
        <v>109.84723577804736</v>
      </c>
      <c r="L36" s="197"/>
      <c r="M36" s="196"/>
      <c r="N36" s="196"/>
      <c r="O36" s="196"/>
      <c r="P36" s="196"/>
      <c r="Q36" s="196"/>
      <c r="R36" s="196"/>
      <c r="S36" s="208"/>
      <c r="T36" s="196"/>
      <c r="U36" s="196"/>
      <c r="V36" s="196"/>
      <c r="W36" s="196"/>
      <c r="X36" s="196"/>
      <c r="Y36" s="196"/>
      <c r="Z36" s="196"/>
      <c r="AA36" s="196"/>
      <c r="AB36" s="197"/>
      <c r="AC36" s="196"/>
      <c r="AD36" s="196"/>
      <c r="AE36" s="196"/>
      <c r="AF36" s="196"/>
      <c r="AG36" s="196"/>
      <c r="AH36" s="196"/>
      <c r="AI36" s="208"/>
      <c r="AJ36" s="196"/>
      <c r="AK36" s="196"/>
      <c r="AL36" s="196"/>
      <c r="AM36" s="196"/>
      <c r="AN36" s="196"/>
      <c r="AO36" s="196"/>
      <c r="AP36" s="196"/>
      <c r="AQ36" s="196"/>
      <c r="AR36" s="17"/>
      <c r="AS36" s="17"/>
      <c r="AT36" s="17"/>
      <c r="AU36" s="17"/>
      <c r="AV36" s="17"/>
      <c r="AW36" s="17"/>
      <c r="AX36" s="17"/>
      <c r="AY36" s="17"/>
      <c r="AZ36" s="17"/>
      <c r="BA36" s="17"/>
      <c r="BB36" s="17"/>
      <c r="BC36" s="17"/>
      <c r="BD36" s="17"/>
      <c r="BE36" s="17"/>
      <c r="BF36" s="17"/>
      <c r="BG36" s="17"/>
      <c r="BH36" s="17"/>
      <c r="BI36" s="17"/>
      <c r="BJ36" s="17"/>
      <c r="BK36" s="17"/>
      <c r="BL36" s="17"/>
      <c r="BM36" s="17"/>
    </row>
    <row r="37" spans="1:65" x14ac:dyDescent="0.25">
      <c r="A37" s="218" t="s">
        <v>284</v>
      </c>
      <c r="B37" s="3">
        <f>C37</f>
        <v>68747</v>
      </c>
      <c r="C37" s="3">
        <v>68747</v>
      </c>
      <c r="D37" s="107">
        <v>15867.937732373332</v>
      </c>
      <c r="E37" s="3">
        <v>16161.485690873335</v>
      </c>
      <c r="F37" s="3">
        <v>15770.088412873343</v>
      </c>
      <c r="G37" s="3">
        <v>15855.541456403345</v>
      </c>
      <c r="H37" s="3">
        <v>15727.361891108343</v>
      </c>
      <c r="I37" s="3">
        <v>15765.47026992334</v>
      </c>
      <c r="J37" s="3">
        <f>K37</f>
        <v>15689.253512293348</v>
      </c>
      <c r="K37" s="3">
        <v>15689.253512293348</v>
      </c>
      <c r="L37" s="197"/>
      <c r="M37" s="196"/>
      <c r="N37" s="196"/>
      <c r="O37" s="196"/>
      <c r="P37" s="196"/>
      <c r="Q37" s="196"/>
      <c r="R37" s="196"/>
      <c r="S37" s="208"/>
      <c r="T37" s="196"/>
      <c r="U37" s="196"/>
      <c r="V37" s="196"/>
      <c r="W37" s="196"/>
      <c r="X37" s="196"/>
      <c r="Y37" s="196"/>
      <c r="Z37" s="196"/>
      <c r="AA37" s="196"/>
      <c r="AB37" s="197"/>
      <c r="AC37" s="196"/>
      <c r="AD37" s="196"/>
      <c r="AE37" s="196"/>
      <c r="AF37" s="196"/>
      <c r="AG37" s="196"/>
      <c r="AH37" s="196"/>
      <c r="AI37" s="208"/>
      <c r="AJ37" s="196"/>
      <c r="AK37" s="196"/>
      <c r="AL37" s="196"/>
      <c r="AM37" s="196"/>
      <c r="AN37" s="196"/>
      <c r="AO37" s="196"/>
      <c r="AP37" s="196"/>
      <c r="AQ37" s="196"/>
      <c r="AR37" s="17"/>
      <c r="AS37" s="17"/>
      <c r="AT37" s="17"/>
      <c r="AU37" s="17"/>
      <c r="AV37" s="17"/>
      <c r="AW37" s="17"/>
      <c r="AX37" s="17"/>
      <c r="AY37" s="17"/>
      <c r="AZ37" s="17"/>
      <c r="BA37" s="17"/>
      <c r="BB37" s="17"/>
      <c r="BC37" s="17"/>
      <c r="BD37" s="17"/>
      <c r="BE37" s="17"/>
      <c r="BF37" s="17"/>
      <c r="BG37" s="17"/>
      <c r="BH37" s="17"/>
      <c r="BI37" s="17"/>
      <c r="BJ37" s="17"/>
      <c r="BK37" s="17"/>
      <c r="BL37" s="17"/>
      <c r="BM37" s="17"/>
    </row>
    <row r="38" spans="1:65" ht="15.75" thickBot="1" x14ac:dyDescent="0.3">
      <c r="A38" s="47" t="s">
        <v>285</v>
      </c>
      <c r="B38" s="57">
        <f>(B36/90*365)/B37</f>
        <v>2.6015680684248043E-2</v>
      </c>
      <c r="C38" s="57">
        <f>(C36/90*365)/C37</f>
        <v>2.6015680684248043E-2</v>
      </c>
      <c r="D38" s="124">
        <f>(D36/365*365)/D37</f>
        <v>2.8275958584429634E-2</v>
      </c>
      <c r="E38" s="57">
        <f>(E36/92*365)/E37</f>
        <v>2.6576394489572001E-2</v>
      </c>
      <c r="F38" s="57">
        <f>(F36/273*365)/F37</f>
        <v>2.8860992476589395E-2</v>
      </c>
      <c r="G38" s="57">
        <f>(G36/92*365)/G37</f>
        <v>2.8305421052849885E-2</v>
      </c>
      <c r="H38" s="57">
        <f>(H36/181*365)/H37</f>
        <v>2.9144384319486256E-2</v>
      </c>
      <c r="I38" s="57">
        <f>(I36/91*365)/I37</f>
        <v>2.9881476721670033E-2</v>
      </c>
      <c r="J38" s="57">
        <f>(J36/90*365)/J37</f>
        <v>2.8394694940266925E-2</v>
      </c>
      <c r="K38" s="57">
        <f>(K36/90*365)/K37</f>
        <v>2.8394694940266925E-2</v>
      </c>
      <c r="L38" s="197"/>
      <c r="M38" s="196"/>
      <c r="N38" s="196"/>
      <c r="O38" s="196"/>
      <c r="P38" s="196"/>
      <c r="Q38" s="196"/>
      <c r="R38" s="196"/>
      <c r="S38" s="208"/>
      <c r="T38" s="196"/>
      <c r="U38" s="196"/>
      <c r="V38" s="196"/>
      <c r="W38" s="196"/>
      <c r="X38" s="196"/>
      <c r="Y38" s="196"/>
      <c r="Z38" s="196"/>
      <c r="AA38" s="196"/>
      <c r="AB38" s="197"/>
      <c r="AC38" s="196"/>
      <c r="AD38" s="196"/>
      <c r="AE38" s="196"/>
      <c r="AF38" s="196"/>
      <c r="AG38" s="196"/>
      <c r="AH38" s="196"/>
      <c r="AI38" s="208"/>
      <c r="AJ38" s="196"/>
      <c r="AK38" s="196"/>
      <c r="AL38" s="196"/>
      <c r="AM38" s="196"/>
      <c r="AN38" s="196"/>
      <c r="AO38" s="196"/>
      <c r="AP38" s="196"/>
      <c r="AQ38" s="196"/>
      <c r="AR38" s="17"/>
      <c r="AS38" s="17"/>
      <c r="AT38" s="17"/>
      <c r="AU38" s="17"/>
      <c r="AV38" s="17"/>
      <c r="AW38" s="17"/>
      <c r="AX38" s="17"/>
      <c r="AY38" s="17"/>
      <c r="AZ38" s="17"/>
      <c r="BA38" s="17"/>
      <c r="BB38" s="17"/>
      <c r="BC38" s="17"/>
      <c r="BD38" s="17"/>
      <c r="BE38" s="17"/>
      <c r="BF38" s="17"/>
      <c r="BG38" s="17"/>
      <c r="BH38" s="17"/>
      <c r="BI38" s="17"/>
      <c r="BJ38" s="17"/>
      <c r="BK38" s="17"/>
      <c r="BL38" s="17"/>
      <c r="BM38" s="17"/>
    </row>
    <row r="39" spans="1:65" x14ac:dyDescent="0.25">
      <c r="A39" s="219"/>
      <c r="B39" s="3"/>
      <c r="C39" s="3"/>
      <c r="D39" s="107"/>
      <c r="F39" s="3"/>
      <c r="H39" s="3"/>
      <c r="I39" s="3"/>
      <c r="J39" s="3"/>
      <c r="K39" s="3"/>
      <c r="L39" s="107"/>
      <c r="N39" s="3"/>
      <c r="P39" s="3"/>
      <c r="R39" s="3"/>
      <c r="S39" s="108"/>
      <c r="T39" s="3"/>
      <c r="V39" s="3"/>
      <c r="X39" s="3"/>
      <c r="Y39" s="7"/>
      <c r="Z39" s="3"/>
      <c r="AA39" s="3"/>
      <c r="AB39" s="107"/>
      <c r="AC39" s="3"/>
      <c r="AD39" s="3"/>
      <c r="AE39" s="3"/>
      <c r="AF39" s="3"/>
      <c r="AG39" s="7"/>
      <c r="AH39" s="7"/>
      <c r="AI39" s="119"/>
      <c r="AJ39" s="7"/>
      <c r="AK39" s="7"/>
      <c r="AL39" s="7"/>
      <c r="AM39" s="7"/>
      <c r="AN39" s="7"/>
      <c r="AO39" s="7"/>
      <c r="AP39" s="7"/>
      <c r="AQ39" s="7"/>
      <c r="AR39" s="17"/>
      <c r="AS39" s="17"/>
      <c r="AT39" s="17"/>
      <c r="AU39" s="17"/>
      <c r="AV39" s="17"/>
      <c r="AW39" s="17"/>
      <c r="AX39" s="17"/>
      <c r="AY39" s="17"/>
      <c r="AZ39" s="17"/>
      <c r="BA39" s="17"/>
      <c r="BB39" s="17"/>
      <c r="BC39" s="17"/>
      <c r="BD39" s="17"/>
      <c r="BE39" s="17"/>
      <c r="BF39" s="17"/>
      <c r="BG39" s="17"/>
      <c r="BH39" s="17"/>
      <c r="BI39" s="17"/>
      <c r="BJ39" s="17"/>
      <c r="BK39" s="17"/>
      <c r="BL39" s="17"/>
      <c r="BM39" s="17"/>
    </row>
    <row r="40" spans="1:65" x14ac:dyDescent="0.25">
      <c r="A40" t="s">
        <v>228</v>
      </c>
      <c r="B40" s="3">
        <f>C40</f>
        <v>154</v>
      </c>
      <c r="C40" s="3">
        <v>154</v>
      </c>
      <c r="D40" s="107">
        <f>E40+G40+I40+K40</f>
        <v>2772.3701573500007</v>
      </c>
      <c r="E40" s="3">
        <v>722.04480222000007</v>
      </c>
      <c r="F40" s="3">
        <f>K40+I40+G40</f>
        <v>2050.3253551300004</v>
      </c>
      <c r="G40" s="3">
        <v>686.31828846000019</v>
      </c>
      <c r="H40" s="3">
        <f>K40+I40</f>
        <v>1364.0070666700003</v>
      </c>
      <c r="I40" s="3">
        <v>682.77233806000038</v>
      </c>
      <c r="J40" s="3">
        <f>K40</f>
        <v>681.23472860999993</v>
      </c>
      <c r="K40" s="3">
        <v>681.23472860999993</v>
      </c>
      <c r="L40" s="107">
        <f>M40+O40+Q40+S40</f>
        <v>3349.0051263599998</v>
      </c>
      <c r="M40" s="3">
        <v>735.99292660000003</v>
      </c>
      <c r="N40" s="3">
        <f>S40+Q40+O40</f>
        <v>2613.0121997599999</v>
      </c>
      <c r="O40" s="3">
        <v>743.90592254999979</v>
      </c>
      <c r="P40" s="3">
        <f>S40+Q40</f>
        <v>1869.1062772099999</v>
      </c>
      <c r="Q40" s="3">
        <v>820.23770784999977</v>
      </c>
      <c r="R40" s="3">
        <f>S40</f>
        <v>1048.86856936</v>
      </c>
      <c r="S40" s="3">
        <v>1048.86856936</v>
      </c>
      <c r="T40" s="3">
        <f>U40+W40+Y40+AA40</f>
        <v>3775.9329462600012</v>
      </c>
      <c r="U40" s="3">
        <v>1041.1584191100005</v>
      </c>
      <c r="V40" s="3">
        <f>AA40+Y40+W40</f>
        <v>2734.7745271500007</v>
      </c>
      <c r="W40" s="3">
        <v>974.69890469000029</v>
      </c>
      <c r="X40" s="3">
        <f>AA40+Y40</f>
        <v>1760.0756224600004</v>
      </c>
      <c r="Y40" s="3">
        <v>902.22302087000025</v>
      </c>
      <c r="Z40" s="3">
        <f>AA40</f>
        <v>857.85260159000018</v>
      </c>
      <c r="AA40" s="3">
        <v>857.85260159000018</v>
      </c>
      <c r="AB40" s="107">
        <f>AC40+AE40+AG40+AI40</f>
        <v>3303.4641974599999</v>
      </c>
      <c r="AC40" s="3">
        <v>861.78971506000016</v>
      </c>
      <c r="AD40" s="3">
        <v>2441.6744823999998</v>
      </c>
      <c r="AE40" s="3">
        <v>823.73728285999994</v>
      </c>
      <c r="AF40" s="3">
        <v>1617.9371995399997</v>
      </c>
      <c r="AG40" s="3">
        <v>812.55180609999991</v>
      </c>
      <c r="AH40" s="3">
        <v>805.3853934399998</v>
      </c>
      <c r="AI40" s="108">
        <v>805.3853934399998</v>
      </c>
      <c r="AJ40" s="3">
        <v>3273.6698987700001</v>
      </c>
      <c r="AK40" s="3">
        <v>826.04385836999995</v>
      </c>
      <c r="AL40" s="3">
        <v>2448.6260404</v>
      </c>
      <c r="AM40" s="3">
        <v>825.60469555999998</v>
      </c>
      <c r="AN40" s="3">
        <v>1623.0213448400002</v>
      </c>
      <c r="AO40" s="3">
        <v>815.13579585000025</v>
      </c>
      <c r="AP40" s="3">
        <v>807.88554898999996</v>
      </c>
      <c r="AQ40" s="3">
        <v>807.88554898999996</v>
      </c>
    </row>
    <row r="41" spans="1:65" x14ac:dyDescent="0.25">
      <c r="A41" s="21" t="s">
        <v>224</v>
      </c>
      <c r="B41" s="4">
        <f>C41</f>
        <v>-49</v>
      </c>
      <c r="C41" s="4">
        <v>-49</v>
      </c>
      <c r="D41" s="114">
        <f>K41+I41+G41+E41</f>
        <v>-791.82214994517562</v>
      </c>
      <c r="E41" s="4">
        <v>-302.71973660942496</v>
      </c>
      <c r="F41" s="4">
        <f>G41+I41+K41</f>
        <v>-489.10241333575067</v>
      </c>
      <c r="G41" s="4">
        <v>-168.84962632093524</v>
      </c>
      <c r="H41" s="4">
        <f>K41+I41</f>
        <v>-320.25278701481545</v>
      </c>
      <c r="I41" s="4">
        <v>-131.50967479618299</v>
      </c>
      <c r="J41" s="4">
        <f>K41</f>
        <v>-188.74311221863246</v>
      </c>
      <c r="K41" s="4">
        <v>-188.74311221863246</v>
      </c>
      <c r="L41" s="114">
        <v>-1082.188450718982</v>
      </c>
      <c r="M41" s="4">
        <v>-178.76213463154346</v>
      </c>
      <c r="N41" s="4">
        <v>-1442.9337208540869</v>
      </c>
      <c r="O41" s="4">
        <v>-143.98386410292127</v>
      </c>
      <c r="P41" s="4">
        <f>S41+Q41</f>
        <v>-759.44245198451722</v>
      </c>
      <c r="Q41" s="4">
        <v>-201.06330929010187</v>
      </c>
      <c r="R41" s="4">
        <v>-558.37914269441535</v>
      </c>
      <c r="S41" s="4">
        <v>-558.37914269441535</v>
      </c>
      <c r="T41" s="4">
        <v>-2057.8885575590707</v>
      </c>
      <c r="U41" s="4">
        <v>-614.95483670498379</v>
      </c>
      <c r="V41" s="4">
        <v>-1442.9337208540869</v>
      </c>
      <c r="W41" s="4">
        <v>-541.12758432755709</v>
      </c>
      <c r="X41" s="4">
        <v>-901.8061365265296</v>
      </c>
      <c r="Y41" s="4">
        <v>-480.10473307272196</v>
      </c>
      <c r="Z41" s="4">
        <v>-421.70140345380753</v>
      </c>
      <c r="AA41" s="4">
        <v>-421.70140345380753</v>
      </c>
      <c r="AB41" s="114">
        <v>-1409.443553515865</v>
      </c>
      <c r="AC41" s="4">
        <v>-398.2699178823899</v>
      </c>
      <c r="AD41" s="4">
        <v>-1011.1736356334749</v>
      </c>
      <c r="AE41" s="4">
        <v>-351.70266365117175</v>
      </c>
      <c r="AF41" s="4">
        <v>-659.47097198230313</v>
      </c>
      <c r="AG41" s="4">
        <v>-349.75715902035017</v>
      </c>
      <c r="AH41" s="4">
        <v>-309.71381296195307</v>
      </c>
      <c r="AI41" s="115">
        <v>-309.71381296195307</v>
      </c>
      <c r="AJ41" s="4">
        <v>-1219.2230688360037</v>
      </c>
      <c r="AK41" s="4">
        <v>-277.87198604378165</v>
      </c>
      <c r="AL41" s="4">
        <v>-941.35108279222197</v>
      </c>
      <c r="AM41" s="4">
        <v>-286.37634208786773</v>
      </c>
      <c r="AN41" s="4">
        <v>-654.9747407043543</v>
      </c>
      <c r="AO41" s="4">
        <v>-312.04279923106208</v>
      </c>
      <c r="AP41" s="4">
        <v>-342.93194147329223</v>
      </c>
      <c r="AQ41" s="4">
        <v>-342.93194147329223</v>
      </c>
    </row>
    <row r="42" spans="1:65" x14ac:dyDescent="0.25">
      <c r="A42" s="17" t="s">
        <v>229</v>
      </c>
      <c r="B42" s="3">
        <f t="shared" ref="B42:C42" si="75">SUM(B40:B41)</f>
        <v>105</v>
      </c>
      <c r="C42" s="3">
        <f t="shared" si="75"/>
        <v>105</v>
      </c>
      <c r="D42" s="107">
        <f t="shared" ref="D42:E42" si="76">SUM(D40:D41)</f>
        <v>1980.5480074048251</v>
      </c>
      <c r="E42" s="3">
        <f t="shared" si="76"/>
        <v>419.32506561057511</v>
      </c>
      <c r="F42" s="3">
        <f t="shared" ref="F42:K42" si="77">SUM(F40:F41)</f>
        <v>1561.2229417942497</v>
      </c>
      <c r="G42" s="3">
        <f t="shared" si="77"/>
        <v>517.46866213906492</v>
      </c>
      <c r="H42" s="3">
        <f t="shared" si="77"/>
        <v>1043.7542796551847</v>
      </c>
      <c r="I42" s="3">
        <f t="shared" si="77"/>
        <v>551.26266326381733</v>
      </c>
      <c r="J42" s="3">
        <f t="shared" si="77"/>
        <v>492.49161639136747</v>
      </c>
      <c r="K42" s="3">
        <f t="shared" si="77"/>
        <v>492.49161639136747</v>
      </c>
      <c r="L42" s="107">
        <f t="shared" ref="L42:M42" si="78">SUM(L40:L41)</f>
        <v>2266.8166756410178</v>
      </c>
      <c r="M42" s="3">
        <f t="shared" si="78"/>
        <v>557.23079196845651</v>
      </c>
      <c r="N42" s="3">
        <f t="shared" ref="N42:O42" si="79">SUM(N40:N41)</f>
        <v>1170.078478905913</v>
      </c>
      <c r="O42" s="3">
        <f t="shared" si="79"/>
        <v>599.92205844707848</v>
      </c>
      <c r="P42" s="3">
        <f t="shared" ref="P42:Q42" si="80">SUM(P40:P41)</f>
        <v>1109.6638252254827</v>
      </c>
      <c r="Q42" s="3">
        <f t="shared" si="80"/>
        <v>619.1743985598979</v>
      </c>
      <c r="R42" s="3">
        <f t="shared" ref="R42:S42" si="81">SUM(R40:R41)</f>
        <v>490.48942666558469</v>
      </c>
      <c r="S42" s="108">
        <f t="shared" si="81"/>
        <v>490.48942666558469</v>
      </c>
      <c r="T42" s="3">
        <f t="shared" ref="T42:U42" si="82">SUM(T40:T41)</f>
        <v>1718.0443887009305</v>
      </c>
      <c r="U42" s="3">
        <f t="shared" si="82"/>
        <v>426.20358240501673</v>
      </c>
      <c r="V42" s="3">
        <f t="shared" ref="V42:W42" si="83">SUM(V40:V41)</f>
        <v>1291.8408062959138</v>
      </c>
      <c r="W42" s="3">
        <f t="shared" si="83"/>
        <v>433.5713203624432</v>
      </c>
      <c r="X42" s="3">
        <f t="shared" ref="X42:Y42" si="84">SUM(X40:X41)</f>
        <v>858.26948593347083</v>
      </c>
      <c r="Y42" s="3">
        <f t="shared" si="84"/>
        <v>422.1182877972783</v>
      </c>
      <c r="Z42" s="3">
        <f t="shared" ref="Z42:AA42" si="85">SUM(Z40:Z41)</f>
        <v>436.15119813619265</v>
      </c>
      <c r="AA42" s="108">
        <f t="shared" si="85"/>
        <v>436.15119813619265</v>
      </c>
      <c r="AB42" s="107">
        <f>SUM(AB40:AB41)</f>
        <v>1894.0206439441349</v>
      </c>
      <c r="AC42" s="3">
        <f>SUM(AC40:AC41)</f>
        <v>463.51979717761026</v>
      </c>
      <c r="AD42" s="3">
        <f>SUM(AD40:AD41)</f>
        <v>1430.5008467665248</v>
      </c>
      <c r="AE42" s="3">
        <f t="shared" ref="AE42:AQ42" si="86">SUM(AE40:AE41)</f>
        <v>472.03461920882819</v>
      </c>
      <c r="AF42" s="3">
        <f t="shared" si="86"/>
        <v>958.46622755769658</v>
      </c>
      <c r="AG42" s="3">
        <f t="shared" si="86"/>
        <v>462.79464707964974</v>
      </c>
      <c r="AH42" s="3">
        <f t="shared" si="86"/>
        <v>495.67158047804674</v>
      </c>
      <c r="AI42" s="108">
        <f t="shared" si="86"/>
        <v>495.67158047804674</v>
      </c>
      <c r="AJ42" s="3">
        <f t="shared" si="86"/>
        <v>2054.4468299339965</v>
      </c>
      <c r="AK42" s="3">
        <f t="shared" si="86"/>
        <v>548.17187232621836</v>
      </c>
      <c r="AL42" s="3">
        <f t="shared" si="86"/>
        <v>1507.2749576077781</v>
      </c>
      <c r="AM42" s="3">
        <f t="shared" si="86"/>
        <v>539.22835347213231</v>
      </c>
      <c r="AN42" s="3">
        <f t="shared" si="86"/>
        <v>968.04660413564591</v>
      </c>
      <c r="AO42" s="3">
        <f t="shared" si="86"/>
        <v>503.09299661893817</v>
      </c>
      <c r="AP42" s="3">
        <f t="shared" si="86"/>
        <v>464.95360751670773</v>
      </c>
      <c r="AQ42" s="3">
        <f t="shared" si="86"/>
        <v>464.95360751670773</v>
      </c>
    </row>
    <row r="43" spans="1:65" x14ac:dyDescent="0.25">
      <c r="A43" s="17" t="s">
        <v>230</v>
      </c>
      <c r="B43" s="3">
        <f>C43</f>
        <v>16338</v>
      </c>
      <c r="C43" s="3">
        <v>16338</v>
      </c>
      <c r="D43" s="107">
        <v>138447.21086330165</v>
      </c>
      <c r="E43" s="3">
        <v>140800.86621862996</v>
      </c>
      <c r="F43" s="3">
        <v>137662.65907819223</v>
      </c>
      <c r="G43" s="3">
        <v>139374.90365135999</v>
      </c>
      <c r="H43" s="3">
        <v>136806.53679160835</v>
      </c>
      <c r="I43" s="3">
        <v>137559.14146992666</v>
      </c>
      <c r="J43" s="3">
        <f>K43</f>
        <v>136053.93211329001</v>
      </c>
      <c r="K43" s="3">
        <v>136053.93211329001</v>
      </c>
      <c r="L43" s="107">
        <v>136282.02497856083</v>
      </c>
      <c r="M43" s="3">
        <v>139833.48138354</v>
      </c>
      <c r="N43" s="3">
        <v>128185.15157961223</v>
      </c>
      <c r="O43" s="3">
        <v>137592.4868170133</v>
      </c>
      <c r="P43" s="3">
        <v>133851.06585684503</v>
      </c>
      <c r="Q43" s="3">
        <v>134891.54867850669</v>
      </c>
      <c r="R43" s="3">
        <f>S43</f>
        <v>132810.58303518334</v>
      </c>
      <c r="S43" s="3">
        <v>132810.58303518334</v>
      </c>
      <c r="T43" s="3">
        <v>129033.4645373033</v>
      </c>
      <c r="U43" s="3">
        <v>131578.40341037666</v>
      </c>
      <c r="V43" s="3">
        <v>128185.15157961223</v>
      </c>
      <c r="W43" s="3">
        <v>129635.51315891332</v>
      </c>
      <c r="X43" s="3">
        <v>127459.97078996165</v>
      </c>
      <c r="Y43" s="3">
        <v>128076.72090540663</v>
      </c>
      <c r="Z43" s="3">
        <f>AA43</f>
        <v>126843.22067451666</v>
      </c>
      <c r="AA43" s="3">
        <v>126843.22067451666</v>
      </c>
      <c r="AB43" s="107">
        <v>123823.29114655501</v>
      </c>
      <c r="AC43" s="3">
        <v>125914.75584300334</v>
      </c>
      <c r="AD43" s="3">
        <v>123126.1362477389</v>
      </c>
      <c r="AE43" s="3">
        <v>124068.64263464001</v>
      </c>
      <c r="AF43" s="3">
        <v>122654.88305428835</v>
      </c>
      <c r="AG43" s="3">
        <v>123036.62848526667</v>
      </c>
      <c r="AH43" s="3">
        <v>122273.13762331</v>
      </c>
      <c r="AI43" s="108">
        <v>122273.13762331</v>
      </c>
      <c r="AJ43" s="3">
        <v>119894.17269067329</v>
      </c>
      <c r="AK43" s="3">
        <v>121617.07954542</v>
      </c>
      <c r="AL43" s="3">
        <v>119319.87040575776</v>
      </c>
      <c r="AM43" s="3">
        <v>120294.75284660002</v>
      </c>
      <c r="AN43" s="3">
        <v>118832.42918533666</v>
      </c>
      <c r="AO43" s="3">
        <v>119093.88346619331</v>
      </c>
      <c r="AP43" s="3">
        <v>118570.97490447998</v>
      </c>
      <c r="AQ43" s="3">
        <v>118570.97490447998</v>
      </c>
    </row>
    <row r="44" spans="1:65" ht="15.75" thickBot="1" x14ac:dyDescent="0.3">
      <c r="A44" s="47" t="s">
        <v>231</v>
      </c>
      <c r="B44" s="57">
        <f>(B42/90*365)/B43</f>
        <v>2.6063981719508713E-2</v>
      </c>
      <c r="C44" s="57">
        <f>(C42/90*365)/C43</f>
        <v>2.6063981719508713E-2</v>
      </c>
      <c r="D44" s="124">
        <f>(D42/365*365)/D43</f>
        <v>1.4305438116484376E-2</v>
      </c>
      <c r="E44" s="57">
        <f>(E42/92*365)/E43</f>
        <v>1.1815457274355574E-2</v>
      </c>
      <c r="F44" s="57">
        <f>(F42/273*365)/F43</f>
        <v>1.5162785379788031E-2</v>
      </c>
      <c r="G44" s="57">
        <f>(G42/92*365)/G43</f>
        <v>1.4730059836156139E-2</v>
      </c>
      <c r="H44" s="57">
        <f>(H42/181*365)/H43</f>
        <v>1.5385290815503598E-2</v>
      </c>
      <c r="I44" s="57">
        <f>(I42/91*365)/I43</f>
        <v>1.6073875286602469E-2</v>
      </c>
      <c r="J44" s="57">
        <f>(J42/90*365)/J43</f>
        <v>1.4680407099571385E-2</v>
      </c>
      <c r="K44" s="57">
        <f>(K42/90*365)/K43</f>
        <v>1.4680407099571385E-2</v>
      </c>
      <c r="L44" s="124">
        <f>(L42/366*366)/L43</f>
        <v>1.6633277029730234E-2</v>
      </c>
      <c r="M44" s="57">
        <f>(M42/92*366)/M43</f>
        <v>1.5853209353521039E-2</v>
      </c>
      <c r="N44" s="57">
        <f>(N42/273*366)/N43</f>
        <v>1.2237584640023025E-2</v>
      </c>
      <c r="O44" s="57">
        <f>(O42/92*366)/O43</f>
        <v>1.7345761422882584E-2</v>
      </c>
      <c r="P44" s="57">
        <f>(P42/182*366)/P43</f>
        <v>1.6671677166972352E-2</v>
      </c>
      <c r="Q44" s="57">
        <f>(Q42/91*366)/Q43</f>
        <v>1.8461540750152043E-2</v>
      </c>
      <c r="R44" s="57">
        <f>(R42/91*366)/R43</f>
        <v>1.4853768795962421E-2</v>
      </c>
      <c r="S44" s="125">
        <f>(S42/91*366)/S43</f>
        <v>1.4853768795962421E-2</v>
      </c>
      <c r="T44" s="57">
        <f>(T42/365*365)/T43</f>
        <v>1.3314719517619769E-2</v>
      </c>
      <c r="U44" s="57">
        <f>(U42/92*365)/U43</f>
        <v>1.2851017666187953E-2</v>
      </c>
      <c r="V44" s="57">
        <f>(V42/273*365)/V43</f>
        <v>1.3474153634146337E-2</v>
      </c>
      <c r="W44" s="57">
        <f>(W42/92*365)/W43</f>
        <v>1.3269103845887703E-2</v>
      </c>
      <c r="X44" s="57">
        <f>(X42/181*365)/X43</f>
        <v>1.3578886157222244E-2</v>
      </c>
      <c r="Y44" s="57">
        <f>(Y42/91*365)/Y43</f>
        <v>1.3219512505655562E-2</v>
      </c>
      <c r="Z44" s="57">
        <f>(Z42/90*365)/Z43</f>
        <v>1.3945052839696733E-2</v>
      </c>
      <c r="AA44" s="125">
        <f>(AA42/90*365)/AA43</f>
        <v>1.3945052839696733E-2</v>
      </c>
      <c r="AB44" s="124">
        <f>(AB42/365*365)/AB43</f>
        <v>1.5296158149296859E-2</v>
      </c>
      <c r="AC44" s="57">
        <f>(AC42/92*365)/AC43</f>
        <v>1.4604836426069311E-2</v>
      </c>
      <c r="AD44" s="57">
        <f>(AD42/273*365)/AD43</f>
        <v>1.5533455775374619E-2</v>
      </c>
      <c r="AE44" s="57">
        <f>(AE42/92*365)/AE43</f>
        <v>1.5094434853415337E-2</v>
      </c>
      <c r="AF44" s="57">
        <f>(AF42/181*365)/AF43</f>
        <v>1.575818742436175E-2</v>
      </c>
      <c r="AG44" s="57">
        <f>(AG42/91*365)/AG43</f>
        <v>1.5087086395603692E-2</v>
      </c>
      <c r="AH44" s="57">
        <f>(AH42/90*365)/AH43</f>
        <v>1.6440435495584424E-2</v>
      </c>
      <c r="AI44" s="125">
        <f>(AI42/90*365)/AI43</f>
        <v>1.6440435495584424E-2</v>
      </c>
      <c r="AJ44" s="57">
        <f>(AJ42/365*365)/AJ43</f>
        <v>1.713550194999439E-2</v>
      </c>
      <c r="AK44" s="57">
        <f>(AK42/92*365)/AK43</f>
        <v>1.788245802056844E-2</v>
      </c>
      <c r="AL44" s="57">
        <f>(AL42/273*365)/AL43</f>
        <v>1.6889233036500719E-2</v>
      </c>
      <c r="AM44" s="57">
        <f>(AM42/92*365)/AM43</f>
        <v>1.7784066470058001E-2</v>
      </c>
      <c r="AN44" s="57">
        <f>(AN42/181*365)/AN43</f>
        <v>1.6427655253650583E-2</v>
      </c>
      <c r="AO44" s="57">
        <f>(AO42/91*365)/AO43</f>
        <v>1.6943779329497689E-2</v>
      </c>
      <c r="AP44" s="57">
        <f>(AP42/90*365)/AP43</f>
        <v>1.5903092536424236E-2</v>
      </c>
      <c r="AQ44" s="57">
        <f>(AQ42/90*365)/AQ43</f>
        <v>1.5903092536424236E-2</v>
      </c>
    </row>
    <row r="45" spans="1:65" x14ac:dyDescent="0.25">
      <c r="B45" s="3"/>
      <c r="C45" s="3"/>
      <c r="D45" s="107"/>
      <c r="F45" s="3"/>
      <c r="H45" s="3"/>
      <c r="I45" s="3"/>
      <c r="J45" s="3"/>
      <c r="K45" s="3"/>
      <c r="L45" s="107"/>
      <c r="N45" s="3"/>
      <c r="P45" s="3"/>
      <c r="R45" s="3"/>
      <c r="S45" s="108"/>
      <c r="T45" s="3"/>
      <c r="V45" s="3"/>
      <c r="X45" s="3"/>
      <c r="Y45" s="7"/>
      <c r="Z45" s="3"/>
      <c r="AA45" s="3"/>
      <c r="AB45" s="107"/>
      <c r="AC45" s="3"/>
      <c r="AD45" s="3"/>
      <c r="AE45" s="3"/>
      <c r="AF45" s="3"/>
      <c r="AG45" s="7"/>
      <c r="AH45" s="7"/>
      <c r="AI45" s="119"/>
      <c r="AJ45" s="7"/>
      <c r="AK45" s="7"/>
      <c r="AL45" s="7"/>
      <c r="AM45" s="7"/>
      <c r="AN45" s="7"/>
      <c r="AO45" s="7"/>
      <c r="AP45" s="7"/>
      <c r="AQ45" s="7"/>
      <c r="AR45" s="17"/>
      <c r="AS45" s="17"/>
      <c r="AT45" s="17"/>
      <c r="AU45" s="17"/>
      <c r="AV45" s="17"/>
      <c r="AW45" s="17"/>
      <c r="AX45" s="17"/>
      <c r="AY45" s="17"/>
      <c r="AZ45" s="17"/>
      <c r="BA45" s="17"/>
      <c r="BB45" s="17"/>
      <c r="BC45" s="17"/>
      <c r="BD45" s="17"/>
      <c r="BE45" s="17"/>
      <c r="BF45" s="17"/>
      <c r="BG45" s="17"/>
      <c r="BH45" s="17"/>
      <c r="BI45" s="17"/>
      <c r="BJ45" s="17"/>
      <c r="BK45" s="17"/>
      <c r="BL45" s="17"/>
      <c r="BM45" s="17"/>
    </row>
    <row r="46" spans="1:65" x14ac:dyDescent="0.25">
      <c r="A46" s="17" t="s">
        <v>232</v>
      </c>
      <c r="B46" s="3">
        <f>C46</f>
        <v>782</v>
      </c>
      <c r="C46" s="3">
        <v>782</v>
      </c>
      <c r="D46" s="107">
        <f>E46+G46+I46+K46</f>
        <v>-418.51362763000009</v>
      </c>
      <c r="E46" s="3">
        <v>-149.21742387999996</v>
      </c>
      <c r="F46" s="3">
        <f>K46+I46+G46</f>
        <v>-269.29620375000007</v>
      </c>
      <c r="G46" s="3">
        <v>-98.647674710000032</v>
      </c>
      <c r="H46" s="3">
        <f>K46+I46</f>
        <v>-170.64852904000006</v>
      </c>
      <c r="I46" s="3">
        <v>-85.998909300000022</v>
      </c>
      <c r="J46" s="3">
        <f>K46</f>
        <v>-84.649619740000034</v>
      </c>
      <c r="K46" s="3">
        <v>-84.649619740000034</v>
      </c>
      <c r="L46" s="107">
        <f>M46+O46+Q46+S46</f>
        <v>-409.92553514000002</v>
      </c>
      <c r="M46" s="3">
        <v>-80.360382069999986</v>
      </c>
      <c r="N46" s="3">
        <f>S46+Q46+O46</f>
        <v>-329.56515307000006</v>
      </c>
      <c r="O46" s="3">
        <v>-64.84268849</v>
      </c>
      <c r="P46" s="3">
        <f>S46+Q46</f>
        <v>-264.72246458000006</v>
      </c>
      <c r="Q46" s="3">
        <v>-77.88467454000002</v>
      </c>
      <c r="R46" s="3">
        <f>S46</f>
        <v>-186.83779004000002</v>
      </c>
      <c r="S46" s="3">
        <v>-186.83779004000002</v>
      </c>
      <c r="T46" s="3">
        <f>U46+W46+Y46+AA46</f>
        <v>-681.40431908999994</v>
      </c>
      <c r="U46" s="3">
        <v>-196.64144518000001</v>
      </c>
      <c r="V46" s="3">
        <f>AA46+Y46+W46</f>
        <v>-484.76287390999994</v>
      </c>
      <c r="W46" s="3">
        <v>-179.63546962999996</v>
      </c>
      <c r="X46" s="3">
        <f>AA46+Y46</f>
        <v>-305.12740427999995</v>
      </c>
      <c r="Y46" s="3">
        <v>-164.10667114999998</v>
      </c>
      <c r="Z46" s="3">
        <f>AA46</f>
        <v>-141.02073312999997</v>
      </c>
      <c r="AA46" s="3">
        <v>-141.02073312999997</v>
      </c>
      <c r="AB46" s="107">
        <f>AC46+AE46+AG46+AI46</f>
        <v>-549.06309117000001</v>
      </c>
      <c r="AC46" s="3">
        <v>-144.81498698000001</v>
      </c>
      <c r="AD46" s="3">
        <v>-404.24810418999999</v>
      </c>
      <c r="AE46" s="3">
        <v>-136.71157248999995</v>
      </c>
      <c r="AF46" s="3">
        <v>-267.53653170000001</v>
      </c>
      <c r="AG46" s="3">
        <v>-146.17214830999998</v>
      </c>
      <c r="AH46" s="3">
        <v>-121.36438339000003</v>
      </c>
      <c r="AI46" s="108">
        <v>-121.36438339000003</v>
      </c>
      <c r="AJ46" s="3">
        <v>-418.09325148999994</v>
      </c>
      <c r="AK46" s="3">
        <v>-109.68653408000002</v>
      </c>
      <c r="AL46" s="3">
        <v>-308.40671740999994</v>
      </c>
      <c r="AM46" s="3">
        <v>-103.44202862</v>
      </c>
      <c r="AN46" s="3">
        <v>-204.96468879</v>
      </c>
      <c r="AO46" s="3">
        <v>-112.85887097</v>
      </c>
      <c r="AP46" s="3">
        <v>-92.105817819999999</v>
      </c>
      <c r="AQ46" s="3">
        <v>-92.105817819999999</v>
      </c>
      <c r="AR46" s="17"/>
      <c r="AS46" s="17"/>
      <c r="AT46" s="17"/>
      <c r="AU46" s="17"/>
      <c r="AV46" s="17"/>
      <c r="AW46" s="17"/>
      <c r="AX46" s="17"/>
      <c r="AY46" s="17"/>
      <c r="AZ46" s="17"/>
      <c r="BA46" s="17"/>
      <c r="BB46" s="17"/>
      <c r="BC46" s="17"/>
      <c r="BD46" s="17"/>
      <c r="BE46" s="17"/>
      <c r="BF46" s="17"/>
      <c r="BG46" s="17"/>
      <c r="BH46" s="17"/>
      <c r="BI46" s="17"/>
      <c r="BJ46" s="17"/>
      <c r="BK46" s="17"/>
      <c r="BL46" s="17"/>
      <c r="BM46" s="17"/>
    </row>
    <row r="47" spans="1:65" x14ac:dyDescent="0.25">
      <c r="A47" s="21" t="s">
        <v>224</v>
      </c>
      <c r="B47" s="20">
        <f>C47</f>
        <v>-429</v>
      </c>
      <c r="C47" s="20">
        <v>-429</v>
      </c>
      <c r="D47" s="114">
        <f>K47+I47+G47+E47</f>
        <v>250.1731172695583</v>
      </c>
      <c r="E47" s="4">
        <v>110.74314815810014</v>
      </c>
      <c r="F47" s="4">
        <f>G47+I47+K47</f>
        <v>139.42996911145818</v>
      </c>
      <c r="G47" s="4">
        <v>51.38932730197758</v>
      </c>
      <c r="H47" s="4">
        <f>K47+I47</f>
        <v>88.040641809480604</v>
      </c>
      <c r="I47" s="20">
        <v>36.016169539529237</v>
      </c>
      <c r="J47" s="20">
        <f>K47</f>
        <v>52.02447226995136</v>
      </c>
      <c r="K47" s="20">
        <v>52.02447226995136</v>
      </c>
      <c r="L47" s="114">
        <v>351.36306486804284</v>
      </c>
      <c r="M47" s="4">
        <v>54.762025596762392</v>
      </c>
      <c r="N47" s="4">
        <v>514.13113145722048</v>
      </c>
      <c r="O47" s="4">
        <v>38.234790711027252</v>
      </c>
      <c r="P47" s="4">
        <f>S47+Q47</f>
        <v>258.36624856025315</v>
      </c>
      <c r="Q47" s="20">
        <v>59.947273049321716</v>
      </c>
      <c r="R47" s="20">
        <v>198.41897551093146</v>
      </c>
      <c r="S47" s="20">
        <v>198.41897551093146</v>
      </c>
      <c r="T47" s="4">
        <v>732.26915213558323</v>
      </c>
      <c r="U47" s="4">
        <v>218.13802067836278</v>
      </c>
      <c r="V47" s="4">
        <v>514.13113145722048</v>
      </c>
      <c r="W47" s="4">
        <v>193.48607167616797</v>
      </c>
      <c r="X47" s="4">
        <v>320.64505978105245</v>
      </c>
      <c r="Y47" s="4">
        <v>172.54881602329132</v>
      </c>
      <c r="Z47" s="20">
        <v>148.09624375776113</v>
      </c>
      <c r="AA47" s="20">
        <v>148.09624375776113</v>
      </c>
      <c r="AB47" s="114">
        <v>512.52487241445533</v>
      </c>
      <c r="AC47" s="4">
        <v>143.38755655078208</v>
      </c>
      <c r="AD47" s="4">
        <v>369.13731586367328</v>
      </c>
      <c r="AE47" s="4">
        <v>129.05502921853446</v>
      </c>
      <c r="AF47" s="4">
        <v>240.08228664513879</v>
      </c>
      <c r="AG47" s="4">
        <v>132.58308222531483</v>
      </c>
      <c r="AH47" s="4">
        <v>107.49920441982397</v>
      </c>
      <c r="AI47" s="115">
        <v>107.49920441982397</v>
      </c>
      <c r="AJ47" s="4">
        <v>384.74174862096095</v>
      </c>
      <c r="AK47" s="4">
        <v>92.332232428582515</v>
      </c>
      <c r="AL47" s="4">
        <v>292.40951619237842</v>
      </c>
      <c r="AM47" s="4">
        <v>92.858799280632866</v>
      </c>
      <c r="AN47" s="4">
        <v>199.55071691174555</v>
      </c>
      <c r="AO47" s="4">
        <v>103.86365664169583</v>
      </c>
      <c r="AP47" s="4">
        <v>95.687060270049727</v>
      </c>
      <c r="AQ47" s="4">
        <v>95.687060270049727</v>
      </c>
      <c r="AR47" s="17"/>
      <c r="AS47" s="17"/>
      <c r="AT47" s="17"/>
      <c r="AU47" s="17"/>
      <c r="AV47" s="17"/>
      <c r="AW47" s="17"/>
      <c r="AX47" s="17"/>
      <c r="AY47" s="17"/>
      <c r="AZ47" s="17"/>
      <c r="BA47" s="17"/>
      <c r="BB47" s="17"/>
      <c r="BC47" s="17"/>
      <c r="BD47" s="17"/>
      <c r="BE47" s="17"/>
      <c r="BF47" s="17"/>
      <c r="BG47" s="17"/>
      <c r="BH47" s="17"/>
      <c r="BI47" s="17"/>
      <c r="BJ47" s="17"/>
      <c r="BK47" s="17"/>
      <c r="BL47" s="17"/>
      <c r="BM47" s="17"/>
    </row>
    <row r="48" spans="1:65" x14ac:dyDescent="0.25">
      <c r="A48" s="17" t="s">
        <v>233</v>
      </c>
      <c r="B48" s="53">
        <f t="shared" ref="B48:C48" si="87">SUM(B46:B47)</f>
        <v>353</v>
      </c>
      <c r="C48" s="53">
        <f t="shared" si="87"/>
        <v>353</v>
      </c>
      <c r="D48" s="107">
        <f t="shared" ref="D48:E48" si="88">SUM(D46:D47)</f>
        <v>-168.34051036044178</v>
      </c>
      <c r="E48" s="3">
        <f t="shared" si="88"/>
        <v>-38.474275721899815</v>
      </c>
      <c r="F48" s="3">
        <f t="shared" ref="F48:K48" si="89">SUM(F46:F47)</f>
        <v>-129.8662346385419</v>
      </c>
      <c r="G48" s="3">
        <f t="shared" si="89"/>
        <v>-47.258347408022452</v>
      </c>
      <c r="H48" s="3">
        <f t="shared" si="89"/>
        <v>-82.607887230519452</v>
      </c>
      <c r="I48" s="53">
        <f t="shared" si="89"/>
        <v>-49.982739760470785</v>
      </c>
      <c r="J48" s="53">
        <f t="shared" si="89"/>
        <v>-32.625147470048674</v>
      </c>
      <c r="K48" s="53">
        <f t="shared" si="89"/>
        <v>-32.625147470048674</v>
      </c>
      <c r="L48" s="107">
        <f t="shared" ref="L48:M48" si="90">SUM(L46:L47)</f>
        <v>-58.562470271957181</v>
      </c>
      <c r="M48" s="3">
        <f t="shared" si="90"/>
        <v>-25.598356473237594</v>
      </c>
      <c r="N48" s="3">
        <f t="shared" ref="N48:O48" si="91">SUM(N46:N47)</f>
        <v>184.56597838722041</v>
      </c>
      <c r="O48" s="3">
        <f t="shared" si="91"/>
        <v>-26.607897778972749</v>
      </c>
      <c r="P48" s="3">
        <f t="shared" ref="P48:Q48" si="92">SUM(P46:P47)</f>
        <v>-6.3562160197469098</v>
      </c>
      <c r="Q48" s="53">
        <f t="shared" si="92"/>
        <v>-17.937401490678305</v>
      </c>
      <c r="R48" s="53">
        <f t="shared" ref="R48:S48" si="93">SUM(R46:R47)</f>
        <v>11.581185470931445</v>
      </c>
      <c r="S48" s="186">
        <f t="shared" si="93"/>
        <v>11.581185470931445</v>
      </c>
      <c r="T48" s="3">
        <f t="shared" ref="T48:U48" si="94">SUM(T46:T47)</f>
        <v>50.864833045583282</v>
      </c>
      <c r="U48" s="3">
        <f t="shared" si="94"/>
        <v>21.496575498362773</v>
      </c>
      <c r="V48" s="3">
        <f t="shared" ref="V48:W48" si="95">SUM(V46:V47)</f>
        <v>29.368257547220537</v>
      </c>
      <c r="W48" s="3">
        <f t="shared" si="95"/>
        <v>13.850602046168007</v>
      </c>
      <c r="X48" s="3">
        <f t="shared" ref="X48:Y48" si="96">SUM(X46:X47)</f>
        <v>15.517655501052502</v>
      </c>
      <c r="Y48" s="3">
        <f t="shared" si="96"/>
        <v>8.4421448732913404</v>
      </c>
      <c r="Z48" s="53">
        <f t="shared" ref="Z48:AA48" si="97">SUM(Z46:Z47)</f>
        <v>7.0755106277611617</v>
      </c>
      <c r="AA48" s="186">
        <f t="shared" si="97"/>
        <v>7.0755106277611617</v>
      </c>
      <c r="AB48" s="107">
        <f>SUM(AB46:AB47)</f>
        <v>-36.538218755544676</v>
      </c>
      <c r="AC48" s="3">
        <f>SUM(AC46:AC47)</f>
        <v>-1.4274304292179352</v>
      </c>
      <c r="AD48" s="3">
        <f>SUM(AD46:AD47)</f>
        <v>-35.110788326326713</v>
      </c>
      <c r="AE48" s="3">
        <f t="shared" ref="AE48:AQ48" si="98">SUM(AE46:AE47)</f>
        <v>-7.6565432714654946</v>
      </c>
      <c r="AF48" s="3">
        <f t="shared" si="98"/>
        <v>-27.454245054861218</v>
      </c>
      <c r="AG48" s="3">
        <f t="shared" si="98"/>
        <v>-13.589066084685157</v>
      </c>
      <c r="AH48" s="3">
        <f t="shared" si="98"/>
        <v>-13.865178970176061</v>
      </c>
      <c r="AI48" s="108">
        <f t="shared" si="98"/>
        <v>-13.865178970176061</v>
      </c>
      <c r="AJ48" s="3">
        <f t="shared" si="98"/>
        <v>-33.351502869038995</v>
      </c>
      <c r="AK48" s="3">
        <f t="shared" si="98"/>
        <v>-17.354301651417501</v>
      </c>
      <c r="AL48" s="3">
        <f t="shared" si="98"/>
        <v>-15.997201217621523</v>
      </c>
      <c r="AM48" s="3">
        <f t="shared" si="98"/>
        <v>-10.583229339367136</v>
      </c>
      <c r="AN48" s="3">
        <f t="shared" si="98"/>
        <v>-5.4139718782544435</v>
      </c>
      <c r="AO48" s="3">
        <f t="shared" si="98"/>
        <v>-8.9952143283041721</v>
      </c>
      <c r="AP48" s="3">
        <f t="shared" si="98"/>
        <v>3.5812424500497286</v>
      </c>
      <c r="AQ48" s="3">
        <f t="shared" si="98"/>
        <v>3.5812424500497286</v>
      </c>
      <c r="AR48" s="17"/>
      <c r="AS48" s="17"/>
      <c r="AT48" s="17"/>
      <c r="AU48" s="17"/>
      <c r="AV48" s="17"/>
      <c r="AW48" s="17"/>
      <c r="AX48" s="17"/>
      <c r="AY48" s="17"/>
      <c r="AZ48" s="17"/>
      <c r="BA48" s="17"/>
      <c r="BB48" s="17"/>
      <c r="BC48" s="17"/>
      <c r="BD48" s="17"/>
      <c r="BE48" s="17"/>
      <c r="BF48" s="17"/>
      <c r="BG48" s="17"/>
      <c r="BH48" s="17"/>
      <c r="BI48" s="17"/>
      <c r="BJ48" s="17"/>
      <c r="BK48" s="17"/>
      <c r="BL48" s="17"/>
      <c r="BM48" s="17"/>
    </row>
    <row r="49" spans="1:65" x14ac:dyDescent="0.25">
      <c r="A49" s="17" t="s">
        <v>234</v>
      </c>
      <c r="B49" s="3">
        <f>C49</f>
        <v>142251</v>
      </c>
      <c r="C49" s="3">
        <v>142251</v>
      </c>
      <c r="D49" s="107">
        <v>56383.145765514157</v>
      </c>
      <c r="E49" s="3">
        <v>59621.155869673334</v>
      </c>
      <c r="F49" s="3">
        <v>55303.809064127774</v>
      </c>
      <c r="G49" s="3">
        <v>58328.568399406671</v>
      </c>
      <c r="H49" s="3">
        <v>53791.429396488333</v>
      </c>
      <c r="I49" s="3">
        <v>57864.569692689976</v>
      </c>
      <c r="J49" s="3">
        <f>K49</f>
        <v>49718.289100286682</v>
      </c>
      <c r="K49" s="3">
        <v>49718.289100286682</v>
      </c>
      <c r="L49" s="107">
        <v>55600.544075230835</v>
      </c>
      <c r="M49" s="3">
        <v>60188.819337843328</v>
      </c>
      <c r="N49" s="3">
        <v>49733.449780018891</v>
      </c>
      <c r="O49" s="3">
        <v>57434.922024179999</v>
      </c>
      <c r="P49" s="3">
        <v>52389.217469450006</v>
      </c>
      <c r="Q49" s="3">
        <v>53652.771696613338</v>
      </c>
      <c r="R49" s="3">
        <f>S49</f>
        <v>51125.663242286661</v>
      </c>
      <c r="S49" s="3">
        <v>51125.663242286661</v>
      </c>
      <c r="T49" s="3">
        <v>49792.998074991672</v>
      </c>
      <c r="U49" s="3">
        <v>49971.642959910001</v>
      </c>
      <c r="V49" s="3">
        <v>49733.449780018891</v>
      </c>
      <c r="W49" s="3">
        <v>49813.145779216669</v>
      </c>
      <c r="X49" s="3">
        <v>49693.601780419987</v>
      </c>
      <c r="Y49" s="3">
        <v>50131.769945563334</v>
      </c>
      <c r="Z49" s="3">
        <f>AA49</f>
        <v>49255.433615276663</v>
      </c>
      <c r="AA49" s="3">
        <v>49255.433615276663</v>
      </c>
      <c r="AB49" s="107">
        <v>50170.911367910827</v>
      </c>
      <c r="AC49" s="3">
        <v>50256.754417619995</v>
      </c>
      <c r="AD49" s="3">
        <v>50142.297018007775</v>
      </c>
      <c r="AE49" s="3">
        <v>50670.846430986661</v>
      </c>
      <c r="AF49" s="3">
        <v>49878.022311518333</v>
      </c>
      <c r="AG49" s="3">
        <v>51778.758775433329</v>
      </c>
      <c r="AH49" s="3">
        <v>47977.285847603336</v>
      </c>
      <c r="AI49" s="108">
        <v>47977.285847603336</v>
      </c>
      <c r="AJ49" s="3">
        <v>43854.151078034163</v>
      </c>
      <c r="AK49" s="3">
        <v>46810.238456416664</v>
      </c>
      <c r="AL49" s="3">
        <v>42868.78861857333</v>
      </c>
      <c r="AM49" s="3">
        <v>45297.074338650003</v>
      </c>
      <c r="AN49" s="3">
        <v>41654.645758534993</v>
      </c>
      <c r="AO49" s="3">
        <v>45394.191405076665</v>
      </c>
      <c r="AP49" s="3">
        <v>37915.100111993321</v>
      </c>
      <c r="AQ49" s="3">
        <v>37915.100111993321</v>
      </c>
      <c r="AR49" s="17"/>
      <c r="AS49" s="17"/>
      <c r="AT49" s="17"/>
      <c r="AU49" s="17"/>
      <c r="AV49" s="17"/>
      <c r="AW49" s="17"/>
      <c r="AX49" s="17"/>
      <c r="AY49" s="17"/>
      <c r="AZ49" s="17"/>
      <c r="BA49" s="17"/>
      <c r="BB49" s="17"/>
      <c r="BC49" s="17"/>
      <c r="BD49" s="17"/>
      <c r="BE49" s="17"/>
      <c r="BF49" s="17"/>
      <c r="BG49" s="17"/>
      <c r="BH49" s="17"/>
      <c r="BI49" s="17"/>
      <c r="BJ49" s="17"/>
      <c r="BK49" s="17"/>
      <c r="BL49" s="17"/>
      <c r="BM49" s="17"/>
    </row>
    <row r="50" spans="1:65" ht="15.75" thickBot="1" x14ac:dyDescent="0.3">
      <c r="A50" s="47" t="s">
        <v>235</v>
      </c>
      <c r="B50" s="57">
        <f>(B48/90*365)/B49</f>
        <v>1.0063979241700311E-2</v>
      </c>
      <c r="C50" s="57">
        <f>(C48/90*365)/C49</f>
        <v>1.0063979241700311E-2</v>
      </c>
      <c r="D50" s="124">
        <f>(D48/365*365)/D49</f>
        <v>-2.9856530364682941E-3</v>
      </c>
      <c r="E50" s="57">
        <f>(E48/92*365)/E49</f>
        <v>-2.5602071062461331E-3</v>
      </c>
      <c r="F50" s="57">
        <f>(F48/273*365)/F49</f>
        <v>-3.1395790443638901E-3</v>
      </c>
      <c r="G50" s="57">
        <f>(G48/92*365)/G49</f>
        <v>-3.2144172522901165E-3</v>
      </c>
      <c r="H50" s="57">
        <f>(H48/181*365)/H49</f>
        <v>-3.0968681782784602E-3</v>
      </c>
      <c r="I50" s="57">
        <f>(I48/91*365)/I49</f>
        <v>-3.4646454813902897E-3</v>
      </c>
      <c r="J50" s="57">
        <f>(J48/90*365)/J49</f>
        <v>-2.6612560582301341E-3</v>
      </c>
      <c r="K50" s="57">
        <f>(K48/90*365)/K49</f>
        <v>-2.6612560582301341E-3</v>
      </c>
      <c r="L50" s="124">
        <f>(L48/366*366)/L49</f>
        <v>-1.0532715326080026E-3</v>
      </c>
      <c r="M50" s="57">
        <f>(M48/92*366)/M49</f>
        <v>-1.6919577589825439E-3</v>
      </c>
      <c r="N50" s="57">
        <f>(N48/273*366)/N49</f>
        <v>4.9753255401994963E-3</v>
      </c>
      <c r="O50" s="57">
        <f>(O48/92*366)/O49</f>
        <v>-1.8430103989853866E-3</v>
      </c>
      <c r="P50" s="57">
        <f>(P48/182*366)/P49</f>
        <v>-2.4398685807126524E-4</v>
      </c>
      <c r="Q50" s="57">
        <f>(Q48/91*366)/Q49</f>
        <v>-1.3446431989543944E-3</v>
      </c>
      <c r="R50" s="57">
        <f>(R48/91*366)/R49</f>
        <v>9.1107421358616579E-4</v>
      </c>
      <c r="S50" s="125">
        <f>(S48/91*366)/S49</f>
        <v>9.1107421358616579E-4</v>
      </c>
      <c r="T50" s="57">
        <f>(T48/365*365)/T49</f>
        <v>1.021525817123471E-3</v>
      </c>
      <c r="U50" s="57">
        <f>(U48/92*365)/U49</f>
        <v>1.7066744588302126E-3</v>
      </c>
      <c r="V50" s="57">
        <f>(V48/273*365)/V49</f>
        <v>7.895139576739004E-4</v>
      </c>
      <c r="W50" s="57">
        <f>(W48/92*365)/W49</f>
        <v>1.1031376809949641E-3</v>
      </c>
      <c r="X50" s="57">
        <f>(X48/181*365)/X49</f>
        <v>6.2970902874657207E-4</v>
      </c>
      <c r="Y50" s="57">
        <f>(Y48/91*365)/Y49</f>
        <v>6.7544693420395617E-4</v>
      </c>
      <c r="Z50" s="57">
        <f>(Z48/90*365)/Z49</f>
        <v>5.8257788691782643E-4</v>
      </c>
      <c r="AA50" s="125">
        <f>(AA48/90*365)/AA49</f>
        <v>5.8257788691782643E-4</v>
      </c>
      <c r="AB50" s="124">
        <f>(AB48/365*365)/AB49</f>
        <v>-7.2827496569883752E-4</v>
      </c>
      <c r="AC50" s="57">
        <f>(AC48/92*365)/AC49</f>
        <v>-1.1268485476362584E-4</v>
      </c>
      <c r="AD50" s="57">
        <f>(AD48/273*365)/AD49</f>
        <v>-9.3619555092367952E-4</v>
      </c>
      <c r="AE50" s="57">
        <f>(AE48/92*365)/AE49</f>
        <v>-5.9948679242900836E-4</v>
      </c>
      <c r="AF50" s="57">
        <f>(AF48/181*365)/AF49</f>
        <v>-1.1099785091650128E-3</v>
      </c>
      <c r="AG50" s="57">
        <f>(AG48/91*365)/AG49</f>
        <v>-1.0526632160432565E-3</v>
      </c>
      <c r="AH50" s="57">
        <f>(AH48/90*365)/AH49</f>
        <v>-1.1720338616045024E-3</v>
      </c>
      <c r="AI50" s="125">
        <f>(AI48/90*365)/AI49</f>
        <v>-1.1720338616045024E-3</v>
      </c>
      <c r="AJ50" s="57">
        <f>(AJ48/365*365)/AJ49</f>
        <v>-7.6050959941496225E-4</v>
      </c>
      <c r="AK50" s="57">
        <f>(AK48/92*365)/AK49</f>
        <v>-1.4708599600270762E-3</v>
      </c>
      <c r="AL50" s="57">
        <f>(AL48/273*365)/AL49</f>
        <v>-4.9892241230457043E-4</v>
      </c>
      <c r="AM50" s="57">
        <f>(AM48/92*365)/AM49</f>
        <v>-9.26943134097683E-4</v>
      </c>
      <c r="AN50" s="57">
        <f>(AN48/181*365)/AN49</f>
        <v>-2.6209989061773311E-4</v>
      </c>
      <c r="AO50" s="57">
        <f>(AO48/91*365)/AO49</f>
        <v>-7.9480886663142432E-4</v>
      </c>
      <c r="AP50" s="57">
        <f>(AP48/90*365)/AP49</f>
        <v>3.8306446959627969E-4</v>
      </c>
      <c r="AQ50" s="57">
        <f>(AQ48/90*365)/AQ49</f>
        <v>3.8306446959627969E-4</v>
      </c>
      <c r="AR50" s="17"/>
      <c r="AS50" s="17"/>
      <c r="AT50" s="17"/>
      <c r="AU50" s="17"/>
      <c r="AV50" s="17"/>
      <c r="AW50" s="17"/>
      <c r="AX50" s="17"/>
      <c r="AY50" s="17"/>
      <c r="AZ50" s="17"/>
      <c r="BA50" s="17"/>
      <c r="BB50" s="17"/>
      <c r="BC50" s="17"/>
      <c r="BD50" s="17"/>
      <c r="BE50" s="17"/>
      <c r="BF50" s="17"/>
      <c r="BG50" s="17"/>
      <c r="BH50" s="17"/>
      <c r="BI50" s="17"/>
      <c r="BJ50" s="17"/>
      <c r="BK50" s="17"/>
      <c r="BL50" s="17"/>
      <c r="BM50" s="17"/>
    </row>
    <row r="51" spans="1:65" x14ac:dyDescent="0.25">
      <c r="A51" s="46"/>
      <c r="B51" s="196"/>
      <c r="C51" s="196"/>
      <c r="D51" s="197"/>
      <c r="E51" s="196"/>
      <c r="F51" s="196"/>
      <c r="G51" s="196"/>
      <c r="H51" s="196"/>
      <c r="I51" s="196"/>
      <c r="J51" s="196"/>
      <c r="K51" s="196"/>
      <c r="L51" s="197"/>
      <c r="M51" s="196"/>
      <c r="N51" s="196"/>
      <c r="O51" s="196"/>
      <c r="P51" s="196"/>
      <c r="Q51" s="196"/>
      <c r="R51" s="196"/>
      <c r="S51" s="208"/>
      <c r="T51" s="196"/>
      <c r="U51" s="196"/>
      <c r="V51" s="196"/>
      <c r="W51" s="196"/>
      <c r="X51" s="196"/>
      <c r="Y51" s="196"/>
      <c r="Z51" s="196"/>
      <c r="AA51" s="196"/>
      <c r="AB51" s="197"/>
      <c r="AC51" s="196"/>
      <c r="AD51" s="196"/>
      <c r="AE51" s="196"/>
      <c r="AF51" s="196"/>
      <c r="AG51" s="196"/>
      <c r="AH51" s="196"/>
      <c r="AI51" s="208"/>
      <c r="AJ51" s="196"/>
      <c r="AK51" s="196"/>
      <c r="AL51" s="196"/>
      <c r="AM51" s="196"/>
      <c r="AN51" s="196"/>
      <c r="AO51" s="196"/>
      <c r="AP51" s="196"/>
      <c r="AQ51" s="196"/>
      <c r="AR51" s="17"/>
      <c r="AS51" s="17"/>
      <c r="AT51" s="17"/>
      <c r="AU51" s="17"/>
      <c r="AV51" s="17"/>
      <c r="AW51" s="17"/>
      <c r="AX51" s="17"/>
      <c r="AY51" s="17"/>
      <c r="AZ51" s="17"/>
      <c r="BA51" s="17"/>
      <c r="BB51" s="17"/>
      <c r="BC51" s="17"/>
      <c r="BD51" s="17"/>
      <c r="BE51" s="17"/>
      <c r="BF51" s="17"/>
      <c r="BG51" s="17"/>
      <c r="BH51" s="17"/>
      <c r="BI51" s="17"/>
      <c r="BJ51" s="17"/>
      <c r="BK51" s="17"/>
      <c r="BL51" s="17"/>
      <c r="BM51" s="17"/>
    </row>
    <row r="52" spans="1:65" x14ac:dyDescent="0.25">
      <c r="A52" s="218" t="s">
        <v>286</v>
      </c>
      <c r="B52" s="3">
        <f>C52</f>
        <v>-11.7</v>
      </c>
      <c r="C52" s="3">
        <v>-11.7</v>
      </c>
      <c r="D52" s="107">
        <f>E52+G52+I52+K52</f>
        <v>-26.895137950000013</v>
      </c>
      <c r="E52" s="3">
        <v>-8.5233657700000016</v>
      </c>
      <c r="F52" s="3">
        <f>K52+I52+G52</f>
        <v>-18.371772180000008</v>
      </c>
      <c r="G52" s="3">
        <v>-6.2480814700000078</v>
      </c>
      <c r="H52" s="3">
        <f>K52+I52</f>
        <v>-12.123690710000002</v>
      </c>
      <c r="I52" s="3">
        <v>-5.54331716</v>
      </c>
      <c r="J52" s="3">
        <f>K52</f>
        <v>-6.5803735500000027</v>
      </c>
      <c r="K52" s="3">
        <v>-6.5803735500000027</v>
      </c>
      <c r="L52" s="197"/>
      <c r="M52" s="196"/>
      <c r="N52" s="196"/>
      <c r="O52" s="196"/>
      <c r="P52" s="196"/>
      <c r="Q52" s="196"/>
      <c r="R52" s="196"/>
      <c r="S52" s="208"/>
      <c r="T52" s="196"/>
      <c r="U52" s="196"/>
      <c r="V52" s="196"/>
      <c r="W52" s="196"/>
      <c r="X52" s="196"/>
      <c r="Y52" s="196"/>
      <c r="Z52" s="196"/>
      <c r="AA52" s="196"/>
      <c r="AB52" s="197"/>
      <c r="AC52" s="196"/>
      <c r="AD52" s="196"/>
      <c r="AE52" s="196"/>
      <c r="AF52" s="196"/>
      <c r="AG52" s="196"/>
      <c r="AH52" s="196"/>
      <c r="AI52" s="208"/>
      <c r="AJ52" s="196"/>
      <c r="AK52" s="196"/>
      <c r="AL52" s="196"/>
      <c r="AM52" s="196"/>
      <c r="AN52" s="196"/>
      <c r="AO52" s="196"/>
      <c r="AP52" s="196"/>
      <c r="AQ52" s="196"/>
      <c r="AR52" s="17"/>
      <c r="AS52" s="17"/>
      <c r="AT52" s="17"/>
      <c r="AU52" s="17"/>
      <c r="AV52" s="17"/>
      <c r="AW52" s="17"/>
      <c r="AX52" s="17"/>
      <c r="AY52" s="17"/>
      <c r="AZ52" s="17"/>
      <c r="BA52" s="17"/>
      <c r="BB52" s="17"/>
      <c r="BC52" s="17"/>
      <c r="BD52" s="17"/>
      <c r="BE52" s="17"/>
      <c r="BF52" s="17"/>
      <c r="BG52" s="17"/>
      <c r="BH52" s="17"/>
      <c r="BI52" s="17"/>
      <c r="BJ52" s="17"/>
      <c r="BK52" s="17"/>
      <c r="BL52" s="17"/>
      <c r="BM52" s="17"/>
    </row>
    <row r="53" spans="1:65" x14ac:dyDescent="0.25">
      <c r="A53" s="220" t="s">
        <v>224</v>
      </c>
      <c r="B53" s="20">
        <f>C53</f>
        <v>45.9</v>
      </c>
      <c r="C53" s="20">
        <v>45.9</v>
      </c>
      <c r="D53" s="114">
        <f>K53+I53+G53+E53</f>
        <v>70.858359165749263</v>
      </c>
      <c r="E53" s="4">
        <v>30.429123620056725</v>
      </c>
      <c r="F53" s="4">
        <f>G53+I53+K53</f>
        <v>40.429235545692535</v>
      </c>
      <c r="G53" s="4">
        <v>14.613930717072119</v>
      </c>
      <c r="H53" s="4">
        <f>K53+I53</f>
        <v>25.815304828620416</v>
      </c>
      <c r="I53" s="20">
        <v>9.7467165912918894</v>
      </c>
      <c r="J53" s="20">
        <f>K53</f>
        <v>16.068588237328527</v>
      </c>
      <c r="K53" s="20">
        <v>16.068588237328527</v>
      </c>
      <c r="L53" s="197"/>
      <c r="M53" s="196"/>
      <c r="N53" s="196"/>
      <c r="O53" s="196"/>
      <c r="P53" s="196"/>
      <c r="Q53" s="196"/>
      <c r="R53" s="196"/>
      <c r="S53" s="208"/>
      <c r="T53" s="196"/>
      <c r="U53" s="196"/>
      <c r="V53" s="196"/>
      <c r="W53" s="196"/>
      <c r="X53" s="196"/>
      <c r="Y53" s="196"/>
      <c r="Z53" s="196"/>
      <c r="AA53" s="196"/>
      <c r="AB53" s="197"/>
      <c r="AC53" s="196"/>
      <c r="AD53" s="196"/>
      <c r="AE53" s="196"/>
      <c r="AF53" s="196"/>
      <c r="AG53" s="196"/>
      <c r="AH53" s="196"/>
      <c r="AI53" s="208"/>
      <c r="AJ53" s="196"/>
      <c r="AK53" s="196"/>
      <c r="AL53" s="196"/>
      <c r="AM53" s="196"/>
      <c r="AN53" s="196"/>
      <c r="AO53" s="196"/>
      <c r="AP53" s="196"/>
      <c r="AQ53" s="196"/>
      <c r="AR53" s="17"/>
      <c r="AS53" s="17"/>
      <c r="AT53" s="17"/>
      <c r="AU53" s="17"/>
      <c r="AV53" s="17"/>
      <c r="AW53" s="17"/>
      <c r="AX53" s="17"/>
      <c r="AY53" s="17"/>
      <c r="AZ53" s="17"/>
      <c r="BA53" s="17"/>
      <c r="BB53" s="17"/>
      <c r="BC53" s="17"/>
      <c r="BD53" s="17"/>
      <c r="BE53" s="17"/>
      <c r="BF53" s="17"/>
      <c r="BG53" s="17"/>
      <c r="BH53" s="17"/>
      <c r="BI53" s="17"/>
      <c r="BJ53" s="17"/>
      <c r="BK53" s="17"/>
      <c r="BL53" s="17"/>
      <c r="BM53" s="17"/>
    </row>
    <row r="54" spans="1:65" x14ac:dyDescent="0.25">
      <c r="A54" s="218" t="s">
        <v>287</v>
      </c>
      <c r="B54" s="53">
        <f t="shared" ref="B54:C54" si="99">SUM(B52:B53)</f>
        <v>34.200000000000003</v>
      </c>
      <c r="C54" s="53">
        <f t="shared" si="99"/>
        <v>34.200000000000003</v>
      </c>
      <c r="D54" s="107">
        <f>SUM(D52:D53)</f>
        <v>43.96322121574925</v>
      </c>
      <c r="E54" s="3">
        <f>SUM(E52:E53)</f>
        <v>21.905757850056723</v>
      </c>
      <c r="F54" s="3">
        <f t="shared" ref="F54:K54" si="100">SUM(F52:F53)</f>
        <v>22.057463365692527</v>
      </c>
      <c r="G54" s="3">
        <f t="shared" si="100"/>
        <v>8.3658492470721111</v>
      </c>
      <c r="H54" s="3">
        <f t="shared" si="100"/>
        <v>13.691614118620414</v>
      </c>
      <c r="I54" s="53">
        <f t="shared" si="100"/>
        <v>4.2033994312918894</v>
      </c>
      <c r="J54" s="53">
        <f t="shared" si="100"/>
        <v>9.488214687328524</v>
      </c>
      <c r="K54" s="53">
        <f t="shared" si="100"/>
        <v>9.488214687328524</v>
      </c>
      <c r="L54" s="197"/>
      <c r="M54" s="196"/>
      <c r="N54" s="196"/>
      <c r="O54" s="196"/>
      <c r="P54" s="196"/>
      <c r="Q54" s="196"/>
      <c r="R54" s="196"/>
      <c r="S54" s="208"/>
      <c r="T54" s="196"/>
      <c r="U54" s="196"/>
      <c r="V54" s="196"/>
      <c r="W54" s="196"/>
      <c r="X54" s="196"/>
      <c r="Y54" s="196"/>
      <c r="Z54" s="196"/>
      <c r="AA54" s="196"/>
      <c r="AB54" s="197"/>
      <c r="AC54" s="196"/>
      <c r="AD54" s="196"/>
      <c r="AE54" s="196"/>
      <c r="AF54" s="196"/>
      <c r="AG54" s="196"/>
      <c r="AH54" s="196"/>
      <c r="AI54" s="208"/>
      <c r="AJ54" s="196"/>
      <c r="AK54" s="196"/>
      <c r="AL54" s="196"/>
      <c r="AM54" s="196"/>
      <c r="AN54" s="196"/>
      <c r="AO54" s="196"/>
      <c r="AP54" s="196"/>
      <c r="AQ54" s="196"/>
      <c r="AR54" s="17"/>
      <c r="AS54" s="17"/>
      <c r="AT54" s="17"/>
      <c r="AU54" s="17"/>
      <c r="AV54" s="17"/>
      <c r="AW54" s="17"/>
      <c r="AX54" s="17"/>
      <c r="AY54" s="17"/>
      <c r="AZ54" s="17"/>
      <c r="BA54" s="17"/>
      <c r="BB54" s="17"/>
      <c r="BC54" s="17"/>
      <c r="BD54" s="17"/>
      <c r="BE54" s="17"/>
      <c r="BF54" s="17"/>
      <c r="BG54" s="17"/>
      <c r="BH54" s="17"/>
      <c r="BI54" s="17"/>
      <c r="BJ54" s="17"/>
      <c r="BK54" s="17"/>
      <c r="BL54" s="17"/>
      <c r="BM54" s="17"/>
    </row>
    <row r="55" spans="1:65" x14ac:dyDescent="0.25">
      <c r="A55" s="218" t="s">
        <v>288</v>
      </c>
      <c r="B55" s="3">
        <f>C55</f>
        <v>16358</v>
      </c>
      <c r="C55" s="3">
        <v>16358</v>
      </c>
      <c r="D55" s="107">
        <v>15384.752115156667</v>
      </c>
      <c r="E55" s="3">
        <v>15944.103837486666</v>
      </c>
      <c r="F55" s="3">
        <v>15198.301541046656</v>
      </c>
      <c r="G55" s="3">
        <v>15825.745939296663</v>
      </c>
      <c r="H55" s="3">
        <v>14884.579341921652</v>
      </c>
      <c r="I55" s="3">
        <v>15043.94836276332</v>
      </c>
      <c r="J55" s="3">
        <f>K55</f>
        <v>14725.210321079987</v>
      </c>
      <c r="K55" s="3">
        <v>14725.210321079987</v>
      </c>
      <c r="L55" s="197"/>
      <c r="M55" s="196"/>
      <c r="N55" s="196"/>
      <c r="O55" s="196"/>
      <c r="P55" s="196"/>
      <c r="Q55" s="196"/>
      <c r="R55" s="196"/>
      <c r="S55" s="208"/>
      <c r="T55" s="196"/>
      <c r="U55" s="196"/>
      <c r="V55" s="196"/>
      <c r="W55" s="196"/>
      <c r="X55" s="196"/>
      <c r="Y55" s="196"/>
      <c r="Z55" s="196"/>
      <c r="AA55" s="196"/>
      <c r="AB55" s="197"/>
      <c r="AC55" s="196"/>
      <c r="AD55" s="196"/>
      <c r="AE55" s="196"/>
      <c r="AF55" s="196"/>
      <c r="AG55" s="196"/>
      <c r="AH55" s="196"/>
      <c r="AI55" s="208"/>
      <c r="AJ55" s="196"/>
      <c r="AK55" s="196"/>
      <c r="AL55" s="196"/>
      <c r="AM55" s="196"/>
      <c r="AN55" s="196"/>
      <c r="AO55" s="196"/>
      <c r="AP55" s="196"/>
      <c r="AQ55" s="196"/>
      <c r="AR55" s="17"/>
      <c r="AS55" s="17"/>
      <c r="AT55" s="17"/>
      <c r="AU55" s="17"/>
      <c r="AV55" s="17"/>
      <c r="AW55" s="17"/>
      <c r="AX55" s="17"/>
      <c r="AY55" s="17"/>
      <c r="AZ55" s="17"/>
      <c r="BA55" s="17"/>
      <c r="BB55" s="17"/>
      <c r="BC55" s="17"/>
      <c r="BD55" s="17"/>
      <c r="BE55" s="17"/>
      <c r="BF55" s="17"/>
      <c r="BG55" s="17"/>
      <c r="BH55" s="17"/>
      <c r="BI55" s="17"/>
      <c r="BJ55" s="17"/>
      <c r="BK55" s="17"/>
      <c r="BL55" s="17"/>
      <c r="BM55" s="17"/>
    </row>
    <row r="56" spans="1:65" ht="15.75" thickBot="1" x14ac:dyDescent="0.3">
      <c r="A56" s="47" t="s">
        <v>289</v>
      </c>
      <c r="B56" s="57">
        <f>(B54/90*365)/B55</f>
        <v>8.4790316664628915E-3</v>
      </c>
      <c r="C56" s="57">
        <f>(C54/90*365)/C55</f>
        <v>8.4790316664628915E-3</v>
      </c>
      <c r="D56" s="124">
        <f>(D54/365*365)/D55</f>
        <v>2.8575839822883985E-3</v>
      </c>
      <c r="E56" s="57">
        <f>(E54/92*365)/E55-0.00009%</f>
        <v>5.4499371304714194E-3</v>
      </c>
      <c r="F56" s="57">
        <f>(F54/273*365)/F55</f>
        <v>1.9403975926990901E-3</v>
      </c>
      <c r="G56" s="57">
        <f>(G54/92*365)/G55</f>
        <v>2.0972532785265841E-3</v>
      </c>
      <c r="H56" s="57">
        <f>(H54/181*365)/H55</f>
        <v>1.8549507133314544E-3</v>
      </c>
      <c r="I56" s="57">
        <f>(I54/91*365)/I55</f>
        <v>1.1207023928266372E-3</v>
      </c>
      <c r="J56" s="57">
        <f>(J54/90*365)/J55</f>
        <v>2.6132042224492171E-3</v>
      </c>
      <c r="K56" s="57">
        <f>(K54/90*365)/K55</f>
        <v>2.6132042224492171E-3</v>
      </c>
      <c r="L56" s="197"/>
      <c r="M56" s="196"/>
      <c r="N56" s="196"/>
      <c r="O56" s="196"/>
      <c r="P56" s="196"/>
      <c r="Q56" s="196"/>
      <c r="R56" s="196"/>
      <c r="S56" s="208"/>
      <c r="T56" s="196"/>
      <c r="U56" s="196"/>
      <c r="V56" s="196"/>
      <c r="W56" s="196"/>
      <c r="X56" s="196"/>
      <c r="Y56" s="196"/>
      <c r="Z56" s="196"/>
      <c r="AA56" s="196"/>
      <c r="AB56" s="197"/>
      <c r="AC56" s="196"/>
      <c r="AD56" s="196"/>
      <c r="AE56" s="196"/>
      <c r="AF56" s="196"/>
      <c r="AG56" s="196"/>
      <c r="AH56" s="196"/>
      <c r="AI56" s="208"/>
      <c r="AJ56" s="196"/>
      <c r="AK56" s="196"/>
      <c r="AL56" s="196"/>
      <c r="AM56" s="196"/>
      <c r="AN56" s="196"/>
      <c r="AO56" s="196"/>
      <c r="AP56" s="196"/>
      <c r="AQ56" s="196"/>
      <c r="AR56" s="17"/>
      <c r="AS56" s="17"/>
      <c r="AT56" s="17"/>
      <c r="AU56" s="17"/>
      <c r="AV56" s="17"/>
      <c r="AW56" s="17"/>
      <c r="AX56" s="17"/>
      <c r="AY56" s="17"/>
      <c r="AZ56" s="17"/>
      <c r="BA56" s="17"/>
      <c r="BB56" s="17"/>
      <c r="BC56" s="17"/>
      <c r="BD56" s="17"/>
      <c r="BE56" s="17"/>
      <c r="BF56" s="17"/>
      <c r="BG56" s="17"/>
      <c r="BH56" s="17"/>
      <c r="BI56" s="17"/>
      <c r="BJ56" s="17"/>
      <c r="BK56" s="17"/>
      <c r="BL56" s="17"/>
      <c r="BM56" s="17"/>
    </row>
    <row r="57" spans="1:65" x14ac:dyDescent="0.25">
      <c r="A57" s="17"/>
      <c r="B57" s="17"/>
      <c r="C57" s="17"/>
      <c r="D57" s="178"/>
      <c r="E57" s="17"/>
      <c r="F57" s="7"/>
      <c r="G57" s="17"/>
      <c r="H57" s="17"/>
      <c r="I57" s="17"/>
      <c r="J57" s="17"/>
      <c r="K57" s="17"/>
      <c r="L57" s="178"/>
      <c r="M57" s="17"/>
      <c r="N57" s="7"/>
      <c r="O57" s="17"/>
      <c r="P57" s="7"/>
      <c r="Q57" s="17"/>
      <c r="R57" s="17"/>
      <c r="S57" s="146"/>
      <c r="T57" s="7"/>
      <c r="U57" s="17"/>
      <c r="V57" s="7"/>
      <c r="W57" s="17"/>
      <c r="X57" s="7"/>
      <c r="Y57" s="7"/>
      <c r="Z57" s="17"/>
      <c r="AA57" s="17"/>
      <c r="AB57" s="105"/>
      <c r="AD57" s="7"/>
      <c r="AE57" s="7"/>
      <c r="AF57" s="7"/>
      <c r="AG57" s="7"/>
      <c r="AH57" s="7"/>
      <c r="AI57" s="119"/>
      <c r="AJ57" s="7"/>
      <c r="AK57" s="7"/>
      <c r="AL57" s="7"/>
      <c r="AM57" s="7"/>
      <c r="AN57" s="7"/>
      <c r="AO57" s="7"/>
      <c r="AP57" s="7"/>
      <c r="AQ57" s="7"/>
    </row>
    <row r="58" spans="1:65" x14ac:dyDescent="0.25">
      <c r="A58" s="17" t="s">
        <v>236</v>
      </c>
      <c r="B58" s="3">
        <f>C58</f>
        <v>-97</v>
      </c>
      <c r="C58" s="3">
        <v>-97</v>
      </c>
      <c r="D58" s="107">
        <f>E58+G58+I58+K58</f>
        <v>-288.44881456999997</v>
      </c>
      <c r="E58" s="3">
        <v>-76.165852629999961</v>
      </c>
      <c r="F58" s="3">
        <f>K58+I58+G58</f>
        <v>-212.28296194000004</v>
      </c>
      <c r="G58" s="3">
        <v>-69.895308470000032</v>
      </c>
      <c r="H58" s="3">
        <f>K58+I58</f>
        <v>-142.38765347</v>
      </c>
      <c r="I58" s="3">
        <v>-69.012582070000008</v>
      </c>
      <c r="J58" s="3">
        <f>K58</f>
        <v>-73.375071399999996</v>
      </c>
      <c r="K58" s="3">
        <v>-73.375071399999996</v>
      </c>
      <c r="L58" s="107">
        <f>M58+O58+Q58+S58</f>
        <v>-449.58297359000005</v>
      </c>
      <c r="M58" s="3">
        <v>-74.768395439999978</v>
      </c>
      <c r="N58" s="3">
        <f>S58+Q58+O58</f>
        <v>-374.81457815000005</v>
      </c>
      <c r="O58" s="3">
        <v>-77.38908717999999</v>
      </c>
      <c r="P58" s="3">
        <f>S58+Q58</f>
        <v>-297.42549097000006</v>
      </c>
      <c r="Q58" s="3">
        <v>-130.26590133000008</v>
      </c>
      <c r="R58" s="3">
        <f>S58</f>
        <v>-167.15958964000001</v>
      </c>
      <c r="S58" s="3">
        <v>-167.15958964000001</v>
      </c>
      <c r="T58" s="3">
        <f>U58+W58+Y58+AA58</f>
        <v>-557.73891800000001</v>
      </c>
      <c r="U58" s="3">
        <v>-158.71615944999996</v>
      </c>
      <c r="V58" s="3">
        <f>AA58+Y58+W58</f>
        <v>-399.02275854999999</v>
      </c>
      <c r="W58" s="3">
        <v>-144.55375084000002</v>
      </c>
      <c r="X58" s="3">
        <f>AA58+Y58</f>
        <v>-254.46900770999997</v>
      </c>
      <c r="Y58" s="3">
        <v>-130.63674572999997</v>
      </c>
      <c r="Z58" s="3">
        <f>AA58</f>
        <v>-123.83226198000001</v>
      </c>
      <c r="AA58" s="3">
        <v>-123.83226198000001</v>
      </c>
      <c r="AB58" s="107">
        <f>AC58+AE58+AG58+AI58</f>
        <v>-431.59350021</v>
      </c>
      <c r="AC58" s="3">
        <v>-115.79510139000001</v>
      </c>
      <c r="AD58" s="3">
        <v>-315.79839881999999</v>
      </c>
      <c r="AE58" s="3">
        <v>-108.54803304000002</v>
      </c>
      <c r="AF58" s="3">
        <v>-207.25036578000001</v>
      </c>
      <c r="AG58" s="3">
        <v>-104.81928934</v>
      </c>
      <c r="AH58" s="3">
        <v>-102.43107644</v>
      </c>
      <c r="AI58" s="108">
        <v>-102.43107644</v>
      </c>
      <c r="AJ58" s="3">
        <v>-410.06361751000003</v>
      </c>
      <c r="AK58" s="3">
        <v>-103.19994462000001</v>
      </c>
      <c r="AL58" s="3">
        <v>-306.86367288999998</v>
      </c>
      <c r="AM58" s="3">
        <v>-103.96653587</v>
      </c>
      <c r="AN58" s="3">
        <v>-202.89713701999997</v>
      </c>
      <c r="AO58" s="3">
        <v>-101.70810210999998</v>
      </c>
      <c r="AP58" s="3">
        <v>-101.18903490999999</v>
      </c>
      <c r="AQ58" s="3">
        <v>-101.18903490999999</v>
      </c>
    </row>
    <row r="59" spans="1:65" x14ac:dyDescent="0.25">
      <c r="A59" s="21" t="s">
        <v>224</v>
      </c>
      <c r="B59" s="20">
        <f>C59</f>
        <v>186</v>
      </c>
      <c r="C59" s="20">
        <v>186</v>
      </c>
      <c r="D59" s="114">
        <f>K59+I59+G59+E59</f>
        <v>288.07097712391663</v>
      </c>
      <c r="E59" s="4">
        <v>123.30967825716051</v>
      </c>
      <c r="F59" s="4">
        <f>G59+I59+K59</f>
        <v>164.76129886675614</v>
      </c>
      <c r="G59" s="4">
        <v>59.114400216903988</v>
      </c>
      <c r="H59" s="4">
        <f>K59+I59</f>
        <v>105.64689864985215</v>
      </c>
      <c r="I59" s="20">
        <v>40.181747884305473</v>
      </c>
      <c r="J59" s="20">
        <f>K59</f>
        <v>65.465150765546667</v>
      </c>
      <c r="K59" s="20">
        <v>65.465150765546667</v>
      </c>
      <c r="L59" s="114">
        <v>391.87896216087643</v>
      </c>
      <c r="M59" s="4">
        <v>56.604321280077272</v>
      </c>
      <c r="N59" s="4">
        <v>571.81335287034483</v>
      </c>
      <c r="O59" s="4">
        <v>41.798269827979773</v>
      </c>
      <c r="P59" s="4">
        <f>S59+Q59</f>
        <v>293.47637105281945</v>
      </c>
      <c r="Q59" s="20">
        <v>69.487645901444381</v>
      </c>
      <c r="R59" s="20">
        <v>223.98872515137506</v>
      </c>
      <c r="S59" s="20">
        <v>223.98872515137506</v>
      </c>
      <c r="T59" s="4">
        <v>820.7280503060947</v>
      </c>
      <c r="U59" s="4">
        <v>248.91469743574982</v>
      </c>
      <c r="V59" s="4">
        <v>571.81335287034483</v>
      </c>
      <c r="W59" s="4">
        <v>220.72026803286769</v>
      </c>
      <c r="X59" s="4">
        <v>351.09308483747714</v>
      </c>
      <c r="Y59" s="4">
        <v>188.81211040233427</v>
      </c>
      <c r="Z59" s="20">
        <v>162.28097443514287</v>
      </c>
      <c r="AA59" s="20">
        <v>162.28097443514287</v>
      </c>
      <c r="AB59" s="114">
        <v>537.76215186383138</v>
      </c>
      <c r="AC59" s="4">
        <v>152.63869985733956</v>
      </c>
      <c r="AD59" s="4">
        <v>385.12345200649179</v>
      </c>
      <c r="AE59" s="4">
        <v>137.56166379097968</v>
      </c>
      <c r="AF59" s="4">
        <v>247.56178821551211</v>
      </c>
      <c r="AG59" s="4">
        <v>132.77615395379539</v>
      </c>
      <c r="AH59" s="4">
        <v>114.78563426171672</v>
      </c>
      <c r="AI59" s="115">
        <v>114.78563426171672</v>
      </c>
      <c r="AJ59" s="4">
        <v>456.58318109438522</v>
      </c>
      <c r="AK59" s="4">
        <v>101.68972335727926</v>
      </c>
      <c r="AL59" s="4">
        <v>354.89345773710596</v>
      </c>
      <c r="AM59" s="4">
        <v>107.96424872960476</v>
      </c>
      <c r="AN59" s="4">
        <v>246.92920900750121</v>
      </c>
      <c r="AO59" s="4">
        <v>116.88082686011735</v>
      </c>
      <c r="AP59" s="4">
        <v>130.04838214738388</v>
      </c>
      <c r="AQ59" s="4">
        <v>130.04838214738388</v>
      </c>
    </row>
    <row r="60" spans="1:65" x14ac:dyDescent="0.25">
      <c r="A60" s="17" t="s">
        <v>237</v>
      </c>
      <c r="B60" s="53">
        <f t="shared" ref="B60:C60" si="101">SUM(B58:B59)</f>
        <v>89</v>
      </c>
      <c r="C60" s="53">
        <f t="shared" si="101"/>
        <v>89</v>
      </c>
      <c r="D60" s="107">
        <f>SUM(D58:D59)</f>
        <v>-0.37783744608333336</v>
      </c>
      <c r="E60" s="3">
        <f>SUM(E58:E59)</f>
        <v>47.143825627160552</v>
      </c>
      <c r="F60" s="3">
        <f t="shared" ref="F60:K60" si="102">SUM(F58:F59)</f>
        <v>-47.5216630732439</v>
      </c>
      <c r="G60" s="3">
        <f t="shared" si="102"/>
        <v>-10.780908253096044</v>
      </c>
      <c r="H60" s="3">
        <f t="shared" si="102"/>
        <v>-36.740754820147856</v>
      </c>
      <c r="I60" s="53">
        <f t="shared" si="102"/>
        <v>-28.830834185694535</v>
      </c>
      <c r="J60" s="53">
        <f t="shared" si="102"/>
        <v>-7.9099206344533286</v>
      </c>
      <c r="K60" s="53">
        <f t="shared" si="102"/>
        <v>-7.9099206344533286</v>
      </c>
      <c r="L60" s="107">
        <f>SUM(L58:L59)</f>
        <v>-57.704011429123625</v>
      </c>
      <c r="M60" s="3">
        <f>SUM(M58:M59)</f>
        <v>-18.164074159922706</v>
      </c>
      <c r="N60" s="3">
        <f t="shared" ref="N60:O60" si="103">SUM(N58:N59)</f>
        <v>196.99877472034478</v>
      </c>
      <c r="O60" s="3">
        <f t="shared" si="103"/>
        <v>-35.590817352020217</v>
      </c>
      <c r="P60" s="3">
        <f t="shared" ref="P60:Q60" si="104">SUM(P58:P59)</f>
        <v>-3.9491199171806102</v>
      </c>
      <c r="Q60" s="3">
        <f t="shared" si="104"/>
        <v>-60.778255428555696</v>
      </c>
      <c r="R60" s="3">
        <f t="shared" ref="R60:S60" si="105">SUM(R58:R59)</f>
        <v>56.829135511375057</v>
      </c>
      <c r="S60" s="108">
        <f t="shared" si="105"/>
        <v>56.829135511375057</v>
      </c>
      <c r="T60" s="3">
        <f>SUM(T58:T59)</f>
        <v>262.98913230609469</v>
      </c>
      <c r="U60" s="3">
        <f>SUM(U58:U59)</f>
        <v>90.198537985749851</v>
      </c>
      <c r="V60" s="3">
        <f t="shared" ref="V60:W60" si="106">SUM(V58:V59)</f>
        <v>172.79059432034484</v>
      </c>
      <c r="W60" s="3">
        <f t="shared" si="106"/>
        <v>76.166517192867673</v>
      </c>
      <c r="X60" s="3">
        <f t="shared" ref="X60:Y60" si="107">SUM(X58:X59)</f>
        <v>96.624077127477165</v>
      </c>
      <c r="Y60" s="3">
        <f t="shared" si="107"/>
        <v>58.175364672334297</v>
      </c>
      <c r="Z60" s="3">
        <f t="shared" ref="Z60:AA60" si="108">SUM(Z58:Z59)</f>
        <v>38.448712455142854</v>
      </c>
      <c r="AA60" s="108">
        <f t="shared" si="108"/>
        <v>38.448712455142854</v>
      </c>
      <c r="AB60" s="107">
        <f>SUM(AB58:AB59)</f>
        <v>106.16865165383138</v>
      </c>
      <c r="AC60" s="3">
        <f>SUM(AC58:AC59)</f>
        <v>36.843598467339547</v>
      </c>
      <c r="AD60" s="3">
        <f>SUM(AD58:AD59)</f>
        <v>69.3250531864918</v>
      </c>
      <c r="AE60" s="3">
        <f t="shared" ref="AE60:AQ60" si="109">SUM(AE58:AE59)</f>
        <v>29.013630750979658</v>
      </c>
      <c r="AF60" s="3">
        <f t="shared" si="109"/>
        <v>40.3114224355121</v>
      </c>
      <c r="AG60" s="3">
        <f t="shared" si="109"/>
        <v>27.956864613795389</v>
      </c>
      <c r="AH60" s="3">
        <f t="shared" si="109"/>
        <v>12.354557821716725</v>
      </c>
      <c r="AI60" s="108">
        <f t="shared" si="109"/>
        <v>12.354557821716725</v>
      </c>
      <c r="AJ60" s="3">
        <f t="shared" si="109"/>
        <v>46.519563584385196</v>
      </c>
      <c r="AK60" s="3">
        <f t="shared" si="109"/>
        <v>-1.5102212627207479</v>
      </c>
      <c r="AL60" s="3">
        <f t="shared" si="109"/>
        <v>48.029784847105987</v>
      </c>
      <c r="AM60" s="3">
        <f t="shared" si="109"/>
        <v>3.9977128596047606</v>
      </c>
      <c r="AN60" s="3">
        <f t="shared" si="109"/>
        <v>44.03207198750124</v>
      </c>
      <c r="AO60" s="3">
        <f t="shared" si="109"/>
        <v>15.172724750117368</v>
      </c>
      <c r="AP60" s="3">
        <f t="shared" si="109"/>
        <v>28.859347237383886</v>
      </c>
      <c r="AQ60" s="3">
        <f t="shared" si="109"/>
        <v>28.859347237383886</v>
      </c>
    </row>
    <row r="61" spans="1:65" x14ac:dyDescent="0.25">
      <c r="A61" s="17" t="s">
        <v>238</v>
      </c>
      <c r="B61" s="3">
        <f>C61</f>
        <v>64385</v>
      </c>
      <c r="C61" s="3">
        <v>64385</v>
      </c>
      <c r="D61" s="107">
        <v>61238.784147461665</v>
      </c>
      <c r="E61" s="3">
        <v>62869.274478679967</v>
      </c>
      <c r="F61" s="3">
        <v>60695.287370388869</v>
      </c>
      <c r="G61" s="3">
        <v>62708.929851516637</v>
      </c>
      <c r="H61" s="3">
        <v>59688.466129824992</v>
      </c>
      <c r="I61" s="3">
        <v>60712.827614886635</v>
      </c>
      <c r="J61" s="3">
        <f>K61</f>
        <v>58664.104644763342</v>
      </c>
      <c r="K61" s="3">
        <v>58664.104644763342</v>
      </c>
      <c r="L61" s="107">
        <v>57400.505588057502</v>
      </c>
      <c r="M61" s="3">
        <v>58927.411952416682</v>
      </c>
      <c r="N61" s="3">
        <v>52317.339730555555</v>
      </c>
      <c r="O61" s="3">
        <v>59205.337312103329</v>
      </c>
      <c r="P61" s="3">
        <v>55734.636543855013</v>
      </c>
      <c r="Q61" s="3">
        <v>57262.921577896697</v>
      </c>
      <c r="R61" s="3">
        <f>S61</f>
        <v>54206.351509813328</v>
      </c>
      <c r="S61" s="3">
        <v>54206.351509813328</v>
      </c>
      <c r="T61" s="3">
        <v>52682.99478709916</v>
      </c>
      <c r="U61" s="3">
        <v>53779.959956730003</v>
      </c>
      <c r="V61" s="3">
        <v>52317.339730555555</v>
      </c>
      <c r="W61" s="3">
        <v>53957.310885373328</v>
      </c>
      <c r="X61" s="3">
        <v>51497.354153146676</v>
      </c>
      <c r="Y61" s="3">
        <v>51955.536402453348</v>
      </c>
      <c r="Z61" s="3">
        <f>AA61</f>
        <v>51039.171903840004</v>
      </c>
      <c r="AA61" s="3">
        <v>51039.171903840004</v>
      </c>
      <c r="AB61" s="107">
        <v>50373.767924432505</v>
      </c>
      <c r="AC61" s="3">
        <v>50997.451730293331</v>
      </c>
      <c r="AD61" s="3">
        <v>50165.873322478881</v>
      </c>
      <c r="AE61" s="3">
        <v>51717.487142050013</v>
      </c>
      <c r="AF61" s="3">
        <v>49390.066412693319</v>
      </c>
      <c r="AG61" s="3">
        <v>49682.942702313332</v>
      </c>
      <c r="AH61" s="3">
        <v>49097.190123073327</v>
      </c>
      <c r="AI61" s="108">
        <v>49097.190123073327</v>
      </c>
      <c r="AJ61" s="3">
        <v>48918.760810665008</v>
      </c>
      <c r="AK61" s="3">
        <v>49361.16541810667</v>
      </c>
      <c r="AL61" s="3">
        <v>48771.292608184449</v>
      </c>
      <c r="AM61" s="3">
        <v>49993.217074003333</v>
      </c>
      <c r="AN61" s="3">
        <v>48160.330375275</v>
      </c>
      <c r="AO61" s="3">
        <v>48277.598898846678</v>
      </c>
      <c r="AP61" s="3">
        <v>48043.061851703329</v>
      </c>
      <c r="AQ61" s="3">
        <v>48043.061851703329</v>
      </c>
    </row>
    <row r="62" spans="1:65" ht="15.75" thickBot="1" x14ac:dyDescent="0.3">
      <c r="A62" s="47" t="s">
        <v>239</v>
      </c>
      <c r="B62" s="57">
        <f>(B60/90*365)/B61</f>
        <v>5.6060331512688428E-3</v>
      </c>
      <c r="C62" s="57">
        <f>(C60/90*365)/C61</f>
        <v>5.6060331512688428E-3</v>
      </c>
      <c r="D62" s="124">
        <f>(D60/365*365)/D61</f>
        <v>-6.1699044379050538E-6</v>
      </c>
      <c r="E62" s="57">
        <f>(E60/92*365)/E61</f>
        <v>2.9750304166515354E-3</v>
      </c>
      <c r="F62" s="57">
        <f>(F60/273*365)/F61</f>
        <v>-1.0468076222981742E-3</v>
      </c>
      <c r="G62" s="57">
        <f>(G60/92*365)/G61</f>
        <v>-6.8207321919831006E-4</v>
      </c>
      <c r="H62" s="57">
        <f>(H60/181*365)/H61</f>
        <v>-1.2412862522923609E-3</v>
      </c>
      <c r="I62" s="57">
        <f>(I60/91*365)/I61</f>
        <v>-1.904707186922594E-3</v>
      </c>
      <c r="J62" s="57">
        <f>(J60/90*365)/J61</f>
        <v>-5.4682710606961029E-4</v>
      </c>
      <c r="K62" s="57">
        <f>(K60/90*365)/K61</f>
        <v>-5.4682710606961029E-4</v>
      </c>
      <c r="L62" s="124">
        <f>(L60/366*366)/L61</f>
        <v>-1.0052875116335085E-3</v>
      </c>
      <c r="M62" s="57">
        <f>(M60/92*366)/M61</f>
        <v>-1.2262786209014506E-3</v>
      </c>
      <c r="N62" s="57">
        <f>(N60/273*366)/N61</f>
        <v>5.0481971902142601E-3</v>
      </c>
      <c r="O62" s="57">
        <f>(O60/92*366)/O61</f>
        <v>-2.391499861591696E-3</v>
      </c>
      <c r="P62" s="57">
        <f>(P60/182*366)/P61</f>
        <v>-1.4249015063154009E-4</v>
      </c>
      <c r="Q62" s="57">
        <f>(Q60/91*366)/Q61</f>
        <v>-4.2688846606487828E-3</v>
      </c>
      <c r="R62" s="57">
        <f>(R60/91*366)/R61</f>
        <v>4.2165821470825701E-3</v>
      </c>
      <c r="S62" s="125">
        <f>(S60/91*366)/S61</f>
        <v>4.2165821470825701E-3</v>
      </c>
      <c r="T62" s="57">
        <f>(T60/365*365)/T61</f>
        <v>4.9919169054241886E-3</v>
      </c>
      <c r="U62" s="57">
        <f>(U60/92*365)/U61</f>
        <v>6.6540193699934028E-3</v>
      </c>
      <c r="V62" s="57">
        <f>(V60/273*365)/V61</f>
        <v>4.4157518876823815E-3</v>
      </c>
      <c r="W62" s="57">
        <f>(W60/92*365)/W61</f>
        <v>5.6003972962143595E-3</v>
      </c>
      <c r="X62" s="57">
        <f>(X60/181*365)/X61</f>
        <v>3.7836828998298196E-3</v>
      </c>
      <c r="Y62" s="57">
        <f>(Y60/91*365)/Y61</f>
        <v>4.4911623393420067E-3</v>
      </c>
      <c r="Z62" s="57">
        <f>(Z60/90*365)/Z61</f>
        <v>3.0551218521960581E-3</v>
      </c>
      <c r="AA62" s="125">
        <f>(AA60/90*365)/AA61</f>
        <v>3.0551218521960581E-3</v>
      </c>
      <c r="AB62" s="124">
        <f>(AB60/365*365)/AB61</f>
        <v>2.1076178342088439E-3</v>
      </c>
      <c r="AC62" s="57">
        <f>(AC60/92*365)/AC61</f>
        <v>2.8662799261669116E-3</v>
      </c>
      <c r="AD62" s="57">
        <f>(AD60/273*365)/AD61</f>
        <v>1.8476174345973839E-3</v>
      </c>
      <c r="AE62" s="57">
        <f>(AE60/92*365)/AE61</f>
        <v>2.2257157628875596E-3</v>
      </c>
      <c r="AF62" s="57">
        <f>(AF60/181*365)/AF61</f>
        <v>1.6458975639962459E-3</v>
      </c>
      <c r="AG62" s="57">
        <f>(AG60/91*365)/AG61</f>
        <v>2.2570055364780086E-3</v>
      </c>
      <c r="AH62" s="57">
        <f>(AH60/90*365)/AH61</f>
        <v>1.02051859759585E-3</v>
      </c>
      <c r="AI62" s="125">
        <f>(AI60/90*365)/AI61</f>
        <v>1.02051859759585E-3</v>
      </c>
      <c r="AJ62" s="57">
        <f>(AJ60/365*365)/AJ61</f>
        <v>9.5095547829664661E-4</v>
      </c>
      <c r="AK62" s="57">
        <f>(AK60/92*365)/AK61</f>
        <v>-1.2138365564524606E-4</v>
      </c>
      <c r="AL62" s="57">
        <f>(AL60/273*365)/AL61</f>
        <v>1.3166689454633539E-3</v>
      </c>
      <c r="AM62" s="57">
        <f>(AM60/92*365)/AM61</f>
        <v>3.1725286278331795E-4</v>
      </c>
      <c r="AN62" s="57">
        <f>(AN60/181*365)/AN61</f>
        <v>1.843715701926486E-3</v>
      </c>
      <c r="AO62" s="57">
        <f>(AO60/91*365)/AO61</f>
        <v>1.260577030083731E-3</v>
      </c>
      <c r="AP62" s="57">
        <f>(AP60/90*365)/AP61</f>
        <v>2.4361620909914908E-3</v>
      </c>
      <c r="AQ62" s="57">
        <f>(AQ60/90*365)/AQ61</f>
        <v>2.4361620909914908E-3</v>
      </c>
    </row>
    <row r="63" spans="1:65" x14ac:dyDescent="0.25">
      <c r="B63" s="17"/>
      <c r="C63" s="17"/>
      <c r="D63" s="129"/>
      <c r="F63" s="60"/>
      <c r="H63" s="17"/>
      <c r="I63" s="17"/>
      <c r="J63" s="17"/>
      <c r="K63" s="17"/>
      <c r="L63" s="60"/>
      <c r="N63" s="60"/>
      <c r="P63" s="60"/>
      <c r="R63" s="17"/>
      <c r="S63" s="146"/>
      <c r="T63" s="60"/>
      <c r="V63" s="60"/>
      <c r="X63" s="60"/>
      <c r="Y63" s="60"/>
      <c r="Z63" s="17"/>
      <c r="AA63" s="17"/>
      <c r="AB63" s="105"/>
      <c r="AD63" s="7"/>
      <c r="AE63" s="60"/>
      <c r="AF63" s="60"/>
      <c r="AG63" s="60"/>
      <c r="AH63" s="60"/>
      <c r="AI63" s="128"/>
      <c r="AJ63" s="60"/>
      <c r="AK63" s="60"/>
      <c r="AL63" s="60"/>
      <c r="AM63" s="60"/>
      <c r="AN63" s="60"/>
      <c r="AO63" s="60"/>
      <c r="AP63" s="60"/>
      <c r="AQ63" s="60"/>
      <c r="AR63" s="60"/>
      <c r="AS63" s="60"/>
      <c r="AT63" s="60"/>
      <c r="AU63" s="60"/>
      <c r="AV63" s="60"/>
      <c r="AW63" s="60"/>
      <c r="AX63" s="60"/>
      <c r="AY63" s="60"/>
      <c r="AZ63" s="60"/>
      <c r="BA63" s="60"/>
      <c r="BB63" s="60"/>
      <c r="BC63" s="60"/>
      <c r="BD63" s="60"/>
      <c r="BE63" s="60"/>
    </row>
    <row r="64" spans="1:65" x14ac:dyDescent="0.25">
      <c r="B64" s="17"/>
      <c r="C64" s="17"/>
      <c r="D64" s="129"/>
      <c r="F64" s="60"/>
      <c r="H64" s="17"/>
      <c r="I64" s="17"/>
      <c r="J64" s="17"/>
      <c r="K64" s="17"/>
      <c r="L64" s="60"/>
      <c r="N64" s="60"/>
      <c r="P64" s="60"/>
      <c r="R64" s="17"/>
      <c r="S64" s="146"/>
      <c r="T64" s="60"/>
      <c r="V64" s="60"/>
      <c r="X64" s="60"/>
      <c r="Y64" s="60"/>
      <c r="Z64" s="17"/>
      <c r="AA64" s="17"/>
      <c r="AB64" s="105"/>
      <c r="AD64" s="7"/>
      <c r="AE64" s="60"/>
      <c r="AF64" s="60"/>
      <c r="AG64" s="60"/>
      <c r="AH64" s="60"/>
      <c r="AI64" s="128"/>
      <c r="AJ64" s="60"/>
      <c r="AK64" s="60"/>
      <c r="AL64" s="60"/>
      <c r="AM64" s="60"/>
      <c r="AN64" s="60"/>
      <c r="AO64" s="60"/>
      <c r="AP64" s="60"/>
      <c r="AQ64" s="60"/>
      <c r="AR64" s="60"/>
      <c r="AS64" s="60"/>
      <c r="AT64" s="60"/>
      <c r="AU64" s="60"/>
      <c r="AV64" s="60"/>
      <c r="AW64" s="60"/>
      <c r="AX64" s="60"/>
      <c r="AY64" s="60"/>
      <c r="AZ64" s="60"/>
      <c r="BA64" s="60"/>
      <c r="BB64" s="60"/>
      <c r="BC64" s="60"/>
      <c r="BD64" s="60"/>
      <c r="BE64" s="60"/>
    </row>
    <row r="65" spans="1:57" x14ac:dyDescent="0.25">
      <c r="A65" s="17" t="s">
        <v>240</v>
      </c>
      <c r="B65" s="60">
        <v>233581</v>
      </c>
      <c r="C65" s="60"/>
      <c r="D65" s="129">
        <v>230299</v>
      </c>
      <c r="E65" s="17"/>
      <c r="F65" s="60">
        <v>226952</v>
      </c>
      <c r="G65" s="17"/>
      <c r="H65" s="60">
        <v>225791</v>
      </c>
      <c r="I65" s="60"/>
      <c r="J65" s="60">
        <v>221291</v>
      </c>
      <c r="K65" s="60"/>
      <c r="L65" s="60">
        <v>219181</v>
      </c>
      <c r="M65" s="17"/>
      <c r="N65" s="60">
        <v>216795</v>
      </c>
      <c r="O65" s="17"/>
      <c r="P65" s="60">
        <v>214432</v>
      </c>
      <c r="Q65" s="17"/>
      <c r="R65" s="60">
        <v>212161</v>
      </c>
      <c r="S65" s="128"/>
      <c r="T65" s="60">
        <v>207114</v>
      </c>
      <c r="U65" s="17"/>
      <c r="V65" s="60">
        <v>203575</v>
      </c>
      <c r="W65" s="17"/>
      <c r="X65" s="60">
        <v>198626</v>
      </c>
      <c r="Y65" s="60"/>
      <c r="Z65" s="60">
        <v>196468</v>
      </c>
      <c r="AA65" s="60"/>
      <c r="AB65" s="129">
        <v>192105</v>
      </c>
      <c r="AC65" s="60"/>
      <c r="AD65" s="60">
        <v>183014</v>
      </c>
      <c r="AE65" s="60"/>
      <c r="AF65" s="60">
        <v>178927</v>
      </c>
      <c r="AG65" s="60"/>
      <c r="AH65" s="60">
        <v>174292</v>
      </c>
      <c r="AI65" s="128"/>
      <c r="AJ65" s="60">
        <v>172554</v>
      </c>
      <c r="AK65" s="60"/>
      <c r="AL65" s="60">
        <v>167105</v>
      </c>
      <c r="AM65" s="60"/>
      <c r="AN65" s="60">
        <v>164958</v>
      </c>
      <c r="AO65" s="60"/>
      <c r="AP65" s="60">
        <v>159843</v>
      </c>
      <c r="AQ65" s="60"/>
      <c r="AR65" s="60"/>
      <c r="AS65" s="60"/>
      <c r="AT65" s="60"/>
      <c r="AU65" s="60"/>
      <c r="AV65" s="60"/>
      <c r="AW65" s="60"/>
      <c r="AX65" s="60"/>
      <c r="AY65" s="60"/>
      <c r="AZ65" s="60"/>
      <c r="BA65" s="60"/>
      <c r="BB65" s="60"/>
      <c r="BC65" s="60"/>
      <c r="BD65" s="60"/>
      <c r="BE65" s="60"/>
    </row>
    <row r="66" spans="1:57" x14ac:dyDescent="0.25">
      <c r="A66" s="21" t="s">
        <v>241</v>
      </c>
      <c r="B66" s="92">
        <v>0</v>
      </c>
      <c r="C66" s="10"/>
      <c r="D66" s="109">
        <v>0</v>
      </c>
      <c r="E66" s="21"/>
      <c r="F66" s="61">
        <v>0</v>
      </c>
      <c r="G66" s="21"/>
      <c r="H66" s="92">
        <v>0</v>
      </c>
      <c r="I66" s="92"/>
      <c r="J66" s="92">
        <v>0</v>
      </c>
      <c r="K66" s="10"/>
      <c r="L66" s="61">
        <v>0</v>
      </c>
      <c r="M66" s="21"/>
      <c r="N66" s="61">
        <v>3390</v>
      </c>
      <c r="O66" s="21"/>
      <c r="P66" s="61">
        <v>4198</v>
      </c>
      <c r="Q66" s="21"/>
      <c r="R66" s="92">
        <v>4193</v>
      </c>
      <c r="S66" s="160"/>
      <c r="T66" s="61">
        <v>4243</v>
      </c>
      <c r="U66" s="21"/>
      <c r="V66" s="61">
        <v>6279</v>
      </c>
      <c r="W66" s="21"/>
      <c r="X66" s="61">
        <v>8887</v>
      </c>
      <c r="Y66" s="73"/>
      <c r="Z66" s="92">
        <v>8938</v>
      </c>
      <c r="AA66" s="10"/>
      <c r="AB66" s="121">
        <v>9294</v>
      </c>
      <c r="AC66" s="10"/>
      <c r="AD66" s="4">
        <v>13431</v>
      </c>
      <c r="AE66" s="73"/>
      <c r="AF66" s="61">
        <v>14547</v>
      </c>
      <c r="AG66" s="73"/>
      <c r="AH66" s="61">
        <v>14632</v>
      </c>
      <c r="AI66" s="130"/>
      <c r="AJ66" s="61">
        <v>14583</v>
      </c>
      <c r="AK66" s="73"/>
      <c r="AL66" s="61">
        <v>18045</v>
      </c>
      <c r="AM66" s="73"/>
      <c r="AN66" s="61">
        <v>19359</v>
      </c>
      <c r="AO66" s="73"/>
      <c r="AP66" s="61">
        <v>23339</v>
      </c>
      <c r="AQ66" s="73"/>
      <c r="AR66" s="60"/>
    </row>
    <row r="67" spans="1:57" ht="30" x14ac:dyDescent="0.25">
      <c r="A67" s="33" t="s">
        <v>242</v>
      </c>
      <c r="B67" s="60">
        <f>SUM(B65:B66)</f>
        <v>233581</v>
      </c>
      <c r="C67" s="33"/>
      <c r="D67" s="129">
        <f>SUM(D65:D66)</f>
        <v>230299</v>
      </c>
      <c r="E67" s="62"/>
      <c r="F67" s="60">
        <f>SUM(F65:F66)</f>
        <v>226952</v>
      </c>
      <c r="G67" s="62"/>
      <c r="H67" s="60">
        <f>SUM(H65:H66)</f>
        <v>225791</v>
      </c>
      <c r="I67" s="60"/>
      <c r="J67" s="60">
        <f>SUM(J65:J66)</f>
        <v>221291</v>
      </c>
      <c r="K67" s="33"/>
      <c r="L67" s="60">
        <f>SUM(L65:L66)</f>
        <v>219181</v>
      </c>
      <c r="M67" s="62"/>
      <c r="N67" s="60">
        <f>SUM(N65:N66)</f>
        <v>220185</v>
      </c>
      <c r="O67" s="62"/>
      <c r="P67" s="60">
        <f>SUM(P65:P66)</f>
        <v>218630</v>
      </c>
      <c r="Q67" s="62"/>
      <c r="R67" s="60">
        <f>SUM(R65:R66)</f>
        <v>216354</v>
      </c>
      <c r="S67" s="133"/>
      <c r="T67" s="60">
        <f>SUM(T65:T66)</f>
        <v>211357</v>
      </c>
      <c r="U67" s="62"/>
      <c r="V67" s="60">
        <f>SUM(V65:V66)</f>
        <v>209854</v>
      </c>
      <c r="W67" s="62"/>
      <c r="X67" s="60">
        <f>SUM(X65:X66)</f>
        <v>207513</v>
      </c>
      <c r="Y67" s="13"/>
      <c r="Z67" s="60">
        <f>SUM(Z65:Z66)</f>
        <v>205406</v>
      </c>
      <c r="AA67" s="33"/>
      <c r="AB67" s="129">
        <f>SUM(AB65:AB66)</f>
        <v>201399</v>
      </c>
      <c r="AC67" s="33"/>
      <c r="AD67" s="60">
        <f>SUM(AD65:AD66)</f>
        <v>196445</v>
      </c>
      <c r="AE67" s="13"/>
      <c r="AF67" s="60">
        <f>SUM(AF65:AF66)</f>
        <v>193474</v>
      </c>
      <c r="AG67" s="13"/>
      <c r="AH67" s="60">
        <f>SUM(AH65:AH66)</f>
        <v>188924</v>
      </c>
      <c r="AI67" s="131"/>
      <c r="AJ67" s="60">
        <f>SUM(AJ65:AJ66)</f>
        <v>187137</v>
      </c>
      <c r="AK67" s="13"/>
      <c r="AL67" s="60">
        <f>SUM(AL65:AL66)</f>
        <v>185150</v>
      </c>
      <c r="AM67" s="13"/>
      <c r="AN67" s="60">
        <f>SUM(AN65:AN66)</f>
        <v>184317</v>
      </c>
      <c r="AO67" s="13"/>
      <c r="AP67" s="60">
        <f>SUM(AP65:AP66)</f>
        <v>183182</v>
      </c>
      <c r="AQ67" s="13"/>
    </row>
    <row r="68" spans="1:57" x14ac:dyDescent="0.25">
      <c r="A68" s="62"/>
      <c r="B68" s="33"/>
      <c r="C68" s="33"/>
      <c r="D68" s="129"/>
      <c r="E68" s="62"/>
      <c r="F68" s="60"/>
      <c r="G68" s="62"/>
      <c r="H68" s="33"/>
      <c r="I68" s="33"/>
      <c r="J68" s="33"/>
      <c r="K68" s="33"/>
      <c r="L68" s="60"/>
      <c r="M68" s="62"/>
      <c r="N68" s="60"/>
      <c r="O68" s="62"/>
      <c r="P68" s="60"/>
      <c r="Q68" s="62"/>
      <c r="R68" s="33"/>
      <c r="S68" s="133"/>
      <c r="T68" s="60"/>
      <c r="U68" s="62"/>
      <c r="V68" s="60"/>
      <c r="W68" s="62"/>
      <c r="X68" s="60"/>
      <c r="Y68" s="13"/>
      <c r="Z68" s="33"/>
      <c r="AA68" s="33"/>
      <c r="AB68" s="132"/>
      <c r="AC68" s="33"/>
      <c r="AD68" s="60"/>
      <c r="AE68" s="13"/>
      <c r="AF68" s="60"/>
      <c r="AG68" s="13"/>
      <c r="AH68" s="60"/>
      <c r="AI68" s="131"/>
      <c r="AJ68" s="60"/>
      <c r="AK68" s="13"/>
      <c r="AL68" s="60"/>
      <c r="AM68" s="13"/>
      <c r="AN68" s="60"/>
      <c r="AO68" s="13"/>
      <c r="AP68" s="60"/>
      <c r="AQ68" s="13"/>
    </row>
    <row r="69" spans="1:57" x14ac:dyDescent="0.25">
      <c r="A69" s="17" t="s">
        <v>240</v>
      </c>
      <c r="B69" s="60">
        <f>B65</f>
        <v>233581</v>
      </c>
      <c r="C69" s="33"/>
      <c r="D69" s="129">
        <f>D65</f>
        <v>230299</v>
      </c>
      <c r="E69" s="17"/>
      <c r="F69" s="60">
        <f>F65</f>
        <v>226952</v>
      </c>
      <c r="G69" s="17"/>
      <c r="H69" s="60">
        <f>H65</f>
        <v>225791</v>
      </c>
      <c r="I69" s="60"/>
      <c r="J69" s="60">
        <f>J65</f>
        <v>221291</v>
      </c>
      <c r="K69" s="33"/>
      <c r="L69" s="60">
        <f>L65</f>
        <v>219181</v>
      </c>
      <c r="M69" s="17"/>
      <c r="N69" s="60">
        <f>N65</f>
        <v>216795</v>
      </c>
      <c r="O69" s="17"/>
      <c r="P69" s="60">
        <f>P65</f>
        <v>214432</v>
      </c>
      <c r="Q69" s="17"/>
      <c r="R69" s="129">
        <f>R65</f>
        <v>212161</v>
      </c>
      <c r="S69" s="133"/>
      <c r="T69" s="60">
        <f>T65</f>
        <v>207114</v>
      </c>
      <c r="U69" s="17"/>
      <c r="V69" s="60">
        <f>V65</f>
        <v>203575</v>
      </c>
      <c r="W69" s="17"/>
      <c r="X69" s="60">
        <f>X65</f>
        <v>198626</v>
      </c>
      <c r="Y69" s="33"/>
      <c r="Z69" s="129">
        <f>Z65</f>
        <v>196468</v>
      </c>
      <c r="AA69" s="33"/>
      <c r="AB69" s="129">
        <f>AB65</f>
        <v>192105</v>
      </c>
      <c r="AC69" s="33"/>
      <c r="AD69" s="60">
        <f>AD65</f>
        <v>183014</v>
      </c>
      <c r="AE69" s="33"/>
      <c r="AF69" s="60">
        <f>AF65</f>
        <v>178927</v>
      </c>
      <c r="AG69" s="33"/>
      <c r="AH69" s="60">
        <f>AH65</f>
        <v>174292</v>
      </c>
      <c r="AI69" s="133"/>
      <c r="AJ69" s="60">
        <f>AJ65</f>
        <v>172554</v>
      </c>
      <c r="AK69" s="33"/>
      <c r="AL69" s="60">
        <f>AL65</f>
        <v>167105</v>
      </c>
      <c r="AM69" s="33"/>
      <c r="AN69" s="60">
        <f>AN65</f>
        <v>164958</v>
      </c>
      <c r="AO69" s="33"/>
      <c r="AP69" s="60">
        <f>AP65</f>
        <v>159843</v>
      </c>
      <c r="AQ69" s="33"/>
    </row>
    <row r="70" spans="1:57" x14ac:dyDescent="0.25">
      <c r="A70" s="21" t="s">
        <v>243</v>
      </c>
      <c r="B70" s="61">
        <f>J65</f>
        <v>221291</v>
      </c>
      <c r="C70" s="34"/>
      <c r="D70" s="109">
        <f>L65</f>
        <v>219181</v>
      </c>
      <c r="E70" s="58"/>
      <c r="F70" s="61">
        <f>N65</f>
        <v>216795</v>
      </c>
      <c r="G70" s="58"/>
      <c r="H70" s="61">
        <f>P65</f>
        <v>214432</v>
      </c>
      <c r="I70" s="61"/>
      <c r="J70" s="61">
        <f>R65</f>
        <v>212161</v>
      </c>
      <c r="K70" s="34"/>
      <c r="L70" s="61">
        <f>T65</f>
        <v>207114</v>
      </c>
      <c r="M70" s="58"/>
      <c r="N70" s="61">
        <f>V65</f>
        <v>203575</v>
      </c>
      <c r="O70" s="58"/>
      <c r="P70" s="61">
        <f>X65</f>
        <v>198626</v>
      </c>
      <c r="Q70" s="58"/>
      <c r="R70" s="61">
        <f>Z65</f>
        <v>196468</v>
      </c>
      <c r="S70" s="134"/>
      <c r="T70" s="61">
        <f>AB65</f>
        <v>192105</v>
      </c>
      <c r="U70" s="58"/>
      <c r="V70" s="61">
        <f>AD65</f>
        <v>183014</v>
      </c>
      <c r="W70" s="58"/>
      <c r="X70" s="61">
        <f>AF65</f>
        <v>178927</v>
      </c>
      <c r="Y70" s="34"/>
      <c r="Z70" s="61">
        <f>AH65</f>
        <v>174292</v>
      </c>
      <c r="AA70" s="34"/>
      <c r="AB70" s="109">
        <f>AJ65</f>
        <v>172554</v>
      </c>
      <c r="AC70" s="34"/>
      <c r="AD70" s="61">
        <f>AL65</f>
        <v>167105</v>
      </c>
      <c r="AE70" s="34"/>
      <c r="AF70" s="61">
        <f>AN65</f>
        <v>164958</v>
      </c>
      <c r="AG70" s="34"/>
      <c r="AH70" s="61">
        <f>AP65</f>
        <v>159843</v>
      </c>
      <c r="AI70" s="134"/>
      <c r="AJ70" s="61">
        <v>157638</v>
      </c>
      <c r="AK70" s="34"/>
      <c r="AL70" s="61">
        <v>157352</v>
      </c>
      <c r="AM70" s="34"/>
      <c r="AN70" s="61">
        <v>156738</v>
      </c>
      <c r="AO70" s="34"/>
      <c r="AP70" s="61">
        <v>155172</v>
      </c>
      <c r="AQ70" s="34"/>
    </row>
    <row r="71" spans="1:57" x14ac:dyDescent="0.25">
      <c r="A71" s="62" t="s">
        <v>244</v>
      </c>
      <c r="B71" s="60">
        <f>B69-B70</f>
        <v>12290</v>
      </c>
      <c r="C71" s="33"/>
      <c r="D71" s="129">
        <f>D69-D70</f>
        <v>11118</v>
      </c>
      <c r="E71" s="62"/>
      <c r="F71" s="60">
        <f>F69-F70</f>
        <v>10157</v>
      </c>
      <c r="G71" s="62"/>
      <c r="H71" s="60">
        <f>H69-H70</f>
        <v>11359</v>
      </c>
      <c r="I71" s="60"/>
      <c r="J71" s="60">
        <f>J69-J70</f>
        <v>9130</v>
      </c>
      <c r="K71" s="33"/>
      <c r="L71" s="60">
        <f>L69-L70</f>
        <v>12067</v>
      </c>
      <c r="M71" s="62"/>
      <c r="N71" s="60">
        <f>N69-N70</f>
        <v>13220</v>
      </c>
      <c r="O71" s="62"/>
      <c r="P71" s="60">
        <f>P69-P70</f>
        <v>15806</v>
      </c>
      <c r="Q71" s="62"/>
      <c r="R71" s="60">
        <f>R69-R70</f>
        <v>15693</v>
      </c>
      <c r="S71" s="133"/>
      <c r="T71" s="60">
        <f>T69-T70</f>
        <v>15009</v>
      </c>
      <c r="U71" s="62"/>
      <c r="V71" s="60">
        <f>V69-V70</f>
        <v>20561</v>
      </c>
      <c r="W71" s="62"/>
      <c r="X71" s="60">
        <f>X69-X70</f>
        <v>19699</v>
      </c>
      <c r="Y71" s="33"/>
      <c r="Z71" s="60">
        <f>Z69-Z70</f>
        <v>22176</v>
      </c>
      <c r="AA71" s="33"/>
      <c r="AB71" s="129">
        <f>AB69-AB70</f>
        <v>19551</v>
      </c>
      <c r="AC71" s="33"/>
      <c r="AD71" s="60">
        <f>AD69-AD70</f>
        <v>15909</v>
      </c>
      <c r="AE71" s="33"/>
      <c r="AF71" s="60">
        <f>AF69-AF70</f>
        <v>13969</v>
      </c>
      <c r="AG71" s="33"/>
      <c r="AH71" s="60">
        <f>AH69-AH70</f>
        <v>14449</v>
      </c>
      <c r="AI71" s="133"/>
      <c r="AJ71" s="60">
        <f>AJ69-AJ70</f>
        <v>14916</v>
      </c>
      <c r="AK71" s="33"/>
      <c r="AL71" s="60">
        <f>AL69-AL70</f>
        <v>9753</v>
      </c>
      <c r="AM71" s="33"/>
      <c r="AN71" s="60">
        <f>AN69-AN70</f>
        <v>8220</v>
      </c>
      <c r="AO71" s="33"/>
      <c r="AP71" s="60">
        <f>AP69-AP70</f>
        <v>4671</v>
      </c>
      <c r="AQ71" s="33"/>
    </row>
    <row r="72" spans="1:57" x14ac:dyDescent="0.25">
      <c r="A72" s="62"/>
      <c r="B72" s="33"/>
      <c r="C72" s="33"/>
      <c r="D72" s="129"/>
      <c r="E72" s="62"/>
      <c r="F72" s="60"/>
      <c r="G72" s="62"/>
      <c r="H72" s="33"/>
      <c r="I72" s="33"/>
      <c r="J72" s="33"/>
      <c r="K72" s="33"/>
      <c r="L72" s="60"/>
      <c r="M72" s="62"/>
      <c r="N72" s="60"/>
      <c r="O72" s="62"/>
      <c r="P72" s="60"/>
      <c r="Q72" s="62"/>
      <c r="R72" s="33"/>
      <c r="S72" s="133"/>
      <c r="T72" s="60"/>
      <c r="U72" s="62"/>
      <c r="V72" s="60"/>
      <c r="W72" s="62"/>
      <c r="X72" s="60"/>
      <c r="Y72" s="13"/>
      <c r="Z72" s="33"/>
      <c r="AA72" s="33"/>
      <c r="AB72" s="132"/>
      <c r="AC72" s="33"/>
      <c r="AD72" s="60"/>
      <c r="AE72" s="13"/>
      <c r="AF72" s="60"/>
      <c r="AG72" s="13"/>
      <c r="AH72" s="60"/>
      <c r="AI72" s="131"/>
      <c r="AJ72" s="60"/>
      <c r="AK72" s="13"/>
      <c r="AL72" s="60"/>
      <c r="AM72" s="13"/>
      <c r="AN72" s="60"/>
      <c r="AO72" s="13"/>
      <c r="AP72" s="60"/>
      <c r="AQ72" s="13"/>
    </row>
    <row r="73" spans="1:57" ht="30" x14ac:dyDescent="0.25">
      <c r="A73" s="33" t="s">
        <v>242</v>
      </c>
      <c r="B73" s="60">
        <f>B67</f>
        <v>233581</v>
      </c>
      <c r="C73" s="33"/>
      <c r="D73" s="129">
        <f>D67</f>
        <v>230299</v>
      </c>
      <c r="E73" s="62"/>
      <c r="F73" s="60">
        <f>F67</f>
        <v>226952</v>
      </c>
      <c r="G73" s="62"/>
      <c r="H73" s="60">
        <f>H67</f>
        <v>225791</v>
      </c>
      <c r="I73" s="60"/>
      <c r="J73" s="60">
        <f>J67</f>
        <v>221291</v>
      </c>
      <c r="K73" s="33"/>
      <c r="L73" s="60">
        <f>L67</f>
        <v>219181</v>
      </c>
      <c r="M73" s="62"/>
      <c r="N73" s="60">
        <f>N67</f>
        <v>220185</v>
      </c>
      <c r="O73" s="62"/>
      <c r="P73" s="60">
        <f>P67</f>
        <v>218630</v>
      </c>
      <c r="Q73" s="62"/>
      <c r="R73" s="60">
        <f>R67</f>
        <v>216354</v>
      </c>
      <c r="S73" s="133"/>
      <c r="T73" s="60">
        <f>T67</f>
        <v>211357</v>
      </c>
      <c r="U73" s="62"/>
      <c r="V73" s="60">
        <f>V67</f>
        <v>209854</v>
      </c>
      <c r="W73" s="62"/>
      <c r="X73" s="60">
        <f>X67</f>
        <v>207513</v>
      </c>
      <c r="Y73" s="13"/>
      <c r="Z73" s="60">
        <f>Z67</f>
        <v>205406</v>
      </c>
      <c r="AA73" s="33"/>
      <c r="AB73" s="129">
        <f>AB67</f>
        <v>201399</v>
      </c>
      <c r="AC73" s="33"/>
      <c r="AD73" s="60">
        <f>AD67</f>
        <v>196445</v>
      </c>
      <c r="AE73" s="13"/>
      <c r="AF73" s="60">
        <f>AF67</f>
        <v>193474</v>
      </c>
      <c r="AG73" s="13"/>
      <c r="AH73" s="60">
        <f>AH67</f>
        <v>188924</v>
      </c>
      <c r="AI73" s="131"/>
      <c r="AJ73" s="60">
        <f>AJ67</f>
        <v>187137</v>
      </c>
      <c r="AK73" s="13"/>
      <c r="AL73" s="60">
        <f>AL67</f>
        <v>185150</v>
      </c>
      <c r="AM73" s="13"/>
      <c r="AN73" s="60">
        <f>AN67</f>
        <v>184317</v>
      </c>
      <c r="AO73" s="13"/>
      <c r="AP73" s="60">
        <f>AP67</f>
        <v>183182</v>
      </c>
      <c r="AQ73" s="13"/>
    </row>
    <row r="74" spans="1:57" ht="30" x14ac:dyDescent="0.25">
      <c r="A74" s="34" t="s">
        <v>245</v>
      </c>
      <c r="B74" s="61">
        <f>J67</f>
        <v>221291</v>
      </c>
      <c r="C74" s="34"/>
      <c r="D74" s="109">
        <f>L67</f>
        <v>219181</v>
      </c>
      <c r="E74" s="58"/>
      <c r="F74" s="61">
        <f>N67</f>
        <v>220185</v>
      </c>
      <c r="G74" s="58"/>
      <c r="H74" s="61">
        <f>P67</f>
        <v>218630</v>
      </c>
      <c r="I74" s="61"/>
      <c r="J74" s="61">
        <f>R67</f>
        <v>216354</v>
      </c>
      <c r="K74" s="34"/>
      <c r="L74" s="61">
        <f>T67</f>
        <v>211357</v>
      </c>
      <c r="M74" s="58"/>
      <c r="N74" s="61">
        <f>V67</f>
        <v>209854</v>
      </c>
      <c r="O74" s="58"/>
      <c r="P74" s="61">
        <f>X67</f>
        <v>207513</v>
      </c>
      <c r="Q74" s="58"/>
      <c r="R74" s="61">
        <f>Z67</f>
        <v>205406</v>
      </c>
      <c r="S74" s="134"/>
      <c r="T74" s="61">
        <f>AB67</f>
        <v>201399</v>
      </c>
      <c r="U74" s="58"/>
      <c r="V74" s="61">
        <f>AD67</f>
        <v>196445</v>
      </c>
      <c r="W74" s="58"/>
      <c r="X74" s="61">
        <f>AF67</f>
        <v>193474</v>
      </c>
      <c r="Y74" s="12"/>
      <c r="Z74" s="61">
        <f>AH67</f>
        <v>188924</v>
      </c>
      <c r="AA74" s="34"/>
      <c r="AB74" s="109">
        <f>AJ67</f>
        <v>187137</v>
      </c>
      <c r="AC74" s="34"/>
      <c r="AD74" s="61">
        <f>AL67</f>
        <v>185150</v>
      </c>
      <c r="AE74" s="12"/>
      <c r="AF74" s="61">
        <f>AN67</f>
        <v>184317</v>
      </c>
      <c r="AG74" s="12"/>
      <c r="AH74" s="61">
        <f>AP67</f>
        <v>183182</v>
      </c>
      <c r="AI74" s="135"/>
      <c r="AJ74" s="61">
        <v>182332</v>
      </c>
      <c r="AK74" s="61"/>
      <c r="AL74" s="61">
        <v>183042</v>
      </c>
      <c r="AM74" s="61"/>
      <c r="AN74" s="61">
        <v>183438</v>
      </c>
      <c r="AO74" s="61"/>
      <c r="AP74" s="61">
        <v>183939</v>
      </c>
      <c r="AQ74" s="61"/>
    </row>
    <row r="75" spans="1:57" x14ac:dyDescent="0.25">
      <c r="A75" s="62" t="s">
        <v>246</v>
      </c>
      <c r="B75" s="60">
        <f>B73-B74</f>
        <v>12290</v>
      </c>
      <c r="C75"/>
      <c r="D75" s="129">
        <f>D73-D74</f>
        <v>11118</v>
      </c>
      <c r="E75" s="62"/>
      <c r="F75" s="60">
        <f>F73-F74</f>
        <v>6767</v>
      </c>
      <c r="G75" s="62"/>
      <c r="H75" s="60">
        <f>H73-H74</f>
        <v>7161</v>
      </c>
      <c r="I75" s="60"/>
      <c r="J75" s="60">
        <f>J73-J74</f>
        <v>4937</v>
      </c>
      <c r="K75"/>
      <c r="L75" s="60">
        <f>L73-L74</f>
        <v>7824</v>
      </c>
      <c r="M75" s="62"/>
      <c r="N75" s="60">
        <f>N73-N74</f>
        <v>10331</v>
      </c>
      <c r="O75" s="62"/>
      <c r="P75" s="60">
        <f>P73-P74</f>
        <v>11117</v>
      </c>
      <c r="Q75" s="62"/>
      <c r="R75" s="60">
        <f>R73-R74</f>
        <v>10948</v>
      </c>
      <c r="S75" s="141"/>
      <c r="T75" s="60">
        <f>T73-T74</f>
        <v>9958</v>
      </c>
      <c r="U75" s="62"/>
      <c r="V75" s="60">
        <f>V73-V74</f>
        <v>13409</v>
      </c>
      <c r="W75" s="62"/>
      <c r="X75" s="60">
        <f>X73-X74</f>
        <v>14039</v>
      </c>
      <c r="Y75" s="13"/>
      <c r="Z75" s="60">
        <f>Z73-Z74</f>
        <v>16482</v>
      </c>
      <c r="AA75"/>
      <c r="AB75" s="129">
        <f>AB73-AB74</f>
        <v>14262</v>
      </c>
      <c r="AC75"/>
      <c r="AD75" s="60">
        <f>AD73-AD74</f>
        <v>11295</v>
      </c>
      <c r="AE75" s="13"/>
      <c r="AF75" s="60">
        <f>AF73-AF74</f>
        <v>9157</v>
      </c>
      <c r="AG75" s="13"/>
      <c r="AH75" s="60">
        <f>AH73-AH74</f>
        <v>5742</v>
      </c>
      <c r="AI75" s="131"/>
      <c r="AJ75" s="60">
        <f>AJ73-AJ74</f>
        <v>4805</v>
      </c>
      <c r="AK75" s="60"/>
      <c r="AL75" s="60">
        <f>AL73-AL74</f>
        <v>2108</v>
      </c>
      <c r="AM75" s="60"/>
      <c r="AN75" s="60">
        <f>AN73-AN74</f>
        <v>879</v>
      </c>
      <c r="AO75" s="60"/>
      <c r="AP75" s="60">
        <f>AP73-AP74</f>
        <v>-757</v>
      </c>
      <c r="AQ75" s="60"/>
    </row>
    <row r="76" spans="1:57" x14ac:dyDescent="0.25">
      <c r="A76" s="62"/>
      <c r="B76" s="62"/>
      <c r="C76" s="62"/>
      <c r="D76" s="129"/>
      <c r="E76" s="62"/>
      <c r="F76" s="60"/>
      <c r="G76" s="62"/>
      <c r="H76" s="62"/>
      <c r="I76" s="62"/>
      <c r="J76" s="62"/>
      <c r="K76" s="62"/>
      <c r="L76" s="60"/>
      <c r="M76" s="62"/>
      <c r="N76" s="60"/>
      <c r="O76" s="62"/>
      <c r="P76" s="60"/>
      <c r="Q76" s="62"/>
      <c r="R76" s="62"/>
      <c r="S76" s="202"/>
      <c r="T76" s="60"/>
      <c r="U76" s="62"/>
      <c r="V76" s="60"/>
      <c r="W76" s="62"/>
      <c r="X76" s="60"/>
      <c r="Y76" s="13"/>
      <c r="Z76" s="62"/>
      <c r="AA76" s="62"/>
      <c r="AB76" s="136"/>
      <c r="AC76" s="62"/>
      <c r="AD76" s="60"/>
      <c r="AE76" s="13"/>
      <c r="AF76" s="60"/>
      <c r="AG76" s="13"/>
      <c r="AH76" s="60"/>
      <c r="AI76" s="131"/>
      <c r="AJ76" s="60"/>
      <c r="AK76" s="60"/>
      <c r="AL76" s="60"/>
      <c r="AM76" s="60"/>
      <c r="AN76" s="60"/>
      <c r="AO76" s="60"/>
      <c r="AP76" s="60"/>
      <c r="AQ76" s="60"/>
    </row>
    <row r="77" spans="1:57" ht="15.75" thickBot="1" x14ac:dyDescent="0.3">
      <c r="A77" s="47" t="s">
        <v>247</v>
      </c>
      <c r="B77" s="43">
        <f>B71/B70</f>
        <v>5.5537730861173751E-2</v>
      </c>
      <c r="C77" s="54"/>
      <c r="D77" s="137">
        <f>D71/D70</f>
        <v>5.072519972077872E-2</v>
      </c>
      <c r="E77" s="64"/>
      <c r="F77" s="43">
        <f>F71/F70</f>
        <v>4.6850711501649024E-2</v>
      </c>
      <c r="G77" s="64"/>
      <c r="H77" s="43">
        <f>H71/H70</f>
        <v>5.2972504103865094E-2</v>
      </c>
      <c r="I77" s="43"/>
      <c r="J77" s="43">
        <f>J71/J70</f>
        <v>4.3033356743228023E-2</v>
      </c>
      <c r="K77" s="54"/>
      <c r="L77" s="43">
        <f>L71/L70</f>
        <v>5.8262599341425497E-2</v>
      </c>
      <c r="M77" s="64"/>
      <c r="N77" s="43">
        <f>N71/N70</f>
        <v>6.4939211592779073E-2</v>
      </c>
      <c r="O77" s="64"/>
      <c r="P77" s="43">
        <f>P71/P70</f>
        <v>7.9576691873168667E-2</v>
      </c>
      <c r="Q77" s="64"/>
      <c r="R77" s="43">
        <f>R71/R70</f>
        <v>7.9875603151658287E-2</v>
      </c>
      <c r="S77" s="138"/>
      <c r="T77" s="43">
        <f>T71/T70</f>
        <v>7.8129148122120712E-2</v>
      </c>
      <c r="U77" s="64"/>
      <c r="V77" s="43">
        <f>V71/V70</f>
        <v>0.11234659643524539</v>
      </c>
      <c r="W77" s="64"/>
      <c r="X77" s="43">
        <f>X71/X70</f>
        <v>0.11009517848060942</v>
      </c>
      <c r="Y77" s="54"/>
      <c r="Z77" s="43">
        <f>Z71/Z70</f>
        <v>0.12723475546783558</v>
      </c>
      <c r="AA77" s="54"/>
      <c r="AB77" s="137">
        <f>AB71/AB70</f>
        <v>0.11330366146249869</v>
      </c>
      <c r="AC77" s="54"/>
      <c r="AD77" s="43">
        <f>AD71/AD70</f>
        <v>9.5203614493881095E-2</v>
      </c>
      <c r="AE77" s="54"/>
      <c r="AF77" s="43">
        <f>AF71/AF70</f>
        <v>8.468216151990203E-2</v>
      </c>
      <c r="AG77" s="54"/>
      <c r="AH77" s="43">
        <f>AH71/AH70</f>
        <v>9.0394950044731387E-2</v>
      </c>
      <c r="AI77" s="138"/>
      <c r="AJ77" s="43">
        <f>AJ71/AJ70</f>
        <v>9.4621855136451868E-2</v>
      </c>
      <c r="AK77" s="54"/>
      <c r="AL77" s="43">
        <f>AL71/AL70</f>
        <v>6.198205297676547E-2</v>
      </c>
      <c r="AM77" s="54"/>
      <c r="AN77" s="43">
        <f>AN71/AN70</f>
        <v>5.2444206255024307E-2</v>
      </c>
      <c r="AO77" s="54"/>
      <c r="AP77" s="43">
        <f>AP71/AP70</f>
        <v>3.010208027221406E-2</v>
      </c>
      <c r="AQ77" s="54"/>
    </row>
    <row r="78" spans="1:57" x14ac:dyDescent="0.25">
      <c r="A78" s="72"/>
      <c r="B78" s="62"/>
      <c r="C78" s="62"/>
      <c r="D78" s="129"/>
      <c r="E78" s="68"/>
      <c r="F78" s="60"/>
      <c r="G78" s="68"/>
      <c r="H78" s="62"/>
      <c r="I78" s="62"/>
      <c r="J78" s="62"/>
      <c r="K78" s="62"/>
      <c r="L78" s="60"/>
      <c r="M78" s="68"/>
      <c r="N78" s="60"/>
      <c r="O78" s="68"/>
      <c r="P78" s="60"/>
      <c r="Q78" s="68"/>
      <c r="R78" s="62"/>
      <c r="S78" s="202"/>
      <c r="T78" s="60"/>
      <c r="U78" s="68"/>
      <c r="V78" s="60"/>
      <c r="W78" s="68"/>
      <c r="X78" s="60"/>
      <c r="Y78" s="13"/>
      <c r="Z78" s="62"/>
      <c r="AA78" s="62"/>
      <c r="AB78" s="136"/>
      <c r="AC78" s="62"/>
      <c r="AD78" s="60"/>
      <c r="AE78" s="13"/>
      <c r="AF78" s="60"/>
      <c r="AG78" s="13"/>
      <c r="AH78" s="60"/>
      <c r="AI78" s="131"/>
      <c r="AJ78" s="60"/>
      <c r="AK78" s="60"/>
      <c r="AL78" s="60"/>
      <c r="AM78" s="60"/>
      <c r="AN78" s="60"/>
      <c r="AO78" s="60"/>
      <c r="AP78" s="60"/>
      <c r="AQ78" s="60"/>
    </row>
    <row r="79" spans="1:57" ht="15.75" customHeight="1" thickBot="1" x14ac:dyDescent="0.3">
      <c r="A79" s="47" t="s">
        <v>248</v>
      </c>
      <c r="B79" s="43">
        <f>B75/B74</f>
        <v>5.5537730861173751E-2</v>
      </c>
      <c r="C79" s="54"/>
      <c r="D79" s="137">
        <f>D75/D74</f>
        <v>5.072519972077872E-2</v>
      </c>
      <c r="E79" s="64"/>
      <c r="F79" s="43">
        <f>F75/F74</f>
        <v>3.073324704225992E-2</v>
      </c>
      <c r="G79" s="64"/>
      <c r="H79" s="43">
        <f>H75/H74</f>
        <v>3.2753967890957324E-2</v>
      </c>
      <c r="I79" s="43"/>
      <c r="J79" s="43">
        <f>J75/J74</f>
        <v>2.2819083539014764E-2</v>
      </c>
      <c r="K79" s="54"/>
      <c r="L79" s="43">
        <f>L75/L74</f>
        <v>3.7017936477145304E-2</v>
      </c>
      <c r="M79" s="64"/>
      <c r="N79" s="43">
        <f>N75/N74</f>
        <v>4.9229464294223604E-2</v>
      </c>
      <c r="O79" s="64"/>
      <c r="P79" s="43">
        <f>P75/P74</f>
        <v>5.3572547262099243E-2</v>
      </c>
      <c r="Q79" s="64"/>
      <c r="R79" s="43">
        <f>R75/R74</f>
        <v>5.3299319396707012E-2</v>
      </c>
      <c r="S79" s="138"/>
      <c r="T79" s="43">
        <f>T75/T74</f>
        <v>4.9444138252920822E-2</v>
      </c>
      <c r="U79" s="64"/>
      <c r="V79" s="43">
        <f>V75/V74</f>
        <v>6.8258291124742299E-2</v>
      </c>
      <c r="W79" s="64"/>
      <c r="X79" s="43">
        <f>X75/X74</f>
        <v>7.256272160600391E-2</v>
      </c>
      <c r="Y79" s="42"/>
      <c r="Z79" s="43">
        <f>Z75/Z74</f>
        <v>8.7241430416463761E-2</v>
      </c>
      <c r="AA79" s="54"/>
      <c r="AB79" s="137">
        <f>AB75/AB74</f>
        <v>7.6211545552189036E-2</v>
      </c>
      <c r="AC79" s="54"/>
      <c r="AD79" s="43">
        <f>AD75/AD74</f>
        <v>6.1004590872265729E-2</v>
      </c>
      <c r="AE79" s="42"/>
      <c r="AF79" s="43">
        <f>AF75/AF74</f>
        <v>4.9680713119245649E-2</v>
      </c>
      <c r="AG79" s="42"/>
      <c r="AH79" s="43">
        <f>AH75/AH74</f>
        <v>3.1345874594665417E-2</v>
      </c>
      <c r="AI79" s="139"/>
      <c r="AJ79" s="43">
        <f>AJ75/AJ74</f>
        <v>2.6353026347541848E-2</v>
      </c>
      <c r="AK79" s="43"/>
      <c r="AL79" s="43">
        <f>AL75/AL74</f>
        <v>1.1516482555916129E-2</v>
      </c>
      <c r="AM79" s="43"/>
      <c r="AN79" s="43">
        <f>AN75/AN74</f>
        <v>4.7918097667876882E-3</v>
      </c>
      <c r="AO79" s="43"/>
      <c r="AP79" s="43">
        <f>AP75/AP74</f>
        <v>-4.1154948107796603E-3</v>
      </c>
      <c r="AQ79" s="43"/>
    </row>
    <row r="80" spans="1:57" x14ac:dyDescent="0.25">
      <c r="B80" s="17"/>
      <c r="C80" s="17"/>
      <c r="D80" s="178"/>
      <c r="F80" s="7"/>
      <c r="H80" s="17"/>
      <c r="I80" s="17"/>
      <c r="J80" s="17"/>
      <c r="K80" s="17"/>
      <c r="L80" s="7"/>
      <c r="N80" s="7"/>
      <c r="P80" s="7"/>
      <c r="R80" s="17"/>
      <c r="S80" s="146"/>
      <c r="T80" s="7"/>
      <c r="V80" s="7"/>
      <c r="X80" s="7"/>
      <c r="Y80" s="7"/>
      <c r="Z80" s="17"/>
      <c r="AA80" s="17"/>
      <c r="AB80" s="105"/>
      <c r="AD80" s="7"/>
      <c r="AE80" s="7"/>
      <c r="AF80" s="7"/>
      <c r="AG80" s="7"/>
      <c r="AH80" s="7"/>
      <c r="AI80" s="119"/>
      <c r="AJ80" s="7"/>
      <c r="AK80" s="7"/>
      <c r="AL80" s="7"/>
      <c r="AM80" s="7"/>
      <c r="AN80" s="7"/>
      <c r="AO80" s="7"/>
      <c r="AP80" s="7"/>
      <c r="AQ80" s="7"/>
    </row>
    <row r="81" spans="1:60" x14ac:dyDescent="0.25">
      <c r="B81" s="17"/>
      <c r="C81" s="17"/>
      <c r="D81" s="178"/>
      <c r="F81" s="7"/>
      <c r="H81" s="17"/>
      <c r="I81" s="17"/>
      <c r="J81" s="17"/>
      <c r="K81" s="17"/>
      <c r="L81" s="7"/>
      <c r="N81" s="7"/>
      <c r="P81" s="7"/>
      <c r="R81" s="17"/>
      <c r="S81" s="146"/>
      <c r="T81" s="7"/>
      <c r="V81" s="7"/>
      <c r="X81" s="7"/>
      <c r="Y81" s="7"/>
      <c r="Z81" s="17"/>
      <c r="AA81" s="17"/>
      <c r="AB81" s="105"/>
      <c r="AD81" s="7"/>
      <c r="AE81" s="7"/>
      <c r="AF81" s="7"/>
      <c r="AG81" s="7"/>
      <c r="AH81" s="7"/>
      <c r="AI81" s="119"/>
      <c r="AJ81" s="7"/>
      <c r="AK81" s="7"/>
      <c r="AL81" s="7"/>
      <c r="AM81" s="7"/>
      <c r="AN81" s="7"/>
      <c r="AO81" s="7"/>
      <c r="AP81" s="7"/>
      <c r="AQ81" s="7"/>
    </row>
    <row r="82" spans="1:60" x14ac:dyDescent="0.25">
      <c r="A82" s="17" t="s">
        <v>249</v>
      </c>
      <c r="B82" s="60">
        <v>141999</v>
      </c>
      <c r="C82" s="60"/>
      <c r="D82" s="129">
        <v>137664</v>
      </c>
      <c r="E82" s="17"/>
      <c r="F82" s="60">
        <v>132283</v>
      </c>
      <c r="G82" s="17"/>
      <c r="H82" s="60">
        <v>136209</v>
      </c>
      <c r="I82" s="60"/>
      <c r="J82" s="60">
        <v>128108</v>
      </c>
      <c r="K82" s="60"/>
      <c r="L82" s="60">
        <v>118170</v>
      </c>
      <c r="M82" s="17"/>
      <c r="N82" s="60">
        <v>113248</v>
      </c>
      <c r="O82" s="17"/>
      <c r="P82" s="60">
        <v>111170</v>
      </c>
      <c r="Q82" s="17"/>
      <c r="R82" s="60">
        <v>105545</v>
      </c>
      <c r="S82" s="128"/>
      <c r="T82" s="60">
        <v>103106</v>
      </c>
      <c r="U82" s="17"/>
      <c r="V82" s="60">
        <v>102181</v>
      </c>
      <c r="W82" s="17"/>
      <c r="X82" s="60">
        <v>102693</v>
      </c>
      <c r="Y82" s="60"/>
      <c r="Z82" s="60">
        <v>98991</v>
      </c>
      <c r="AA82" s="60"/>
      <c r="AB82" s="129">
        <v>98814</v>
      </c>
      <c r="AC82" s="60"/>
      <c r="AD82" s="60">
        <v>100320</v>
      </c>
      <c r="AE82" s="60"/>
      <c r="AF82" s="60">
        <v>105824</v>
      </c>
      <c r="AG82" s="60"/>
      <c r="AH82" s="60">
        <v>99626</v>
      </c>
      <c r="AI82" s="128"/>
      <c r="AJ82" s="60">
        <v>95384</v>
      </c>
      <c r="AK82" s="60"/>
      <c r="AL82" s="60">
        <v>98602</v>
      </c>
      <c r="AM82" s="60"/>
      <c r="AN82" s="60">
        <v>99758</v>
      </c>
      <c r="AO82" s="60"/>
      <c r="AP82" s="60">
        <v>93125</v>
      </c>
      <c r="AQ82" s="60"/>
      <c r="AR82" s="60"/>
      <c r="AS82" s="60"/>
      <c r="AT82" s="60"/>
      <c r="AU82" s="60"/>
      <c r="AV82" s="60"/>
      <c r="AW82" s="60"/>
      <c r="AX82" s="60"/>
      <c r="AY82" s="60"/>
      <c r="AZ82" s="60"/>
      <c r="BA82" s="60"/>
      <c r="BB82" s="60"/>
      <c r="BC82" s="60"/>
      <c r="BD82" s="60"/>
      <c r="BE82" s="60"/>
      <c r="BF82" s="60"/>
      <c r="BG82" s="60"/>
      <c r="BH82" s="60"/>
    </row>
    <row r="83" spans="1:60" x14ac:dyDescent="0.25">
      <c r="A83" s="34" t="s">
        <v>250</v>
      </c>
      <c r="B83" s="61">
        <f>J82</f>
        <v>128108</v>
      </c>
      <c r="C83" s="34"/>
      <c r="D83" s="109">
        <f>L82</f>
        <v>118170</v>
      </c>
      <c r="E83" s="34"/>
      <c r="F83" s="61">
        <f>N82</f>
        <v>113248</v>
      </c>
      <c r="G83" s="34"/>
      <c r="H83" s="61">
        <f>P82</f>
        <v>111170</v>
      </c>
      <c r="I83" s="61"/>
      <c r="J83" s="61">
        <f>R82</f>
        <v>105545</v>
      </c>
      <c r="K83" s="34"/>
      <c r="L83" s="61">
        <f>T82</f>
        <v>103106</v>
      </c>
      <c r="M83" s="34"/>
      <c r="N83" s="61">
        <f>V82</f>
        <v>102181</v>
      </c>
      <c r="O83" s="34"/>
      <c r="P83" s="61">
        <f>X82</f>
        <v>102693</v>
      </c>
      <c r="Q83" s="34"/>
      <c r="R83" s="61">
        <f>Z82</f>
        <v>98991</v>
      </c>
      <c r="S83" s="134"/>
      <c r="T83" s="61">
        <f>AB82</f>
        <v>98814</v>
      </c>
      <c r="U83" s="34"/>
      <c r="V83" s="61">
        <f>AD82</f>
        <v>100320</v>
      </c>
      <c r="W83" s="34"/>
      <c r="X83" s="61">
        <f>AF82</f>
        <v>105824</v>
      </c>
      <c r="Y83" s="61"/>
      <c r="Z83" s="61">
        <f>AH82</f>
        <v>99626</v>
      </c>
      <c r="AA83" s="34"/>
      <c r="AB83" s="109">
        <f>AJ82</f>
        <v>95384</v>
      </c>
      <c r="AC83" s="34"/>
      <c r="AD83" s="61">
        <f>AL82</f>
        <v>98602</v>
      </c>
      <c r="AE83" s="61"/>
      <c r="AF83" s="61">
        <f>AN82</f>
        <v>99758</v>
      </c>
      <c r="AG83" s="61"/>
      <c r="AH83" s="61">
        <f>AP82</f>
        <v>93125</v>
      </c>
      <c r="AI83" s="140"/>
      <c r="AJ83" s="61">
        <v>85914</v>
      </c>
      <c r="AK83" s="61"/>
      <c r="AL83" s="61">
        <v>87240</v>
      </c>
      <c r="AM83" s="61"/>
      <c r="AN83" s="61">
        <v>89633</v>
      </c>
      <c r="AO83" s="61"/>
      <c r="AP83" s="61">
        <v>87023</v>
      </c>
      <c r="AQ83" s="61"/>
      <c r="AR83" s="60"/>
      <c r="AS83" s="60"/>
      <c r="AT83" s="60"/>
      <c r="AU83" s="60"/>
      <c r="AV83" s="60"/>
      <c r="AW83" s="60"/>
      <c r="AX83" s="60"/>
      <c r="AY83" s="60"/>
      <c r="AZ83" s="60"/>
      <c r="BA83" s="60"/>
      <c r="BB83" s="60"/>
      <c r="BC83" s="60"/>
      <c r="BD83" s="60"/>
      <c r="BE83" s="60"/>
      <c r="BF83" s="60"/>
      <c r="BG83" s="60"/>
      <c r="BH83" s="60"/>
    </row>
    <row r="84" spans="1:60" x14ac:dyDescent="0.25">
      <c r="A84" s="17" t="s">
        <v>251</v>
      </c>
      <c r="B84" s="60">
        <f>B82-B83</f>
        <v>13891</v>
      </c>
      <c r="C84" s="60"/>
      <c r="D84" s="129">
        <f>D82-D83</f>
        <v>19494</v>
      </c>
      <c r="E84" s="17"/>
      <c r="F84" s="60">
        <f>F82-F83</f>
        <v>19035</v>
      </c>
      <c r="G84" s="17"/>
      <c r="H84" s="60">
        <f>H82-H83</f>
        <v>25039</v>
      </c>
      <c r="I84" s="60"/>
      <c r="J84" s="60">
        <f>J82-J83</f>
        <v>22563</v>
      </c>
      <c r="K84" s="60"/>
      <c r="L84" s="60">
        <f>L82-L83</f>
        <v>15064</v>
      </c>
      <c r="M84" s="17"/>
      <c r="N84" s="60">
        <f>N82-N83</f>
        <v>11067</v>
      </c>
      <c r="O84" s="17"/>
      <c r="P84" s="60">
        <f>P82-P83</f>
        <v>8477</v>
      </c>
      <c r="Q84" s="17"/>
      <c r="R84" s="60">
        <f>R82-R83</f>
        <v>6554</v>
      </c>
      <c r="S84" s="128"/>
      <c r="T84" s="60">
        <f>T82-T83</f>
        <v>4292</v>
      </c>
      <c r="U84" s="17"/>
      <c r="V84" s="60">
        <f>V82-V83</f>
        <v>1861</v>
      </c>
      <c r="W84" s="17"/>
      <c r="X84" s="60">
        <f>X82-X83</f>
        <v>-3131</v>
      </c>
      <c r="Y84" s="60"/>
      <c r="Z84" s="60">
        <f>Z82-Z83</f>
        <v>-635</v>
      </c>
      <c r="AA84" s="60"/>
      <c r="AB84" s="129">
        <f>AB82-AB83</f>
        <v>3430</v>
      </c>
      <c r="AC84" s="60"/>
      <c r="AD84" s="60">
        <f>AD82-AD83</f>
        <v>1718</v>
      </c>
      <c r="AE84" s="60"/>
      <c r="AF84" s="60">
        <f>AF82-AF83</f>
        <v>6066</v>
      </c>
      <c r="AG84" s="60"/>
      <c r="AH84" s="60">
        <f>AH82-AH83</f>
        <v>6501</v>
      </c>
      <c r="AI84" s="128"/>
      <c r="AJ84" s="60">
        <f>AJ82-AJ83</f>
        <v>9470</v>
      </c>
      <c r="AK84" s="60"/>
      <c r="AL84" s="60">
        <f>AL82-AL83</f>
        <v>11362</v>
      </c>
      <c r="AM84" s="60"/>
      <c r="AN84" s="60">
        <f>AN82-AN83</f>
        <v>10125</v>
      </c>
      <c r="AO84" s="60"/>
      <c r="AP84" s="60">
        <f>AP82-AP83</f>
        <v>6102</v>
      </c>
      <c r="AQ84" s="60"/>
      <c r="AR84" s="60"/>
      <c r="AS84" s="60"/>
      <c r="AT84" s="60"/>
      <c r="AU84" s="60"/>
      <c r="AV84" s="60"/>
      <c r="AW84" s="60"/>
      <c r="AX84" s="60"/>
      <c r="AY84" s="60"/>
      <c r="AZ84" s="60"/>
      <c r="BA84" s="60"/>
      <c r="BB84" s="60"/>
      <c r="BC84" s="60"/>
      <c r="BD84" s="60"/>
      <c r="BE84" s="60"/>
      <c r="BF84" s="60"/>
      <c r="BG84" s="60"/>
      <c r="BH84" s="60"/>
    </row>
    <row r="85" spans="1:60" x14ac:dyDescent="0.25">
      <c r="A85" s="17"/>
      <c r="B85" s="60"/>
      <c r="C85" s="60"/>
      <c r="D85" s="129"/>
      <c r="E85" s="17"/>
      <c r="F85" s="60"/>
      <c r="G85" s="17"/>
      <c r="H85" s="60"/>
      <c r="I85" s="60"/>
      <c r="J85" s="60"/>
      <c r="K85" s="60"/>
      <c r="L85" s="60"/>
      <c r="M85" s="17"/>
      <c r="N85" s="60"/>
      <c r="O85" s="17"/>
      <c r="P85" s="60"/>
      <c r="Q85" s="17"/>
      <c r="R85" s="60"/>
      <c r="S85" s="128"/>
      <c r="T85" s="60"/>
      <c r="U85" s="17"/>
      <c r="V85" s="60"/>
      <c r="W85" s="17"/>
      <c r="X85" s="60"/>
      <c r="Y85" s="60"/>
      <c r="Z85" s="60"/>
      <c r="AA85" s="60"/>
      <c r="AB85" s="129"/>
      <c r="AC85" s="60"/>
      <c r="AD85" s="60"/>
      <c r="AE85" s="60"/>
      <c r="AF85" s="60"/>
      <c r="AG85" s="60"/>
      <c r="AH85" s="60"/>
      <c r="AI85" s="128"/>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row>
    <row r="86" spans="1:60" ht="15.75" thickBot="1" x14ac:dyDescent="0.3">
      <c r="A86" s="47" t="s">
        <v>252</v>
      </c>
      <c r="B86" s="43">
        <f>B84/B83</f>
        <v>0.10843194804383802</v>
      </c>
      <c r="C86" s="54"/>
      <c r="D86" s="137">
        <f>D84/D83</f>
        <v>0.16496572734196496</v>
      </c>
      <c r="E86" s="64"/>
      <c r="F86" s="43">
        <f>F84/F83</f>
        <v>0.168082438541961</v>
      </c>
      <c r="G86" s="64"/>
      <c r="H86" s="43">
        <f>H84/H83</f>
        <v>0.2252316272375641</v>
      </c>
      <c r="I86" s="43"/>
      <c r="J86" s="43">
        <f>J84/J83</f>
        <v>0.21377611445355063</v>
      </c>
      <c r="K86" s="54"/>
      <c r="L86" s="43">
        <f>L84/L83</f>
        <v>0.14610206971466258</v>
      </c>
      <c r="M86" s="64"/>
      <c r="N86" s="43">
        <f>N84/N83</f>
        <v>0.10830780673510731</v>
      </c>
      <c r="O86" s="64"/>
      <c r="P86" s="43">
        <f>P84/P83</f>
        <v>8.2547009046380959E-2</v>
      </c>
      <c r="Q86" s="64"/>
      <c r="R86" s="43">
        <f>R84/R83</f>
        <v>6.6208039114666994E-2</v>
      </c>
      <c r="S86" s="138"/>
      <c r="T86" s="43">
        <f>T84/T83</f>
        <v>4.3435140769526585E-2</v>
      </c>
      <c r="U86" s="64"/>
      <c r="V86" s="43">
        <f>V84/V83</f>
        <v>1.8550637958532696E-2</v>
      </c>
      <c r="W86" s="64"/>
      <c r="X86" s="43">
        <f>X84/X83</f>
        <v>-2.958686120350771E-2</v>
      </c>
      <c r="Y86" s="54"/>
      <c r="Z86" s="43">
        <f>Z84/Z83</f>
        <v>-6.3738381546985723E-3</v>
      </c>
      <c r="AA86" s="54"/>
      <c r="AB86" s="137">
        <f>AB84/AB83</f>
        <v>3.5959909418770447E-2</v>
      </c>
      <c r="AC86" s="54"/>
      <c r="AD86" s="43">
        <f>AD84/AD83</f>
        <v>1.7423581671771365E-2</v>
      </c>
      <c r="AE86" s="54"/>
      <c r="AF86" s="43">
        <f>AF84/AF83</f>
        <v>6.0807153311012649E-2</v>
      </c>
      <c r="AG86" s="54"/>
      <c r="AH86" s="43">
        <f>AH84/AH83</f>
        <v>6.9809395973154359E-2</v>
      </c>
      <c r="AI86" s="138"/>
      <c r="AJ86" s="43">
        <f>AJ84/AJ83</f>
        <v>0.11022650557534279</v>
      </c>
      <c r="AK86" s="54"/>
      <c r="AL86" s="43">
        <f>AL84/AL83</f>
        <v>0.13023842274186154</v>
      </c>
      <c r="AM86" s="54"/>
      <c r="AN86" s="43">
        <f>AN84/AN83</f>
        <v>0.1129606283400087</v>
      </c>
      <c r="AO86" s="54"/>
      <c r="AP86" s="43">
        <f>AP84/AP83</f>
        <v>7.0119393723498388E-2</v>
      </c>
      <c r="AQ86" s="54"/>
    </row>
    <row r="87" spans="1:60" x14ac:dyDescent="0.25">
      <c r="B87" s="7"/>
      <c r="C87" s="17"/>
      <c r="D87" s="178"/>
      <c r="F87" s="7"/>
      <c r="H87" s="7"/>
      <c r="I87" s="7"/>
      <c r="J87" s="7"/>
      <c r="K87" s="17"/>
      <c r="L87" s="7"/>
      <c r="N87" s="7"/>
      <c r="P87" s="7"/>
      <c r="R87" s="7"/>
      <c r="S87" s="146"/>
      <c r="T87" s="7"/>
      <c r="V87" s="7"/>
      <c r="X87" s="7"/>
      <c r="Y87" s="7"/>
      <c r="Z87" s="7"/>
      <c r="AA87" s="17"/>
      <c r="AB87" s="105"/>
      <c r="AD87" s="7"/>
      <c r="AE87" s="7"/>
      <c r="AF87" s="7"/>
      <c r="AG87" s="7"/>
      <c r="AH87" s="7"/>
      <c r="AI87" s="119"/>
      <c r="AJ87" s="7"/>
      <c r="AK87" s="7"/>
      <c r="AL87" s="7"/>
      <c r="AM87" s="7"/>
      <c r="AN87" s="7"/>
      <c r="AO87" s="7"/>
      <c r="AP87" s="7"/>
      <c r="AQ87" s="7"/>
    </row>
    <row r="88" spans="1:60" x14ac:dyDescent="0.25">
      <c r="A88" t="s">
        <v>253</v>
      </c>
      <c r="B88" s="98">
        <f>B82</f>
        <v>141999</v>
      </c>
      <c r="C88"/>
      <c r="D88" s="111">
        <f>D82</f>
        <v>137664</v>
      </c>
      <c r="E88"/>
      <c r="F88" s="98">
        <f>F82</f>
        <v>132283</v>
      </c>
      <c r="G88"/>
      <c r="H88" s="98">
        <f>H82</f>
        <v>136209</v>
      </c>
      <c r="I88" s="98"/>
      <c r="J88" s="98">
        <f>J82</f>
        <v>128108</v>
      </c>
      <c r="K88"/>
      <c r="L88" s="98">
        <f>L82</f>
        <v>118170</v>
      </c>
      <c r="M88"/>
      <c r="N88" s="98">
        <f>N82</f>
        <v>113248</v>
      </c>
      <c r="O88"/>
      <c r="P88" s="98">
        <f>P82</f>
        <v>111170</v>
      </c>
      <c r="Q88"/>
      <c r="R88" s="98">
        <f>R82</f>
        <v>105545</v>
      </c>
      <c r="S88" s="141"/>
      <c r="T88" s="98">
        <f>T82</f>
        <v>103106</v>
      </c>
      <c r="U88"/>
      <c r="V88" s="98">
        <f>V82</f>
        <v>102181</v>
      </c>
      <c r="W88"/>
      <c r="X88" s="98">
        <f>X82</f>
        <v>102693</v>
      </c>
      <c r="Y88"/>
      <c r="Z88" s="98">
        <f>Z82</f>
        <v>98991</v>
      </c>
      <c r="AA88"/>
      <c r="AB88" s="111">
        <f>AB82</f>
        <v>98814</v>
      </c>
      <c r="AC88"/>
      <c r="AD88" s="98">
        <f>AD82</f>
        <v>100320</v>
      </c>
      <c r="AE88"/>
      <c r="AF88" s="98">
        <f>AF82</f>
        <v>105824</v>
      </c>
      <c r="AG88"/>
      <c r="AH88" s="98">
        <f>AH82</f>
        <v>99626</v>
      </c>
      <c r="AI88" s="141"/>
      <c r="AJ88" s="2">
        <f>AJ82</f>
        <v>95384</v>
      </c>
      <c r="AK88"/>
      <c r="AL88" s="2">
        <f>AL82</f>
        <v>98602</v>
      </c>
      <c r="AM88"/>
      <c r="AN88" s="2">
        <f>AN82</f>
        <v>99758</v>
      </c>
      <c r="AO88"/>
      <c r="AP88" s="2">
        <f>AP82</f>
        <v>93125</v>
      </c>
      <c r="AQ88"/>
    </row>
    <row r="89" spans="1:60" x14ac:dyDescent="0.25">
      <c r="A89" s="58" t="s">
        <v>254</v>
      </c>
      <c r="B89" s="1">
        <f>B65</f>
        <v>233581</v>
      </c>
      <c r="C89" s="58"/>
      <c r="D89" s="142">
        <f>D65</f>
        <v>230299</v>
      </c>
      <c r="E89" s="58"/>
      <c r="F89" s="1">
        <f>F65</f>
        <v>226952</v>
      </c>
      <c r="G89" s="58"/>
      <c r="H89" s="1">
        <f>H65</f>
        <v>225791</v>
      </c>
      <c r="I89" s="1"/>
      <c r="J89" s="1">
        <f>J65</f>
        <v>221291</v>
      </c>
      <c r="K89" s="58"/>
      <c r="L89" s="1">
        <f>L65</f>
        <v>219181</v>
      </c>
      <c r="M89" s="58"/>
      <c r="N89" s="1">
        <f>N65</f>
        <v>216795</v>
      </c>
      <c r="O89" s="58"/>
      <c r="P89" s="1">
        <f>P65</f>
        <v>214432</v>
      </c>
      <c r="Q89" s="58"/>
      <c r="R89" s="1">
        <f>R65</f>
        <v>212161</v>
      </c>
      <c r="S89" s="143"/>
      <c r="T89" s="1">
        <f>T65</f>
        <v>207114</v>
      </c>
      <c r="U89" s="58"/>
      <c r="V89" s="1">
        <f>V65</f>
        <v>203575</v>
      </c>
      <c r="W89" s="58"/>
      <c r="X89" s="1">
        <f>X65</f>
        <v>198626</v>
      </c>
      <c r="Y89" s="58"/>
      <c r="Z89" s="1">
        <f>Z65</f>
        <v>196468</v>
      </c>
      <c r="AA89" s="58"/>
      <c r="AB89" s="142">
        <f>AB65</f>
        <v>192105</v>
      </c>
      <c r="AC89" s="58"/>
      <c r="AD89" s="1">
        <f>AD65</f>
        <v>183014</v>
      </c>
      <c r="AE89" s="58"/>
      <c r="AF89" s="1">
        <f>AF65</f>
        <v>178927</v>
      </c>
      <c r="AG89" s="58"/>
      <c r="AH89" s="1">
        <f>AH65</f>
        <v>174292</v>
      </c>
      <c r="AI89" s="143"/>
      <c r="AJ89" s="1">
        <f>AJ65</f>
        <v>172554</v>
      </c>
      <c r="AK89" s="58"/>
      <c r="AL89" s="1">
        <f>AL65</f>
        <v>167105</v>
      </c>
      <c r="AM89" s="58"/>
      <c r="AN89" s="1">
        <f>AN65</f>
        <v>164958</v>
      </c>
      <c r="AO89" s="58"/>
      <c r="AP89" s="1">
        <f>AP65</f>
        <v>159843</v>
      </c>
      <c r="AQ89" s="58"/>
    </row>
    <row r="90" spans="1:60" ht="15.75" thickBot="1" x14ac:dyDescent="0.3">
      <c r="A90" s="47" t="s">
        <v>164</v>
      </c>
      <c r="B90" s="51">
        <f>B88/B89</f>
        <v>0.60792187720747837</v>
      </c>
      <c r="C90" s="45"/>
      <c r="D90" s="144">
        <f>D88/D89</f>
        <v>0.59776203978306464</v>
      </c>
      <c r="E90" s="63"/>
      <c r="F90" s="51">
        <f>F88/F89</f>
        <v>0.58286774295886357</v>
      </c>
      <c r="G90" s="63"/>
      <c r="H90" s="51">
        <f>H88/H89</f>
        <v>0.60325256542554839</v>
      </c>
      <c r="I90" s="51"/>
      <c r="J90" s="51">
        <f>J88/J89</f>
        <v>0.57891193044452782</v>
      </c>
      <c r="K90" s="45"/>
      <c r="L90" s="51">
        <f>L88/L89</f>
        <v>0.53914344765285316</v>
      </c>
      <c r="M90" s="63"/>
      <c r="N90" s="51">
        <f>N88/N89</f>
        <v>0.52237367097949672</v>
      </c>
      <c r="O90" s="63"/>
      <c r="P90" s="51">
        <f>P88/P89</f>
        <v>0.51843941202805555</v>
      </c>
      <c r="Q90" s="63"/>
      <c r="R90" s="51">
        <f>R88/R89</f>
        <v>0.4974759734352685</v>
      </c>
      <c r="S90" s="145"/>
      <c r="T90" s="51">
        <f>T88/T89</f>
        <v>0.49782245526618191</v>
      </c>
      <c r="U90" s="63"/>
      <c r="V90" s="51">
        <f>V88/V89</f>
        <v>0.50193294854476234</v>
      </c>
      <c r="W90" s="63"/>
      <c r="X90" s="51">
        <f>X88/X89</f>
        <v>0.51701690614521767</v>
      </c>
      <c r="Y90" s="45"/>
      <c r="Z90" s="51">
        <f>Z88/Z89</f>
        <v>0.50385304477064963</v>
      </c>
      <c r="AA90" s="45"/>
      <c r="AB90" s="144">
        <f>AB88/AB89</f>
        <v>0.51437495119856325</v>
      </c>
      <c r="AC90" s="45"/>
      <c r="AD90" s="51">
        <f>AD88/AD89</f>
        <v>0.54815478597265788</v>
      </c>
      <c r="AE90" s="45"/>
      <c r="AF90" s="51">
        <f>AF88/AF89</f>
        <v>0.5914367311808727</v>
      </c>
      <c r="AG90" s="45"/>
      <c r="AH90" s="51">
        <f>AH88/AH89</f>
        <v>0.57160397493860882</v>
      </c>
      <c r="AI90" s="145"/>
      <c r="AJ90" s="51">
        <f>AJ88/AJ89</f>
        <v>0.55277768118965653</v>
      </c>
      <c r="AK90" s="45"/>
      <c r="AL90" s="51">
        <f>AL88/AL89</f>
        <v>0.59006014182699495</v>
      </c>
      <c r="AM90" s="45"/>
      <c r="AN90" s="51">
        <f>AN88/AN89</f>
        <v>0.6047478752167218</v>
      </c>
      <c r="AO90" s="45"/>
      <c r="AP90" s="51">
        <f>AP88/AP89</f>
        <v>0.58260292912420308</v>
      </c>
      <c r="AQ90" s="45"/>
      <c r="AR90" s="25"/>
      <c r="AS90" s="25"/>
      <c r="AT90" s="25"/>
      <c r="AU90" s="25"/>
      <c r="AV90" s="25"/>
      <c r="AW90" s="25"/>
      <c r="AX90" s="25"/>
      <c r="AY90" s="25"/>
      <c r="AZ90" s="25"/>
      <c r="BA90" s="25"/>
    </row>
    <row r="91" spans="1:60" x14ac:dyDescent="0.25">
      <c r="B91" s="7"/>
      <c r="C91" s="17"/>
      <c r="D91" s="178"/>
      <c r="F91" s="7"/>
      <c r="H91" s="7"/>
      <c r="I91" s="7"/>
      <c r="J91" s="7"/>
      <c r="K91" s="17"/>
      <c r="L91" s="7"/>
      <c r="N91" s="7"/>
      <c r="P91" s="7"/>
      <c r="R91" s="7"/>
      <c r="S91" s="146"/>
      <c r="T91" s="7"/>
      <c r="V91" s="7"/>
      <c r="X91" s="7"/>
      <c r="Y91" s="17"/>
      <c r="Z91" s="7"/>
      <c r="AA91" s="17"/>
      <c r="AB91" s="105"/>
      <c r="AD91" s="7"/>
      <c r="AE91" s="17"/>
      <c r="AF91" s="7"/>
      <c r="AG91" s="17"/>
      <c r="AH91" s="7"/>
      <c r="AI91" s="146"/>
      <c r="AJ91" s="7"/>
      <c r="AK91" s="17"/>
      <c r="AL91" s="7"/>
      <c r="AM91" s="17"/>
      <c r="AN91" s="7"/>
      <c r="AO91" s="17"/>
      <c r="AP91" s="7"/>
      <c r="AQ91" s="17"/>
    </row>
    <row r="92" spans="1:60" x14ac:dyDescent="0.25">
      <c r="A92" t="s">
        <v>253</v>
      </c>
      <c r="B92" s="98">
        <f>B82</f>
        <v>141999</v>
      </c>
      <c r="C92"/>
      <c r="D92" s="111">
        <f>D82</f>
        <v>137664</v>
      </c>
      <c r="E92"/>
      <c r="F92" s="98">
        <f>F82</f>
        <v>132283</v>
      </c>
      <c r="G92"/>
      <c r="H92" s="98">
        <f>H82</f>
        <v>136209</v>
      </c>
      <c r="I92" s="98"/>
      <c r="J92" s="98">
        <f>J82</f>
        <v>128108</v>
      </c>
      <c r="K92"/>
      <c r="L92" s="98">
        <f>L82</f>
        <v>118170</v>
      </c>
      <c r="M92"/>
      <c r="N92" s="98">
        <f>N82</f>
        <v>113248</v>
      </c>
      <c r="O92"/>
      <c r="P92" s="98">
        <f>P82</f>
        <v>111170</v>
      </c>
      <c r="Q92"/>
      <c r="R92" s="98">
        <f>R82</f>
        <v>105545</v>
      </c>
      <c r="S92" s="141"/>
      <c r="T92" s="98">
        <f>T82</f>
        <v>103106</v>
      </c>
      <c r="U92"/>
      <c r="V92" s="98">
        <f>V82</f>
        <v>102181</v>
      </c>
      <c r="W92"/>
      <c r="X92" s="98">
        <f>X82</f>
        <v>102693</v>
      </c>
      <c r="Y92"/>
      <c r="Z92" s="98">
        <f>Z82</f>
        <v>98991</v>
      </c>
      <c r="AA92"/>
      <c r="AB92" s="111">
        <f>AB82</f>
        <v>98814</v>
      </c>
      <c r="AC92"/>
      <c r="AD92" s="98">
        <f>AD82</f>
        <v>100320</v>
      </c>
      <c r="AE92"/>
      <c r="AF92" s="98">
        <f>AF82</f>
        <v>105824</v>
      </c>
      <c r="AG92"/>
      <c r="AH92" s="98">
        <f>AH82</f>
        <v>99626</v>
      </c>
      <c r="AI92" s="141"/>
      <c r="AJ92" s="2">
        <f>AJ82</f>
        <v>95384</v>
      </c>
      <c r="AK92"/>
      <c r="AL92" s="2">
        <f>AL82</f>
        <v>98602</v>
      </c>
      <c r="AM92"/>
      <c r="AN92" s="2">
        <f>AN82</f>
        <v>99758</v>
      </c>
      <c r="AO92"/>
      <c r="AP92" s="2">
        <f>AP82</f>
        <v>93125</v>
      </c>
      <c r="AQ92"/>
    </row>
    <row r="93" spans="1:60" x14ac:dyDescent="0.25">
      <c r="A93" s="58" t="s">
        <v>255</v>
      </c>
      <c r="B93" s="1">
        <f>B67</f>
        <v>233581</v>
      </c>
      <c r="C93" s="58"/>
      <c r="D93" s="142">
        <f>D67</f>
        <v>230299</v>
      </c>
      <c r="E93" s="58"/>
      <c r="F93" s="1">
        <f>F67</f>
        <v>226952</v>
      </c>
      <c r="G93" s="58"/>
      <c r="H93" s="1">
        <f>H67</f>
        <v>225791</v>
      </c>
      <c r="I93" s="1"/>
      <c r="J93" s="1">
        <f>J67</f>
        <v>221291</v>
      </c>
      <c r="K93" s="58"/>
      <c r="L93" s="1">
        <f>L67</f>
        <v>219181</v>
      </c>
      <c r="M93" s="58"/>
      <c r="N93" s="1">
        <f>N67</f>
        <v>220185</v>
      </c>
      <c r="O93" s="58"/>
      <c r="P93" s="1">
        <f>P67</f>
        <v>218630</v>
      </c>
      <c r="Q93" s="58"/>
      <c r="R93" s="1">
        <f>R67</f>
        <v>216354</v>
      </c>
      <c r="S93" s="143"/>
      <c r="T93" s="1">
        <f>T67</f>
        <v>211357</v>
      </c>
      <c r="U93" s="58"/>
      <c r="V93" s="1">
        <f>V67</f>
        <v>209854</v>
      </c>
      <c r="W93" s="58"/>
      <c r="X93" s="1">
        <f>X67</f>
        <v>207513</v>
      </c>
      <c r="Y93" s="58"/>
      <c r="Z93" s="1">
        <f>Z67</f>
        <v>205406</v>
      </c>
      <c r="AA93" s="58"/>
      <c r="AB93" s="142">
        <f>AB67</f>
        <v>201399</v>
      </c>
      <c r="AC93" s="58"/>
      <c r="AD93" s="1">
        <f>AD67</f>
        <v>196445</v>
      </c>
      <c r="AE93" s="58"/>
      <c r="AF93" s="1">
        <f>AF67</f>
        <v>193474</v>
      </c>
      <c r="AG93" s="58"/>
      <c r="AH93" s="1">
        <f>AH67</f>
        <v>188924</v>
      </c>
      <c r="AI93" s="143"/>
      <c r="AJ93" s="1">
        <f>AJ67</f>
        <v>187137</v>
      </c>
      <c r="AK93" s="58"/>
      <c r="AL93" s="1">
        <f>AL67</f>
        <v>185150</v>
      </c>
      <c r="AM93" s="58"/>
      <c r="AN93" s="1">
        <f>AN67</f>
        <v>184317</v>
      </c>
      <c r="AO93" s="58"/>
      <c r="AP93" s="1">
        <f>AP67</f>
        <v>183182</v>
      </c>
      <c r="AQ93" s="58"/>
    </row>
    <row r="94" spans="1:60" ht="15.75" thickBot="1" x14ac:dyDescent="0.3">
      <c r="A94" s="47" t="s">
        <v>256</v>
      </c>
      <c r="B94" s="51">
        <f>B92/B93</f>
        <v>0.60792187720747837</v>
      </c>
      <c r="C94" s="45"/>
      <c r="D94" s="144">
        <f>D92/D93</f>
        <v>0.59776203978306464</v>
      </c>
      <c r="E94" s="63"/>
      <c r="F94" s="51">
        <f>F92/F93</f>
        <v>0.58286774295886357</v>
      </c>
      <c r="G94" s="63"/>
      <c r="H94" s="51">
        <f>H92/H93</f>
        <v>0.60325256542554839</v>
      </c>
      <c r="I94" s="51"/>
      <c r="J94" s="51">
        <f>J92/J93</f>
        <v>0.57891193044452782</v>
      </c>
      <c r="K94" s="45"/>
      <c r="L94" s="51">
        <f>L92/L93</f>
        <v>0.53914344765285316</v>
      </c>
      <c r="M94" s="63"/>
      <c r="N94" s="51">
        <f>N92/N93</f>
        <v>0.51433113064014346</v>
      </c>
      <c r="O94" s="63"/>
      <c r="P94" s="51">
        <f>P92/P93</f>
        <v>0.50848465443900659</v>
      </c>
      <c r="Q94" s="63"/>
      <c r="R94" s="51">
        <f>R92/R93</f>
        <v>0.48783475230409423</v>
      </c>
      <c r="S94" s="145"/>
      <c r="T94" s="51">
        <f>T92/T93</f>
        <v>0.48782865010385273</v>
      </c>
      <c r="U94" s="63"/>
      <c r="V94" s="51">
        <f>V92/V93</f>
        <v>0.48691471213319737</v>
      </c>
      <c r="W94" s="63"/>
      <c r="X94" s="51">
        <f>X92/X93</f>
        <v>0.4948750198782727</v>
      </c>
      <c r="Y94" s="45"/>
      <c r="Z94" s="51">
        <f>Z92/Z93</f>
        <v>0.48192847336494554</v>
      </c>
      <c r="AA94" s="45"/>
      <c r="AB94" s="144">
        <f>AB92/AB93</f>
        <v>0.4906379872789835</v>
      </c>
      <c r="AC94" s="45"/>
      <c r="AD94" s="51">
        <f>AD92/AD93</f>
        <v>0.51067728880857233</v>
      </c>
      <c r="AE94" s="45"/>
      <c r="AF94" s="51">
        <f>AF92/AF93</f>
        <v>0.54696755119550944</v>
      </c>
      <c r="AG94" s="45"/>
      <c r="AH94" s="51">
        <f>AH92/AH93</f>
        <v>0.52733374266900979</v>
      </c>
      <c r="AI94" s="145"/>
      <c r="AJ94" s="51">
        <f>AJ92/AJ93</f>
        <v>0.5097014486712943</v>
      </c>
      <c r="AK94" s="45"/>
      <c r="AL94" s="51">
        <f>AL92/AL93</f>
        <v>0.53255198487712663</v>
      </c>
      <c r="AM94" s="45"/>
      <c r="AN94" s="51">
        <f>AN92/AN93</f>
        <v>0.54123059728619716</v>
      </c>
      <c r="AO94" s="45"/>
      <c r="AP94" s="51">
        <f>AP92/AP93</f>
        <v>0.50837418523654065</v>
      </c>
      <c r="AQ94" s="45"/>
      <c r="AR94" s="74"/>
      <c r="AS94" s="74"/>
      <c r="AT94" s="74"/>
      <c r="AU94" s="25"/>
      <c r="AV94" s="25"/>
      <c r="AW94" s="25"/>
      <c r="AX94" s="25"/>
      <c r="AY94" s="25"/>
      <c r="AZ94" s="25"/>
      <c r="BA94" s="25"/>
    </row>
    <row r="95" spans="1:60" x14ac:dyDescent="0.25">
      <c r="B95" s="17"/>
      <c r="C95" s="17"/>
      <c r="D95" s="178"/>
      <c r="F95" s="7"/>
      <c r="H95" s="17"/>
      <c r="I95" s="17"/>
      <c r="J95" s="17"/>
      <c r="K95" s="17"/>
      <c r="L95" s="7"/>
      <c r="N95" s="7"/>
      <c r="P95" s="7"/>
      <c r="R95" s="17"/>
      <c r="S95" s="146"/>
      <c r="T95" s="7"/>
      <c r="V95" s="7"/>
      <c r="X95" s="7"/>
      <c r="Y95" s="7"/>
      <c r="Z95" s="17"/>
      <c r="AA95" s="17"/>
      <c r="AB95" s="105"/>
      <c r="AD95" s="7"/>
      <c r="AE95" s="7"/>
      <c r="AF95" s="7"/>
      <c r="AG95" s="7"/>
      <c r="AH95" s="7"/>
      <c r="AI95" s="119"/>
      <c r="AJ95" s="7"/>
      <c r="AK95" s="7"/>
      <c r="AL95" s="7"/>
      <c r="AM95" s="7"/>
      <c r="AN95" s="7"/>
      <c r="AO95" s="7"/>
      <c r="AP95" s="7"/>
      <c r="AQ95" s="7"/>
      <c r="AR95" s="17"/>
      <c r="AS95" s="17"/>
      <c r="AT95" s="17"/>
    </row>
    <row r="96" spans="1:60" x14ac:dyDescent="0.25">
      <c r="B96" s="17"/>
      <c r="C96" s="17"/>
      <c r="D96" s="178"/>
      <c r="F96" s="7"/>
      <c r="H96" s="17"/>
      <c r="I96" s="17"/>
      <c r="J96" s="17"/>
      <c r="K96" s="17"/>
      <c r="L96" s="7"/>
      <c r="N96" s="7"/>
      <c r="P96" s="7"/>
      <c r="R96" s="17"/>
      <c r="S96" s="146"/>
      <c r="T96" s="7"/>
      <c r="V96" s="7"/>
      <c r="X96" s="7"/>
      <c r="Y96" s="7"/>
      <c r="Z96" s="17"/>
      <c r="AA96" s="17"/>
      <c r="AB96" s="105"/>
      <c r="AD96" s="7"/>
      <c r="AE96" s="7"/>
      <c r="AF96" s="7"/>
      <c r="AG96" s="7"/>
      <c r="AH96" s="7"/>
      <c r="AI96" s="119"/>
      <c r="AJ96" s="7"/>
      <c r="AK96" s="7"/>
      <c r="AL96" s="7"/>
      <c r="AM96" s="7"/>
      <c r="AN96" s="7"/>
      <c r="AO96" s="7"/>
      <c r="AP96" s="7"/>
      <c r="AQ96" s="7"/>
      <c r="AR96" s="17"/>
      <c r="AS96" s="17"/>
      <c r="AT96" s="17"/>
    </row>
    <row r="97" spans="1:132" x14ac:dyDescent="0.25">
      <c r="A97" s="17" t="s">
        <v>257</v>
      </c>
      <c r="B97" s="19">
        <f>C97</f>
        <v>15</v>
      </c>
      <c r="C97" s="211">
        <v>15</v>
      </c>
      <c r="D97" s="107">
        <f>K97+E97+G97+I97</f>
        <v>192</v>
      </c>
      <c r="E97" s="3">
        <v>-24</v>
      </c>
      <c r="F97" s="3">
        <f>G97+I97+K97</f>
        <v>216</v>
      </c>
      <c r="G97" s="37">
        <v>37</v>
      </c>
      <c r="H97" s="19">
        <f>K97+I97</f>
        <v>179</v>
      </c>
      <c r="I97" s="19">
        <v>58</v>
      </c>
      <c r="J97" s="19">
        <f>K97</f>
        <v>121</v>
      </c>
      <c r="K97" s="211">
        <v>121</v>
      </c>
      <c r="L97" s="107">
        <f>S97+M97+O97+Q97</f>
        <v>2030</v>
      </c>
      <c r="M97" s="3">
        <v>270</v>
      </c>
      <c r="N97" s="3">
        <f>O97+Q97+S97</f>
        <v>1760</v>
      </c>
      <c r="O97" s="37">
        <v>369</v>
      </c>
      <c r="P97" s="3">
        <f>Q97+S97</f>
        <v>1391</v>
      </c>
      <c r="Q97" s="3">
        <v>831</v>
      </c>
      <c r="R97" s="14">
        <f>S97</f>
        <v>560</v>
      </c>
      <c r="S97" s="209">
        <v>560</v>
      </c>
      <c r="T97" s="3">
        <f>AA97+U97+W97+Y97</f>
        <v>235</v>
      </c>
      <c r="U97" s="3">
        <v>139</v>
      </c>
      <c r="V97" s="3">
        <f>W97+Y97+AA97</f>
        <v>96</v>
      </c>
      <c r="W97" s="17">
        <v>66</v>
      </c>
      <c r="X97" s="3">
        <f>Y97+AA97</f>
        <v>30</v>
      </c>
      <c r="Y97" s="53">
        <v>-19</v>
      </c>
      <c r="Z97" s="14">
        <f>AA97</f>
        <v>49</v>
      </c>
      <c r="AA97" s="17">
        <v>49</v>
      </c>
      <c r="AB97" s="107">
        <f>AI97+AC97+AE97+AG97</f>
        <v>324</v>
      </c>
      <c r="AC97" s="17">
        <v>92</v>
      </c>
      <c r="AD97" s="3">
        <f>AE97+AG97+AI97</f>
        <v>232</v>
      </c>
      <c r="AE97" s="53">
        <v>59</v>
      </c>
      <c r="AF97" s="3">
        <f>AG97+AI97</f>
        <v>173</v>
      </c>
      <c r="AG97" s="53">
        <v>99</v>
      </c>
      <c r="AH97" s="3">
        <f>AI97</f>
        <v>74</v>
      </c>
      <c r="AI97" s="108">
        <v>74</v>
      </c>
      <c r="AJ97" s="14">
        <f>AK97+AM97+AO97+AQ97</f>
        <v>543</v>
      </c>
      <c r="AK97" s="14">
        <v>120</v>
      </c>
      <c r="AL97" s="14">
        <f>AM97+AO97+AQ97</f>
        <v>423</v>
      </c>
      <c r="AM97" s="14">
        <v>124</v>
      </c>
      <c r="AN97" s="14">
        <f>AO97+AQ97</f>
        <v>299</v>
      </c>
      <c r="AO97" s="14">
        <v>131</v>
      </c>
      <c r="AP97" s="14">
        <f>AQ97</f>
        <v>168</v>
      </c>
      <c r="AQ97" s="14">
        <v>168</v>
      </c>
      <c r="AR97" s="17"/>
      <c r="AS97" s="17"/>
      <c r="AT97" s="17"/>
    </row>
    <row r="98" spans="1:132" x14ac:dyDescent="0.25">
      <c r="A98" s="33" t="s">
        <v>258</v>
      </c>
      <c r="B98" s="37">
        <f>B97/1*4</f>
        <v>60</v>
      </c>
      <c r="C98" s="37">
        <f>C97*4</f>
        <v>60</v>
      </c>
      <c r="D98" s="152">
        <f>D97</f>
        <v>192</v>
      </c>
      <c r="E98" s="3">
        <f>E97*4</f>
        <v>-96</v>
      </c>
      <c r="F98" s="37">
        <f>F97/3*4</f>
        <v>288</v>
      </c>
      <c r="G98" s="37">
        <f>G97*4</f>
        <v>148</v>
      </c>
      <c r="H98" s="37">
        <f>H97/2*4</f>
        <v>358</v>
      </c>
      <c r="I98" s="37">
        <f>I97*4</f>
        <v>232</v>
      </c>
      <c r="J98" s="37">
        <f>J97/1*4</f>
        <v>484</v>
      </c>
      <c r="K98" s="37">
        <f>K97*4</f>
        <v>484</v>
      </c>
      <c r="L98" s="37">
        <f>L97</f>
        <v>2030</v>
      </c>
      <c r="M98" s="3">
        <f>M97*4</f>
        <v>1080</v>
      </c>
      <c r="N98" s="37">
        <f>N97/3*4</f>
        <v>2346.6666666666665</v>
      </c>
      <c r="O98" s="37">
        <f>O97*4</f>
        <v>1476</v>
      </c>
      <c r="P98" s="37">
        <f>P97/2*4</f>
        <v>2782</v>
      </c>
      <c r="Q98" s="37">
        <f>Q97*4</f>
        <v>3324</v>
      </c>
      <c r="R98" s="37">
        <f>R97/1*4</f>
        <v>2240</v>
      </c>
      <c r="S98" s="112">
        <f>S97*4</f>
        <v>2240</v>
      </c>
      <c r="T98" s="37">
        <f>T97</f>
        <v>235</v>
      </c>
      <c r="U98" s="3">
        <f>U97*4</f>
        <v>556</v>
      </c>
      <c r="V98" s="37">
        <f>V97/3*4</f>
        <v>128</v>
      </c>
      <c r="W98" s="37">
        <f>W97*4</f>
        <v>264</v>
      </c>
      <c r="X98" s="37">
        <f>X97/2*4</f>
        <v>60</v>
      </c>
      <c r="Y98" s="37">
        <f>Y97*4</f>
        <v>-76</v>
      </c>
      <c r="Z98" s="37">
        <f>Z97/1*4</f>
        <v>196</v>
      </c>
      <c r="AA98" s="112">
        <f>AA97*4</f>
        <v>196</v>
      </c>
      <c r="AB98" s="107">
        <f>AB97</f>
        <v>324</v>
      </c>
      <c r="AC98" s="3">
        <f>AC97*4</f>
        <v>368</v>
      </c>
      <c r="AD98" s="37">
        <f>AD97/3*4</f>
        <v>309.33333333333331</v>
      </c>
      <c r="AE98" s="37">
        <f>AE97*4</f>
        <v>236</v>
      </c>
      <c r="AF98" s="37">
        <f>AF97/2*4</f>
        <v>346</v>
      </c>
      <c r="AG98" s="37">
        <f>AG97*4</f>
        <v>396</v>
      </c>
      <c r="AH98" s="37">
        <f>AH97/1*4</f>
        <v>296</v>
      </c>
      <c r="AI98" s="112">
        <f>AI97*4</f>
        <v>296</v>
      </c>
      <c r="AJ98" s="59">
        <f>AJ97/4*4</f>
        <v>543</v>
      </c>
      <c r="AK98" s="59">
        <f>AK97*4</f>
        <v>480</v>
      </c>
      <c r="AL98" s="59">
        <f>AL97/3*4</f>
        <v>564</v>
      </c>
      <c r="AM98" s="59">
        <f>AM97*4</f>
        <v>496</v>
      </c>
      <c r="AN98" s="59">
        <f>AN97/2*4</f>
        <v>598</v>
      </c>
      <c r="AO98" s="59">
        <f>AO97*4</f>
        <v>524</v>
      </c>
      <c r="AP98" s="59">
        <f>AP97/1*4</f>
        <v>672</v>
      </c>
      <c r="AQ98" s="59">
        <f>AQ97*4</f>
        <v>672</v>
      </c>
      <c r="AR98" s="17"/>
      <c r="AS98" s="17"/>
      <c r="AT98" s="17"/>
    </row>
    <row r="99" spans="1:132" x14ac:dyDescent="0.25">
      <c r="A99" s="17"/>
      <c r="B99" s="9"/>
      <c r="C99" s="9"/>
      <c r="D99" s="152"/>
      <c r="E99" s="17"/>
      <c r="F99" s="37"/>
      <c r="G99" s="17"/>
      <c r="H99" s="9"/>
      <c r="I99" s="9"/>
      <c r="J99" s="9"/>
      <c r="K99" s="9"/>
      <c r="L99" s="37"/>
      <c r="M99" s="17"/>
      <c r="N99" s="37"/>
      <c r="O99" s="17"/>
      <c r="P99" s="37"/>
      <c r="Q99" s="17"/>
      <c r="R99" s="9"/>
      <c r="S99" s="113"/>
      <c r="T99" s="37"/>
      <c r="U99" s="17"/>
      <c r="V99" s="37"/>
      <c r="W99" s="17"/>
      <c r="X99" s="37"/>
      <c r="Y99" s="37"/>
      <c r="Z99" s="9"/>
      <c r="AA99" s="9"/>
      <c r="AB99" s="147"/>
      <c r="AC99" s="6"/>
      <c r="AD99" s="37"/>
      <c r="AE99" s="37"/>
      <c r="AF99" s="37"/>
      <c r="AG99" s="37"/>
      <c r="AH99" s="37"/>
      <c r="AI99" s="112"/>
      <c r="AJ99" s="59"/>
      <c r="AK99" s="59"/>
      <c r="AL99" s="59"/>
      <c r="AM99" s="59"/>
      <c r="AN99" s="59"/>
      <c r="AO99" s="59"/>
      <c r="AP99" s="59"/>
      <c r="AQ99" s="59"/>
      <c r="AR99" s="17"/>
      <c r="AS99" s="17"/>
      <c r="AT99" s="17"/>
    </row>
    <row r="100" spans="1:132" x14ac:dyDescent="0.25">
      <c r="A100" s="17" t="s">
        <v>259</v>
      </c>
      <c r="B100" s="4">
        <f>(B65+D65)/2</f>
        <v>231940</v>
      </c>
      <c r="C100" s="4">
        <f>B100</f>
        <v>231940</v>
      </c>
      <c r="D100" s="114">
        <f>(D65+L65)/2</f>
        <v>224740</v>
      </c>
      <c r="E100" s="4">
        <f>(D65+F65)/2</f>
        <v>228625.5</v>
      </c>
      <c r="F100" s="20">
        <f>(F65+H65+J65)/3</f>
        <v>224678</v>
      </c>
      <c r="G100" s="4">
        <f>(F65+H65)/2</f>
        <v>226371.5</v>
      </c>
      <c r="H100" s="20">
        <f>(H65+J65+L65)/3</f>
        <v>222087.66666666666</v>
      </c>
      <c r="I100" s="4">
        <f>(H65+J65)/2</f>
        <v>223541</v>
      </c>
      <c r="J100" s="4">
        <f>(J65+L65)/2</f>
        <v>220236</v>
      </c>
      <c r="K100" s="4">
        <f>J100</f>
        <v>220236</v>
      </c>
      <c r="L100" s="114">
        <f>(L65+T65)/2</f>
        <v>213147.5</v>
      </c>
      <c r="M100" s="4">
        <f>(L65+N65)/2</f>
        <v>217988</v>
      </c>
      <c r="N100" s="20">
        <f>(N65+P65+R65)/3</f>
        <v>214462.66666666666</v>
      </c>
      <c r="O100" s="4">
        <f>(N65+P65)/2</f>
        <v>215613.5</v>
      </c>
      <c r="P100" s="20">
        <f>(P65+R65+T65)/3</f>
        <v>211235.66666666666</v>
      </c>
      <c r="Q100" s="4">
        <f>(P65+R65)/2</f>
        <v>213296.5</v>
      </c>
      <c r="R100" s="4">
        <f>(R65+T65)/2</f>
        <v>209637.5</v>
      </c>
      <c r="S100" s="115">
        <f>R100</f>
        <v>209637.5</v>
      </c>
      <c r="T100" s="4">
        <f>(T65+AB65)/2</f>
        <v>199609.5</v>
      </c>
      <c r="U100" s="4">
        <f>(T65+V65)/2</f>
        <v>205344.5</v>
      </c>
      <c r="V100" s="20">
        <f>(V65+X65+Z65)/3</f>
        <v>199556.33333333334</v>
      </c>
      <c r="W100" s="4">
        <f>(V65+X65)/2</f>
        <v>201100.5</v>
      </c>
      <c r="X100" s="20">
        <f>(X65+Z65+AB65)/3</f>
        <v>195733</v>
      </c>
      <c r="Y100" s="4">
        <f>(X65+Z65)/2</f>
        <v>197547</v>
      </c>
      <c r="Z100" s="4">
        <f>(Z65+AB65)/2</f>
        <v>194286.5</v>
      </c>
      <c r="AA100" s="115">
        <f>Z100</f>
        <v>194286.5</v>
      </c>
      <c r="AB100" s="4">
        <f>(AB65+AJ65)/2</f>
        <v>182329.5</v>
      </c>
      <c r="AC100" s="4">
        <f>(AB65+AD65)/2</f>
        <v>187559.5</v>
      </c>
      <c r="AD100" s="20">
        <f>(AD65+AF65+AH65+AJ65)/4</f>
        <v>177196.75</v>
      </c>
      <c r="AE100" s="4">
        <f>(AD65+AF65)/2</f>
        <v>180970.5</v>
      </c>
      <c r="AF100" s="20">
        <f>(AF65+AH65+AJ65)/3</f>
        <v>175257.66666666666</v>
      </c>
      <c r="AG100" s="4">
        <f>(AF65+AH65)/2</f>
        <v>176609.5</v>
      </c>
      <c r="AH100" s="4">
        <f>(AH65+AJ65)/2</f>
        <v>173423</v>
      </c>
      <c r="AI100" s="115">
        <f>AH100</f>
        <v>173423</v>
      </c>
      <c r="AJ100" s="4">
        <v>165096</v>
      </c>
      <c r="AK100" s="4">
        <v>169829.5</v>
      </c>
      <c r="AL100" s="20">
        <v>162386</v>
      </c>
      <c r="AM100" s="4">
        <v>166031.5</v>
      </c>
      <c r="AN100" s="20">
        <v>160813</v>
      </c>
      <c r="AO100" s="4">
        <v>162400.5</v>
      </c>
      <c r="AP100" s="4">
        <v>158740.5</v>
      </c>
      <c r="AQ100" s="4">
        <v>158740.5</v>
      </c>
      <c r="AR100" s="17"/>
      <c r="AS100" s="17"/>
      <c r="AT100" s="17"/>
    </row>
    <row r="101" spans="1:132" ht="15.75" thickBot="1" x14ac:dyDescent="0.3">
      <c r="A101" s="47" t="s">
        <v>169</v>
      </c>
      <c r="B101" s="56">
        <f>B98/B100</f>
        <v>2.5868759161852203E-4</v>
      </c>
      <c r="C101" s="56">
        <f>C98/C100</f>
        <v>2.5868759161852203E-4</v>
      </c>
      <c r="D101" s="148">
        <f>D98/D100</f>
        <v>8.5432054818901837E-4</v>
      </c>
      <c r="E101" s="56">
        <f>E98/E100</f>
        <v>-4.1990066724840406E-4</v>
      </c>
      <c r="F101" s="56">
        <f t="shared" ref="F101" si="110">F98/F100</f>
        <v>1.2818344475204514E-3</v>
      </c>
      <c r="G101" s="56">
        <f>G98/G100</f>
        <v>6.5379254897370031E-4</v>
      </c>
      <c r="H101" s="56">
        <f t="shared" ref="H101:I101" si="111">H98/H100</f>
        <v>1.6119760514991827E-3</v>
      </c>
      <c r="I101" s="56">
        <f t="shared" si="111"/>
        <v>1.037840932983211E-3</v>
      </c>
      <c r="J101" s="56">
        <f>J98/J100</f>
        <v>2.1976425289235183E-3</v>
      </c>
      <c r="K101" s="56">
        <f>K98/K100</f>
        <v>2.1976425289235183E-3</v>
      </c>
      <c r="L101" s="148">
        <f>L98/L100</f>
        <v>9.523921228257428E-3</v>
      </c>
      <c r="M101" s="56">
        <f>M98/M100</f>
        <v>4.954401159696864E-3</v>
      </c>
      <c r="N101" s="56">
        <f t="shared" ref="N101" si="112">N98/N100</f>
        <v>1.0942075388412591E-2</v>
      </c>
      <c r="O101" s="56">
        <f>O98/O100</f>
        <v>6.8455824890370966E-3</v>
      </c>
      <c r="P101" s="56">
        <f t="shared" ref="P101:Q101" si="113">P98/P100</f>
        <v>1.3170124363467661E-2</v>
      </c>
      <c r="Q101" s="56">
        <f t="shared" si="113"/>
        <v>1.5583940664755399E-2</v>
      </c>
      <c r="R101" s="56">
        <f t="shared" ref="R101:S101" si="114">R98/R100</f>
        <v>1.0685111203863812E-2</v>
      </c>
      <c r="S101" s="149">
        <f t="shared" si="114"/>
        <v>1.0685111203863812E-2</v>
      </c>
      <c r="T101" s="56">
        <f>T98/T100</f>
        <v>1.1772986756642344E-3</v>
      </c>
      <c r="U101" s="56">
        <f>U98/U100</f>
        <v>2.7076449576199997E-3</v>
      </c>
      <c r="V101" s="56">
        <f t="shared" ref="V101" si="115">V98/V100</f>
        <v>6.414228897771556E-4</v>
      </c>
      <c r="W101" s="56">
        <f>W98/W100</f>
        <v>1.3127764475970971E-3</v>
      </c>
      <c r="X101" s="56">
        <f t="shared" ref="X101:Y101" si="116">X98/X100</f>
        <v>3.0654003157362328E-4</v>
      </c>
      <c r="Y101" s="56">
        <f t="shared" si="116"/>
        <v>-3.8471857330154343E-4</v>
      </c>
      <c r="Z101" s="56">
        <f t="shared" ref="Z101:AA101" si="117">Z98/Z100</f>
        <v>1.0088194496272259E-3</v>
      </c>
      <c r="AA101" s="149">
        <f t="shared" si="117"/>
        <v>1.0088194496272259E-3</v>
      </c>
      <c r="AB101" s="148">
        <f>AB98/AB100</f>
        <v>1.7770026243696165E-3</v>
      </c>
      <c r="AC101" s="56">
        <f>AC98/AC100</f>
        <v>1.9620440446898183E-3</v>
      </c>
      <c r="AD101" s="56">
        <f>AD98/AD100</f>
        <v>1.7457054564112113E-3</v>
      </c>
      <c r="AE101" s="56">
        <f>AE98/AE100</f>
        <v>1.3040799467316495E-3</v>
      </c>
      <c r="AF101" s="56">
        <f t="shared" ref="AF101:AQ101" si="118">AF98/AF100</f>
        <v>1.9742360296173445E-3</v>
      </c>
      <c r="AG101" s="56">
        <f t="shared" si="118"/>
        <v>2.2422349873591173E-3</v>
      </c>
      <c r="AH101" s="56">
        <f t="shared" si="118"/>
        <v>1.7068093620800009E-3</v>
      </c>
      <c r="AI101" s="149">
        <f t="shared" si="118"/>
        <v>1.7068093620800009E-3</v>
      </c>
      <c r="AJ101" s="56">
        <f t="shared" si="118"/>
        <v>3.2889954935310366E-3</v>
      </c>
      <c r="AK101" s="56">
        <f t="shared" si="118"/>
        <v>2.8263640886889499E-3</v>
      </c>
      <c r="AL101" s="56">
        <f t="shared" si="118"/>
        <v>3.4732058182355622E-3</v>
      </c>
      <c r="AM101" s="56">
        <f t="shared" si="118"/>
        <v>2.9873849239451548E-3</v>
      </c>
      <c r="AN101" s="56">
        <f t="shared" si="118"/>
        <v>3.7186048391610132E-3</v>
      </c>
      <c r="AO101" s="56">
        <f t="shared" si="118"/>
        <v>3.2265910511359262E-3</v>
      </c>
      <c r="AP101" s="56">
        <f t="shared" si="118"/>
        <v>4.2333241989284398E-3</v>
      </c>
      <c r="AQ101" s="56">
        <f t="shared" si="118"/>
        <v>4.2333241989284398E-3</v>
      </c>
      <c r="AR101" s="17"/>
      <c r="AS101" s="17"/>
      <c r="AT101" s="17"/>
    </row>
    <row r="102" spans="1:132" x14ac:dyDescent="0.25">
      <c r="B102" s="9"/>
      <c r="C102" s="9"/>
      <c r="D102" s="152"/>
      <c r="E102" s="17"/>
      <c r="F102" s="37"/>
      <c r="G102" s="17"/>
      <c r="H102" s="9"/>
      <c r="I102" s="9"/>
      <c r="J102" s="9"/>
      <c r="K102" s="9"/>
      <c r="L102" s="37"/>
      <c r="M102" s="17"/>
      <c r="N102" s="37"/>
      <c r="O102" s="17"/>
      <c r="P102" s="37"/>
      <c r="Q102" s="17"/>
      <c r="R102" s="9"/>
      <c r="S102" s="113"/>
      <c r="T102" s="37"/>
      <c r="U102" s="17"/>
      <c r="V102" s="37"/>
      <c r="W102" s="17"/>
      <c r="X102" s="37"/>
      <c r="Y102" s="37"/>
      <c r="Z102" s="9"/>
      <c r="AA102" s="9"/>
      <c r="AB102" s="147"/>
      <c r="AC102" s="6"/>
      <c r="AD102" s="37"/>
      <c r="AE102" s="37"/>
      <c r="AF102" s="37"/>
      <c r="AG102" s="37"/>
      <c r="AH102" s="37"/>
      <c r="AI102" s="112"/>
      <c r="AJ102" s="59"/>
      <c r="AK102" s="59"/>
      <c r="AL102" s="59"/>
      <c r="AM102" s="59"/>
      <c r="AN102" s="59"/>
      <c r="AO102" s="59"/>
      <c r="AP102" s="59"/>
      <c r="AQ102" s="59"/>
      <c r="AR102" s="17"/>
      <c r="AS102" s="17"/>
      <c r="AT102" s="17"/>
    </row>
    <row r="103" spans="1:132" x14ac:dyDescent="0.25">
      <c r="A103" s="33" t="s">
        <v>260</v>
      </c>
      <c r="B103" s="4">
        <f>(B67+D67)/2</f>
        <v>231940</v>
      </c>
      <c r="C103" s="4">
        <f>B103</f>
        <v>231940</v>
      </c>
      <c r="D103" s="114">
        <f>(D67+L67)/2</f>
        <v>224740</v>
      </c>
      <c r="E103" s="4">
        <f>(D67+F67)/2</f>
        <v>228625.5</v>
      </c>
      <c r="F103" s="20">
        <f>(F67+H67+J67)/3</f>
        <v>224678</v>
      </c>
      <c r="G103" s="4">
        <f>(F67+H67)/2</f>
        <v>226371.5</v>
      </c>
      <c r="H103" s="20">
        <f>(H67+J67+L67)/3</f>
        <v>222087.66666666666</v>
      </c>
      <c r="I103" s="4">
        <f>(H67+J67)/2</f>
        <v>223541</v>
      </c>
      <c r="J103" s="4">
        <f>(J67+L67)/2</f>
        <v>220236</v>
      </c>
      <c r="K103" s="4">
        <f>J103</f>
        <v>220236</v>
      </c>
      <c r="L103" s="114">
        <f>(L67+T67)/2</f>
        <v>215269</v>
      </c>
      <c r="M103" s="4">
        <f>(L67+N67)/2</f>
        <v>219683</v>
      </c>
      <c r="N103" s="20">
        <f>(N67+P67+R67)/3</f>
        <v>218389.66666666666</v>
      </c>
      <c r="O103" s="4">
        <f>(N67+P67)/2</f>
        <v>219407.5</v>
      </c>
      <c r="P103" s="20">
        <f>(P67+R67+T67)/3</f>
        <v>215447</v>
      </c>
      <c r="Q103" s="4">
        <f>(P67+R67)/2</f>
        <v>217492</v>
      </c>
      <c r="R103" s="4">
        <f>(R67+T67)/2</f>
        <v>213855.5</v>
      </c>
      <c r="S103" s="115">
        <f>R103</f>
        <v>213855.5</v>
      </c>
      <c r="T103" s="4">
        <f>(T67+AB67)/2</f>
        <v>206378</v>
      </c>
      <c r="U103" s="4">
        <f>(T67+V67)/2</f>
        <v>210605.5</v>
      </c>
      <c r="V103" s="20">
        <f>(V67+X67+Z67)/3</f>
        <v>207591</v>
      </c>
      <c r="W103" s="4">
        <f>(V67+X67)/2</f>
        <v>208683.5</v>
      </c>
      <c r="X103" s="20">
        <f>(X67+Z67+AB67)/3</f>
        <v>204772.66666666666</v>
      </c>
      <c r="Y103" s="4">
        <f>(X67+Z67)/2</f>
        <v>206459.5</v>
      </c>
      <c r="Z103" s="4">
        <f>(Z67+AB67)/2</f>
        <v>203402.5</v>
      </c>
      <c r="AA103" s="115">
        <f>Z103</f>
        <v>203402.5</v>
      </c>
      <c r="AB103" s="4">
        <f>(AB67+AJ67)/2</f>
        <v>194268</v>
      </c>
      <c r="AC103" s="4">
        <f>(AB67+AD67)/2</f>
        <v>198922</v>
      </c>
      <c r="AD103" s="20">
        <f>(AD67+AF67+AH67+AJ67)/4</f>
        <v>191495</v>
      </c>
      <c r="AE103" s="4">
        <f>(AD67+AF67)/2</f>
        <v>194959.5</v>
      </c>
      <c r="AF103" s="20">
        <f>(AF67+AH67+AJ67)/3</f>
        <v>189845</v>
      </c>
      <c r="AG103" s="4">
        <f>(AF67+AH67)/2</f>
        <v>191199</v>
      </c>
      <c r="AH103" s="4">
        <f>(AH67+AJ67)/2</f>
        <v>188030.5</v>
      </c>
      <c r="AI103" s="115">
        <f>AH103</f>
        <v>188030.5</v>
      </c>
      <c r="AJ103" s="4">
        <v>184734.5</v>
      </c>
      <c r="AK103" s="4">
        <v>186143.5</v>
      </c>
      <c r="AL103" s="4">
        <v>183745.25</v>
      </c>
      <c r="AM103" s="4">
        <v>184733.5</v>
      </c>
      <c r="AN103" s="4">
        <v>183277</v>
      </c>
      <c r="AO103" s="4">
        <v>183749.5</v>
      </c>
      <c r="AP103" s="4">
        <v>182757</v>
      </c>
      <c r="AQ103" s="4">
        <v>182757</v>
      </c>
      <c r="AR103" s="17"/>
      <c r="AS103" s="17"/>
      <c r="AT103" s="17"/>
    </row>
    <row r="104" spans="1:132" s="23" customFormat="1" ht="21" customHeight="1" thickBot="1" x14ac:dyDescent="0.3">
      <c r="A104" s="75" t="s">
        <v>171</v>
      </c>
      <c r="B104" s="56">
        <f>B98/B103</f>
        <v>2.5868759161852203E-4</v>
      </c>
      <c r="C104" s="56">
        <f>C98/C103</f>
        <v>2.5868759161852203E-4</v>
      </c>
      <c r="D104" s="124">
        <f>D98/D103</f>
        <v>8.5432054818901837E-4</v>
      </c>
      <c r="E104" s="57">
        <f>E98/E103</f>
        <v>-4.1990066724840406E-4</v>
      </c>
      <c r="F104" s="56">
        <f>F98/F103+0.001%</f>
        <v>1.2918344475204514E-3</v>
      </c>
      <c r="G104" s="56">
        <f t="shared" ref="G104:I104" si="119">G98/G103</f>
        <v>6.5379254897370031E-4</v>
      </c>
      <c r="H104" s="56">
        <f t="shared" si="119"/>
        <v>1.6119760514991827E-3</v>
      </c>
      <c r="I104" s="56">
        <f t="shared" si="119"/>
        <v>1.037840932983211E-3</v>
      </c>
      <c r="J104" s="56">
        <f>J98/J103</f>
        <v>2.1976425289235183E-3</v>
      </c>
      <c r="K104" s="56">
        <f>K98/K103</f>
        <v>2.1976425289235183E-3</v>
      </c>
      <c r="L104" s="124">
        <f>L98/L103</f>
        <v>9.4300619225248412E-3</v>
      </c>
      <c r="M104" s="57">
        <f>M98/M103</f>
        <v>4.9161746698652151E-3</v>
      </c>
      <c r="N104" s="56">
        <f>N98/N103+0.001%</f>
        <v>1.0755319146662921E-2</v>
      </c>
      <c r="O104" s="56">
        <f t="shared" ref="O104" si="120">O98/O103</f>
        <v>6.7272085047229467E-3</v>
      </c>
      <c r="P104" s="56">
        <f t="shared" ref="P104:Q104" si="121">P98/P103</f>
        <v>1.2912688503437041E-2</v>
      </c>
      <c r="Q104" s="56">
        <f t="shared" si="121"/>
        <v>1.5283320765821272E-2</v>
      </c>
      <c r="R104" s="56">
        <f t="shared" ref="R104:S104" si="122">R98/R103</f>
        <v>1.0474362361501108E-2</v>
      </c>
      <c r="S104" s="149">
        <f t="shared" si="122"/>
        <v>1.0474362361501108E-2</v>
      </c>
      <c r="T104" s="57">
        <f>T98/T103</f>
        <v>1.1386872631772766E-3</v>
      </c>
      <c r="U104" s="57">
        <f>U98/U103</f>
        <v>2.6400070273568353E-3</v>
      </c>
      <c r="V104" s="56">
        <f t="shared" ref="V104:W104" si="123">V98/V103</f>
        <v>6.1659705863934368E-4</v>
      </c>
      <c r="W104" s="56">
        <f t="shared" si="123"/>
        <v>1.2650736641852374E-3</v>
      </c>
      <c r="X104" s="56">
        <f t="shared" ref="X104:Y104" si="124">X98/X103</f>
        <v>2.9300785586618009E-4</v>
      </c>
      <c r="Y104" s="56">
        <f t="shared" si="124"/>
        <v>-3.6811093701185949E-4</v>
      </c>
      <c r="Z104" s="56">
        <f t="shared" ref="Z104:AA104" si="125">Z98/Z103</f>
        <v>9.636066420029252E-4</v>
      </c>
      <c r="AA104" s="149">
        <f t="shared" si="125"/>
        <v>9.636066420029252E-4</v>
      </c>
      <c r="AB104" s="124">
        <f>AB98/AB103</f>
        <v>1.6677991228612021E-3</v>
      </c>
      <c r="AC104" s="57">
        <f>AC98/AC103</f>
        <v>1.8499713455525282E-3</v>
      </c>
      <c r="AD104" s="56">
        <f>AD98/AD103</f>
        <v>1.6153598440342219E-3</v>
      </c>
      <c r="AE104" s="56">
        <f t="shared" ref="AE104:AJ104" si="126">AE98/AE103</f>
        <v>1.2105078234197358E-3</v>
      </c>
      <c r="AF104" s="56">
        <f t="shared" si="126"/>
        <v>1.8225394400695305E-3</v>
      </c>
      <c r="AG104" s="56">
        <f t="shared" si="126"/>
        <v>2.0711405394379678E-3</v>
      </c>
      <c r="AH104" s="56">
        <f t="shared" si="126"/>
        <v>1.5742126942171616E-3</v>
      </c>
      <c r="AI104" s="149">
        <f t="shared" si="126"/>
        <v>1.5742126942171616E-3</v>
      </c>
      <c r="AJ104" s="56">
        <f t="shared" si="126"/>
        <v>2.939353504624204E-3</v>
      </c>
      <c r="AK104" s="56">
        <f t="shared" ref="AK104:AQ104" si="127">AK98/AK103</f>
        <v>2.5786557145428125E-3</v>
      </c>
      <c r="AL104" s="56">
        <f t="shared" si="127"/>
        <v>3.0694671018706605E-3</v>
      </c>
      <c r="AM104" s="56">
        <f t="shared" si="127"/>
        <v>2.6849488587614048E-3</v>
      </c>
      <c r="AN104" s="56">
        <f t="shared" si="127"/>
        <v>3.2628207576509871E-3</v>
      </c>
      <c r="AO104" s="56">
        <f t="shared" si="127"/>
        <v>2.8517084400229661E-3</v>
      </c>
      <c r="AP104" s="56">
        <f t="shared" si="127"/>
        <v>3.6770137395558036E-3</v>
      </c>
      <c r="AQ104" s="56">
        <f t="shared" si="127"/>
        <v>3.6770137395558036E-3</v>
      </c>
      <c r="AR104" s="46"/>
      <c r="AS104" s="46"/>
      <c r="AT104" s="46"/>
    </row>
    <row r="105" spans="1:132" s="23" customFormat="1" x14ac:dyDescent="0.25">
      <c r="B105" s="46"/>
      <c r="C105" s="46"/>
      <c r="D105" s="180"/>
      <c r="F105" s="66"/>
      <c r="H105" s="46"/>
      <c r="I105" s="46"/>
      <c r="J105" s="46"/>
      <c r="K105" s="46"/>
      <c r="L105" s="66"/>
      <c r="N105" s="66"/>
      <c r="P105" s="66"/>
      <c r="R105" s="46"/>
      <c r="S105" s="203"/>
      <c r="T105" s="66"/>
      <c r="V105" s="66"/>
      <c r="X105" s="66"/>
      <c r="Y105" s="66"/>
      <c r="Z105" s="46"/>
      <c r="AA105" s="46"/>
      <c r="AB105" s="150"/>
      <c r="AC105" s="46"/>
      <c r="AD105" s="66"/>
      <c r="AE105" s="66"/>
      <c r="AF105" s="66"/>
      <c r="AG105" s="66"/>
      <c r="AH105" s="66"/>
      <c r="AI105" s="151"/>
      <c r="AJ105" s="66"/>
      <c r="AK105" s="66"/>
      <c r="AL105" s="66"/>
      <c r="AM105" s="66"/>
      <c r="AN105" s="66"/>
      <c r="AO105" s="66"/>
      <c r="AP105" s="66"/>
      <c r="AQ105" s="66"/>
      <c r="AR105" s="46"/>
      <c r="AS105" s="46"/>
      <c r="AT105" s="46"/>
    </row>
    <row r="106" spans="1:132" s="23" customFormat="1" x14ac:dyDescent="0.25">
      <c r="A106" t="s">
        <v>261</v>
      </c>
      <c r="B106" s="14">
        <v>52494</v>
      </c>
      <c r="C106" s="37"/>
      <c r="D106" s="212">
        <v>50058</v>
      </c>
      <c r="E106" s="3"/>
      <c r="F106" s="3">
        <v>48543</v>
      </c>
      <c r="G106" s="37"/>
      <c r="H106" s="14">
        <v>50708</v>
      </c>
      <c r="I106" s="14"/>
      <c r="J106" s="14">
        <v>46111</v>
      </c>
      <c r="K106" s="37"/>
      <c r="L106" s="107">
        <v>43249</v>
      </c>
      <c r="M106" s="3"/>
      <c r="N106" s="3">
        <v>43144</v>
      </c>
      <c r="O106" s="37"/>
      <c r="P106" s="3">
        <v>44594</v>
      </c>
      <c r="Q106" s="3"/>
      <c r="R106" s="14">
        <v>41790</v>
      </c>
      <c r="S106" s="112"/>
      <c r="T106" s="3">
        <v>37855</v>
      </c>
      <c r="U106" s="3"/>
      <c r="V106" s="3">
        <v>39520</v>
      </c>
      <c r="W106" s="37"/>
      <c r="X106" s="3">
        <v>41555</v>
      </c>
      <c r="Y106" s="3"/>
      <c r="Z106" s="14">
        <v>39931</v>
      </c>
      <c r="AA106" s="112"/>
      <c r="AB106" s="107">
        <v>38851</v>
      </c>
      <c r="AC106" s="3"/>
      <c r="AD106" s="3">
        <v>40169</v>
      </c>
      <c r="AE106" s="53"/>
      <c r="AF106" s="3">
        <v>39353</v>
      </c>
      <c r="AG106" s="53"/>
      <c r="AH106" s="3">
        <v>36231</v>
      </c>
      <c r="AI106" s="108"/>
      <c r="AJ106" s="66"/>
      <c r="AK106" s="66"/>
      <c r="AL106" s="66"/>
      <c r="AM106" s="66"/>
      <c r="AN106" s="66"/>
      <c r="AO106" s="66"/>
      <c r="AP106" s="66"/>
      <c r="AQ106" s="66"/>
      <c r="AR106" s="46"/>
      <c r="AS106" s="46"/>
      <c r="AT106" s="46"/>
    </row>
    <row r="107" spans="1:132" s="23" customFormat="1" x14ac:dyDescent="0.25">
      <c r="B107" s="46"/>
      <c r="C107" s="46"/>
      <c r="D107" s="180"/>
      <c r="F107" s="66"/>
      <c r="H107" s="46"/>
      <c r="I107" s="46"/>
      <c r="J107" s="46"/>
      <c r="K107" s="46"/>
      <c r="L107" s="66"/>
      <c r="N107" s="66"/>
      <c r="P107" s="66"/>
      <c r="R107" s="46"/>
      <c r="S107" s="203"/>
      <c r="T107" s="66"/>
      <c r="V107" s="66"/>
      <c r="X107" s="66"/>
      <c r="Y107" s="66"/>
      <c r="Z107" s="46"/>
      <c r="AA107" s="46"/>
      <c r="AB107" s="150"/>
      <c r="AC107" s="46"/>
      <c r="AD107" s="66"/>
      <c r="AE107" s="66"/>
      <c r="AF107" s="66"/>
      <c r="AG107" s="66"/>
      <c r="AH107" s="66"/>
      <c r="AI107" s="151"/>
      <c r="AJ107" s="66"/>
      <c r="AK107" s="66"/>
      <c r="AL107" s="66"/>
      <c r="AM107" s="66"/>
      <c r="AN107" s="66"/>
      <c r="AO107" s="66"/>
      <c r="AP107" s="66"/>
      <c r="AQ107" s="66"/>
      <c r="AR107" s="46"/>
      <c r="AS107" s="46"/>
      <c r="AT107" s="46"/>
    </row>
    <row r="108" spans="1:132" ht="15" customHeight="1" x14ac:dyDescent="0.25">
      <c r="A108" t="s">
        <v>262</v>
      </c>
      <c r="B108" s="59">
        <v>12330</v>
      </c>
      <c r="C108" s="9"/>
      <c r="D108" s="212">
        <v>12059</v>
      </c>
      <c r="E108" s="17"/>
      <c r="F108" s="53">
        <v>14698</v>
      </c>
      <c r="G108" s="17"/>
      <c r="H108" s="59">
        <v>13813</v>
      </c>
      <c r="I108" s="59"/>
      <c r="J108" s="59">
        <v>12644</v>
      </c>
      <c r="K108" s="9"/>
      <c r="L108" s="53">
        <v>14072</v>
      </c>
      <c r="M108" s="17"/>
      <c r="N108" s="53">
        <v>13287</v>
      </c>
      <c r="O108" s="17"/>
      <c r="P108" s="53">
        <v>11653</v>
      </c>
      <c r="Q108" s="17"/>
      <c r="R108" s="59">
        <v>14247</v>
      </c>
      <c r="S108" s="113"/>
      <c r="T108" s="53">
        <v>14376</v>
      </c>
      <c r="U108" s="17"/>
      <c r="V108" s="53">
        <v>14958</v>
      </c>
      <c r="W108" s="17"/>
      <c r="X108" s="53">
        <v>13525</v>
      </c>
      <c r="Y108" s="3"/>
      <c r="Z108" s="59">
        <v>13237</v>
      </c>
      <c r="AA108" s="9"/>
      <c r="AB108" s="152">
        <v>14289</v>
      </c>
      <c r="AC108" s="6"/>
      <c r="AD108" s="3">
        <v>14413</v>
      </c>
      <c r="AE108" s="3"/>
      <c r="AF108" s="53">
        <v>13080</v>
      </c>
      <c r="AG108" s="3"/>
      <c r="AH108" s="53">
        <v>14027</v>
      </c>
      <c r="AI108" s="106"/>
      <c r="AJ108" s="79"/>
      <c r="AK108" s="79"/>
      <c r="AR108" s="17"/>
      <c r="AS108" s="17"/>
      <c r="AT108" s="17"/>
    </row>
    <row r="109" spans="1:132" ht="15" customHeight="1" x14ac:dyDescent="0.25">
      <c r="A109" s="17" t="s">
        <v>263</v>
      </c>
      <c r="B109" s="187">
        <v>2029</v>
      </c>
      <c r="C109" s="9"/>
      <c r="D109" s="212">
        <v>1904</v>
      </c>
      <c r="E109" s="17"/>
      <c r="F109" s="53">
        <v>2566</v>
      </c>
      <c r="G109" s="17"/>
      <c r="H109" s="187">
        <v>2783</v>
      </c>
      <c r="I109" s="187"/>
      <c r="J109" s="187">
        <v>2801</v>
      </c>
      <c r="K109" s="9"/>
      <c r="L109" s="53">
        <v>2208</v>
      </c>
      <c r="M109" s="17"/>
      <c r="N109" s="53">
        <v>2859</v>
      </c>
      <c r="O109" s="17"/>
      <c r="P109" s="53">
        <v>2616</v>
      </c>
      <c r="Q109" s="17"/>
      <c r="R109" s="187">
        <v>2688</v>
      </c>
      <c r="S109" s="113"/>
      <c r="T109" s="53">
        <v>2698</v>
      </c>
      <c r="U109" s="17"/>
      <c r="V109" s="53">
        <v>2997</v>
      </c>
      <c r="W109" s="17"/>
      <c r="X109" s="53">
        <v>2805</v>
      </c>
      <c r="Y109" s="3"/>
      <c r="Z109" s="187">
        <v>2965</v>
      </c>
      <c r="AA109" s="9"/>
      <c r="AB109" s="152">
        <v>4224</v>
      </c>
      <c r="AC109" s="6"/>
      <c r="AD109" s="3">
        <v>4941</v>
      </c>
      <c r="AE109" s="3"/>
      <c r="AF109" s="53">
        <v>4685</v>
      </c>
      <c r="AG109" s="3"/>
      <c r="AH109" s="53">
        <v>4549</v>
      </c>
      <c r="AI109" s="106"/>
      <c r="AJ109" s="79"/>
      <c r="AK109" s="79"/>
      <c r="AR109" s="17"/>
      <c r="AS109" s="17"/>
      <c r="AT109" s="17"/>
    </row>
    <row r="110" spans="1:132" ht="32.25" customHeight="1" thickBot="1" x14ac:dyDescent="0.3">
      <c r="A110" s="75" t="s">
        <v>264</v>
      </c>
      <c r="B110" s="56">
        <f>(B108+B109)/B65</f>
        <v>6.1473321888338518E-2</v>
      </c>
      <c r="C110" s="56"/>
      <c r="D110" s="148">
        <f>(D108+D109)/D65</f>
        <v>6.06298768123179E-2</v>
      </c>
      <c r="E110" s="75"/>
      <c r="F110" s="56">
        <f>(F108+F109)/F65</f>
        <v>7.6068948500123371E-2</v>
      </c>
      <c r="G110" s="75"/>
      <c r="H110" s="56">
        <f>(H108+H109)/H65</f>
        <v>7.3501601038128181E-2</v>
      </c>
      <c r="I110" s="56"/>
      <c r="J110" s="56">
        <f>(J108+J109)/J65</f>
        <v>6.9794975846283858E-2</v>
      </c>
      <c r="K110" s="56"/>
      <c r="L110" s="148">
        <f>(L108+L109)/L65</f>
        <v>7.4276511193944725E-2</v>
      </c>
      <c r="M110" s="75"/>
      <c r="N110" s="56">
        <f>(N108+N109)/N65</f>
        <v>7.4475887359025814E-2</v>
      </c>
      <c r="O110" s="75"/>
      <c r="P110" s="56">
        <f>(P108+P109)/P65</f>
        <v>6.6543239814952998E-2</v>
      </c>
      <c r="Q110" s="75"/>
      <c r="R110" s="56">
        <f>(R108+R109)/R65</f>
        <v>7.9821456346830938E-2</v>
      </c>
      <c r="S110" s="149"/>
      <c r="T110" s="56">
        <f>(T108+T109)/T65</f>
        <v>8.2437691319756271E-2</v>
      </c>
      <c r="U110" s="75"/>
      <c r="V110" s="56">
        <f>(V108+V109)/V65</f>
        <v>8.8198452658725279E-2</v>
      </c>
      <c r="W110" s="75"/>
      <c r="X110" s="56">
        <f>(X108+X109)/X65</f>
        <v>8.2214815784439094E-2</v>
      </c>
      <c r="Y110" s="56"/>
      <c r="Z110" s="56">
        <f>(Z108+Z109)/Z65</f>
        <v>8.2466355844208722E-2</v>
      </c>
      <c r="AA110" s="56"/>
      <c r="AB110" s="148">
        <f>(AB108+AB109)/AB65</f>
        <v>9.6369173108456316E-2</v>
      </c>
      <c r="AC110" s="56"/>
      <c r="AD110" s="56">
        <f>(AD108+AD109)/AD65</f>
        <v>0.10575147256494039</v>
      </c>
      <c r="AE110" s="56"/>
      <c r="AF110" s="56">
        <f>(AF108+AF109)/AF65</f>
        <v>9.9286301117215398E-2</v>
      </c>
      <c r="AG110" s="56"/>
      <c r="AH110" s="56">
        <f>(AH108+AH109)/AH65</f>
        <v>0.10657976269708305</v>
      </c>
      <c r="AI110" s="141"/>
      <c r="AJ110" s="79"/>
      <c r="AK110" s="79"/>
      <c r="AL110"/>
      <c r="AM110"/>
      <c r="AN110"/>
      <c r="AO110"/>
      <c r="AP110"/>
      <c r="AQ110"/>
      <c r="AR110" s="17"/>
      <c r="AS110" s="17"/>
      <c r="AT110" s="17"/>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row>
    <row r="111" spans="1:132" ht="15" customHeight="1" x14ac:dyDescent="0.25">
      <c r="A111" s="62"/>
      <c r="B111" s="71"/>
      <c r="C111"/>
      <c r="D111" s="153"/>
      <c r="E111" s="33"/>
      <c r="F111" s="71"/>
      <c r="G111" s="33"/>
      <c r="H111" s="71"/>
      <c r="I111" s="71"/>
      <c r="J111" s="71"/>
      <c r="K111"/>
      <c r="L111" s="71"/>
      <c r="M111" s="33"/>
      <c r="N111" s="71"/>
      <c r="O111" s="33"/>
      <c r="P111" s="71"/>
      <c r="Q111" s="33"/>
      <c r="R111" s="71"/>
      <c r="S111" s="141"/>
      <c r="T111" s="71"/>
      <c r="U111" s="33"/>
      <c r="V111" s="71"/>
      <c r="W111" s="33"/>
      <c r="X111" s="71"/>
      <c r="Y111"/>
      <c r="Z111" s="71"/>
      <c r="AA111"/>
      <c r="AB111" s="153"/>
      <c r="AC111"/>
      <c r="AD111" s="71"/>
      <c r="AE111"/>
      <c r="AF111" s="71"/>
      <c r="AG111"/>
      <c r="AH111" s="71"/>
      <c r="AI111" s="141"/>
      <c r="AJ111" s="79"/>
      <c r="AK111" s="79"/>
      <c r="AL111"/>
      <c r="AM111"/>
      <c r="AN111"/>
      <c r="AO111"/>
      <c r="AP111"/>
      <c r="AQ111"/>
      <c r="AR111" s="17"/>
      <c r="AS111" s="17"/>
      <c r="AT111" s="17"/>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row>
    <row r="112" spans="1:132" ht="30.75" thickBot="1" x14ac:dyDescent="0.3">
      <c r="A112" s="75" t="s">
        <v>265</v>
      </c>
      <c r="B112" s="56">
        <f>(B108+B109)/B67</f>
        <v>6.1473321888338518E-2</v>
      </c>
      <c r="C112" s="56"/>
      <c r="D112" s="148">
        <f>(D108+D109)/D67</f>
        <v>6.06298768123179E-2</v>
      </c>
      <c r="E112" s="75"/>
      <c r="F112" s="56">
        <f>(F108+F109)/F67</f>
        <v>7.6068948500123371E-2</v>
      </c>
      <c r="G112" s="75"/>
      <c r="H112" s="56">
        <f>(H108+H109)/H67</f>
        <v>7.3501601038128181E-2</v>
      </c>
      <c r="I112" s="56"/>
      <c r="J112" s="56">
        <f>(J108+J109)/J67</f>
        <v>6.9794975846283858E-2</v>
      </c>
      <c r="K112" s="56"/>
      <c r="L112" s="148">
        <f>(L108+L109)/L67</f>
        <v>7.4276511193944725E-2</v>
      </c>
      <c r="M112" s="75"/>
      <c r="N112" s="56">
        <f>(N108+N109)/N67</f>
        <v>7.3329245861434703E-2</v>
      </c>
      <c r="O112" s="75"/>
      <c r="P112" s="56">
        <f>(P108+P109)/P67</f>
        <v>6.5265517083657326E-2</v>
      </c>
      <c r="Q112" s="75"/>
      <c r="R112" s="56">
        <f>(R108+R109)/R67</f>
        <v>7.8274494578329953E-2</v>
      </c>
      <c r="S112" s="149"/>
      <c r="T112" s="56">
        <f>(T108+T109)/T67</f>
        <v>8.0782751458432889E-2</v>
      </c>
      <c r="U112" s="75"/>
      <c r="V112" s="56">
        <f>(V108+V109)/V67</f>
        <v>8.5559484212833686E-2</v>
      </c>
      <c r="W112" s="75"/>
      <c r="X112" s="56">
        <f>(X108+X109)/X67</f>
        <v>7.8693864962677038E-2</v>
      </c>
      <c r="Y112" s="56"/>
      <c r="Z112" s="56">
        <f>(Z108+Z109)/Z67</f>
        <v>7.8877929563888102E-2</v>
      </c>
      <c r="AA112" s="56"/>
      <c r="AB112" s="148">
        <f>(AB108+AB109)/AB67</f>
        <v>9.1922005571030641E-2</v>
      </c>
      <c r="AC112" s="56"/>
      <c r="AD112" s="56">
        <f>(AD108+AD109)/AD67</f>
        <v>9.8521214589325251E-2</v>
      </c>
      <c r="AE112" s="56"/>
      <c r="AF112" s="56">
        <f>(AF108+AF109)/AF67</f>
        <v>9.1821123251703066E-2</v>
      </c>
      <c r="AG112" s="56"/>
      <c r="AH112" s="56">
        <f>(AH108+AH109)/AH67</f>
        <v>9.8325252482479725E-2</v>
      </c>
      <c r="AI112" s="141"/>
      <c r="AJ112" s="79"/>
      <c r="AK112" s="79"/>
      <c r="AL112"/>
      <c r="AM112"/>
      <c r="AN112"/>
      <c r="AO112"/>
      <c r="AP112"/>
      <c r="AQ112"/>
      <c r="AR112" s="17"/>
      <c r="AS112" s="17"/>
      <c r="AT112" s="17"/>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row>
    <row r="113" spans="1:132" x14ac:dyDescent="0.25">
      <c r="A113" s="195"/>
      <c r="B113" s="67"/>
      <c r="C113" s="67"/>
      <c r="D113" s="181"/>
      <c r="E113" s="195"/>
      <c r="F113" s="67"/>
      <c r="G113" s="195"/>
      <c r="H113" s="67"/>
      <c r="I113" s="67"/>
      <c r="J113" s="67"/>
      <c r="K113" s="67"/>
      <c r="L113" s="67"/>
      <c r="M113" s="195"/>
      <c r="N113" s="67"/>
      <c r="O113" s="195"/>
      <c r="P113" s="67"/>
      <c r="Q113" s="195"/>
      <c r="R113" s="67"/>
      <c r="S113" s="156"/>
      <c r="T113" s="67"/>
      <c r="U113" s="195"/>
      <c r="V113" s="67"/>
      <c r="W113" s="195"/>
      <c r="X113" s="67"/>
      <c r="Y113" s="67"/>
      <c r="Z113" s="67"/>
      <c r="AA113" s="67"/>
      <c r="AB113" s="181"/>
      <c r="AC113" s="67"/>
      <c r="AD113" s="67"/>
      <c r="AE113" s="67"/>
      <c r="AF113" s="67"/>
      <c r="AG113" s="67"/>
      <c r="AH113" s="67"/>
      <c r="AI113" s="141"/>
      <c r="AJ113" s="79"/>
      <c r="AK113" s="79"/>
      <c r="AL113"/>
      <c r="AM113"/>
      <c r="AN113"/>
      <c r="AO113"/>
      <c r="AP113"/>
      <c r="AQ113"/>
      <c r="AR113" s="17"/>
      <c r="AS113" s="17"/>
      <c r="AT113" s="17"/>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row>
    <row r="114" spans="1:132" ht="31.5" customHeight="1" thickBot="1" x14ac:dyDescent="0.3">
      <c r="A114" s="75" t="s">
        <v>266</v>
      </c>
      <c r="B114" s="56">
        <f>(B108+B109)/(B65+B106)</f>
        <v>5.0193131171895479E-2</v>
      </c>
      <c r="C114" s="56"/>
      <c r="D114" s="148">
        <f>(D108+D109)/(D65+D106)</f>
        <v>4.9804356588207178E-2</v>
      </c>
      <c r="E114" s="75"/>
      <c r="F114" s="56">
        <f>(F108+F109)/(F65+F106)</f>
        <v>6.2665384126753668E-2</v>
      </c>
      <c r="G114" s="75"/>
      <c r="H114" s="56">
        <f>(H108+H109)/(H65+H106)</f>
        <v>6.0021916896625303E-2</v>
      </c>
      <c r="I114" s="56"/>
      <c r="J114" s="56">
        <f>(J108+J109)/(J65+J106)</f>
        <v>5.7759478238756629E-2</v>
      </c>
      <c r="K114" s="56"/>
      <c r="L114" s="148">
        <f>(L108+L109)/(L65+L106)</f>
        <v>6.2035590443165797E-2</v>
      </c>
      <c r="M114" s="75"/>
      <c r="N114" s="56">
        <f>(N108+N109)/(N65+N106)</f>
        <v>6.2114573034442698E-2</v>
      </c>
      <c r="O114" s="75"/>
      <c r="P114" s="56">
        <f>(P108+P109)/(P65+P106)</f>
        <v>5.5087134110089336E-2</v>
      </c>
      <c r="Q114" s="75"/>
      <c r="R114" s="56">
        <f>(R108+R109)/(R65+R106)</f>
        <v>6.6686092986442264E-2</v>
      </c>
      <c r="S114" s="56"/>
      <c r="T114" s="148">
        <f>(T108+T109)/(T65+T106)</f>
        <v>6.9698614926786653E-2</v>
      </c>
      <c r="U114" s="75"/>
      <c r="V114" s="56">
        <f>(V108+V109)/(V65+V106)</f>
        <v>7.3860013574939834E-2</v>
      </c>
      <c r="W114" s="75"/>
      <c r="X114" s="56">
        <f>(X108+X109)/(X65+X106)</f>
        <v>6.7990390580437252E-2</v>
      </c>
      <c r="Y114" s="75"/>
      <c r="Z114" s="56">
        <f>(Z108+Z109)/(Z65+Z106)</f>
        <v>6.8536668936839837E-2</v>
      </c>
      <c r="AA114" s="56"/>
      <c r="AB114" s="148">
        <f>(AB108+AB109)/(AB65+AB106)</f>
        <v>8.0158125357210896E-2</v>
      </c>
      <c r="AC114" s="56"/>
      <c r="AD114" s="56">
        <f>(AD108+AD109)/(AD65+AD106)</f>
        <v>8.6718074405308654E-2</v>
      </c>
      <c r="AE114" s="56"/>
      <c r="AF114" s="56">
        <f>(AF108+AF109)/(AF65+AF106)</f>
        <v>8.1386292834890961E-2</v>
      </c>
      <c r="AG114" s="56"/>
      <c r="AH114" s="56">
        <f>(AH108+AH109)/(AH65+AH106)</f>
        <v>8.8237389738888394E-2</v>
      </c>
      <c r="AI114" s="141"/>
      <c r="AJ114" s="79"/>
      <c r="AK114" s="79"/>
      <c r="AL114"/>
      <c r="AM114"/>
      <c r="AN114"/>
      <c r="AO114"/>
      <c r="AP114"/>
      <c r="AQ114"/>
      <c r="AR114" s="17"/>
      <c r="AS114" s="17"/>
      <c r="AT114" s="17"/>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row>
    <row r="115" spans="1:132" x14ac:dyDescent="0.25">
      <c r="A115" s="195"/>
      <c r="B115" s="67"/>
      <c r="C115" s="67"/>
      <c r="D115" s="181"/>
      <c r="E115" s="195"/>
      <c r="F115" s="67"/>
      <c r="G115" s="195"/>
      <c r="H115" s="67"/>
      <c r="I115" s="67"/>
      <c r="J115" s="67"/>
      <c r="K115" s="67"/>
      <c r="L115" s="67"/>
      <c r="M115" s="195"/>
      <c r="N115" s="67"/>
      <c r="O115" s="195"/>
      <c r="P115" s="67"/>
      <c r="Q115" s="195"/>
      <c r="R115" s="67"/>
      <c r="S115" s="67"/>
      <c r="T115" s="67"/>
      <c r="U115" s="195"/>
      <c r="V115" s="67"/>
      <c r="W115" s="195"/>
      <c r="X115" s="67"/>
      <c r="Y115" s="195"/>
      <c r="Z115" s="67"/>
      <c r="AA115" s="67"/>
      <c r="AB115" s="181"/>
      <c r="AC115" s="67"/>
      <c r="AD115" s="67"/>
      <c r="AE115" s="67"/>
      <c r="AF115" s="67"/>
      <c r="AG115" s="67"/>
      <c r="AH115" s="67"/>
      <c r="AI115" s="141"/>
      <c r="AJ115" s="79"/>
      <c r="AK115" s="79"/>
      <c r="AL115"/>
      <c r="AM115"/>
      <c r="AN115"/>
      <c r="AO115"/>
      <c r="AP115"/>
      <c r="AQ115"/>
      <c r="AR115" s="17"/>
      <c r="AS115" s="17"/>
      <c r="AT115" s="17"/>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row>
    <row r="116" spans="1:132" ht="30.75" customHeight="1" thickBot="1" x14ac:dyDescent="0.3">
      <c r="A116" s="75" t="s">
        <v>267</v>
      </c>
      <c r="B116" s="56">
        <f t="shared" ref="B116" si="128">(B108+B109)/(B67+B106)</f>
        <v>5.0193131171895479E-2</v>
      </c>
      <c r="C116" s="56"/>
      <c r="D116" s="148">
        <f>(D108+D109)/(D67+D106)</f>
        <v>4.9804356588207178E-2</v>
      </c>
      <c r="E116" s="75"/>
      <c r="F116" s="56">
        <f t="shared" ref="F116" si="129">(F108+F109)/(F67+F106)</f>
        <v>6.2665384126753668E-2</v>
      </c>
      <c r="G116" s="75"/>
      <c r="H116" s="56">
        <f t="shared" ref="H116" si="130">(H108+H109)/(H67+H106)</f>
        <v>6.0021916896625303E-2</v>
      </c>
      <c r="I116" s="56"/>
      <c r="J116" s="56">
        <f t="shared" ref="J116" si="131">(J108+J109)/(J67+J106)</f>
        <v>5.7759478238756629E-2</v>
      </c>
      <c r="K116" s="56"/>
      <c r="L116" s="148">
        <f>(L108+L109)/(L67+L106)</f>
        <v>6.2035590443165797E-2</v>
      </c>
      <c r="M116" s="75"/>
      <c r="N116" s="56">
        <f t="shared" ref="N116" si="132">(N108+N109)/(N67+N106)</f>
        <v>6.1314933030543542E-2</v>
      </c>
      <c r="O116" s="75"/>
      <c r="P116" s="56">
        <f t="shared" ref="P116" si="133">(P108+P109)/(P67+P106)</f>
        <v>5.4208582803999636E-2</v>
      </c>
      <c r="Q116" s="75"/>
      <c r="R116" s="56">
        <f t="shared" ref="R116" si="134">(R108+R109)/(R67+R106)</f>
        <v>6.5602919300855336E-2</v>
      </c>
      <c r="S116" s="56"/>
      <c r="T116" s="148">
        <f>(T108+T109)/(T67+T106)</f>
        <v>6.851194966534517E-2</v>
      </c>
      <c r="U116" s="75"/>
      <c r="V116" s="56">
        <f t="shared" ref="V116:AH116" si="135">(V108+V109)/(V67+V106)</f>
        <v>7.2000288722962297E-2</v>
      </c>
      <c r="W116" s="75"/>
      <c r="X116" s="56">
        <f t="shared" si="135"/>
        <v>6.5564424173318134E-2</v>
      </c>
      <c r="Y116" s="75"/>
      <c r="Z116" s="56">
        <f t="shared" si="135"/>
        <v>6.6039773862075435E-2</v>
      </c>
      <c r="AA116" s="56"/>
      <c r="AB116" s="148">
        <f t="shared" si="135"/>
        <v>7.7057232049947966E-2</v>
      </c>
      <c r="AC116" s="56"/>
      <c r="AD116" s="56">
        <f t="shared" si="135"/>
        <v>8.1795667204814598E-2</v>
      </c>
      <c r="AE116" s="56"/>
      <c r="AF116" s="56">
        <f t="shared" si="135"/>
        <v>7.6301288080849725E-2</v>
      </c>
      <c r="AG116" s="56"/>
      <c r="AH116" s="56">
        <f t="shared" si="135"/>
        <v>8.2503164486686945E-2</v>
      </c>
      <c r="AI116" s="141"/>
      <c r="AJ116" s="79"/>
      <c r="AK116" s="79"/>
      <c r="AL116"/>
      <c r="AM116"/>
      <c r="AN116"/>
      <c r="AO116"/>
      <c r="AP116"/>
      <c r="AQ116"/>
      <c r="AR116" s="17"/>
      <c r="AS116" s="17"/>
      <c r="AT116" s="17"/>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row>
    <row r="117" spans="1:132" x14ac:dyDescent="0.25">
      <c r="A117" s="195"/>
      <c r="B117" s="97"/>
      <c r="C117" s="46"/>
      <c r="D117" s="180"/>
      <c r="E117" s="23"/>
      <c r="F117" s="66"/>
      <c r="G117" s="23"/>
      <c r="H117" s="97"/>
      <c r="I117" s="97"/>
      <c r="J117" s="97"/>
      <c r="K117" s="46"/>
      <c r="L117" s="66"/>
      <c r="M117" s="23"/>
      <c r="N117" s="66"/>
      <c r="O117" s="23"/>
      <c r="P117" s="66"/>
      <c r="Q117" s="23"/>
      <c r="R117" s="67"/>
      <c r="S117" s="156"/>
      <c r="T117" s="67"/>
      <c r="U117" s="195"/>
      <c r="V117" s="67"/>
      <c r="W117" s="195"/>
      <c r="X117" s="67"/>
      <c r="Y117" s="67"/>
      <c r="Z117" s="67"/>
      <c r="AA117" s="67"/>
      <c r="AB117" s="181"/>
      <c r="AC117" s="67"/>
      <c r="AD117" s="67"/>
      <c r="AE117" s="67"/>
      <c r="AF117" s="67"/>
      <c r="AG117" s="67"/>
      <c r="AH117" s="67"/>
      <c r="AI117" s="141"/>
      <c r="AJ117" s="79"/>
      <c r="AK117" s="79"/>
      <c r="AL117"/>
      <c r="AM117"/>
      <c r="AN117"/>
      <c r="AO117"/>
      <c r="AP117"/>
      <c r="AQ117"/>
      <c r="AR117" s="17"/>
      <c r="AS117" s="17"/>
      <c r="AT117" s="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row>
    <row r="118" spans="1:132" ht="15" customHeight="1" x14ac:dyDescent="0.25">
      <c r="A118" t="s">
        <v>268</v>
      </c>
      <c r="B118" s="14">
        <v>2886</v>
      </c>
      <c r="C118" s="14"/>
      <c r="D118" s="107">
        <v>2899</v>
      </c>
      <c r="E118" s="17"/>
      <c r="F118" s="3">
        <v>3696</v>
      </c>
      <c r="G118" s="17"/>
      <c r="H118" s="14">
        <v>3731</v>
      </c>
      <c r="I118" s="14"/>
      <c r="J118" s="14">
        <v>3848</v>
      </c>
      <c r="K118" s="14"/>
      <c r="L118" s="3">
        <v>3739</v>
      </c>
      <c r="M118" s="17"/>
      <c r="N118" s="3">
        <v>2967</v>
      </c>
      <c r="O118" s="17"/>
      <c r="P118" s="3">
        <v>3684</v>
      </c>
      <c r="Q118" s="17"/>
      <c r="R118" s="14">
        <v>2592</v>
      </c>
      <c r="S118" s="108"/>
      <c r="T118" s="3">
        <v>2347</v>
      </c>
      <c r="U118" s="17"/>
      <c r="V118" s="3">
        <v>2380</v>
      </c>
      <c r="W118" s="17"/>
      <c r="X118" s="3">
        <v>2143</v>
      </c>
      <c r="Y118" s="3"/>
      <c r="Z118" s="14">
        <v>2092</v>
      </c>
      <c r="AA118" s="14"/>
      <c r="AB118" s="107">
        <v>2133</v>
      </c>
      <c r="AC118" s="3"/>
      <c r="AD118" s="3">
        <v>2699</v>
      </c>
      <c r="AE118" s="3"/>
      <c r="AF118" s="3">
        <v>2816</v>
      </c>
      <c r="AG118" s="3"/>
      <c r="AH118" s="3">
        <v>2018</v>
      </c>
      <c r="AI118" s="106"/>
      <c r="AJ118" s="79"/>
      <c r="AK118" s="79"/>
      <c r="AR118" s="17"/>
      <c r="AS118" s="17"/>
      <c r="AT118" s="17"/>
    </row>
    <row r="119" spans="1:132" ht="15" customHeight="1" x14ac:dyDescent="0.25">
      <c r="A119" s="17" t="s">
        <v>269</v>
      </c>
      <c r="B119" s="187">
        <v>1110</v>
      </c>
      <c r="C119" s="14"/>
      <c r="D119" s="107">
        <v>1200</v>
      </c>
      <c r="E119" s="17"/>
      <c r="F119" s="3">
        <v>1209</v>
      </c>
      <c r="G119" s="17"/>
      <c r="H119" s="187">
        <v>1212</v>
      </c>
      <c r="I119" s="187"/>
      <c r="J119" s="187">
        <v>1261</v>
      </c>
      <c r="K119" s="14"/>
      <c r="L119" s="3">
        <v>1252</v>
      </c>
      <c r="M119" s="17"/>
      <c r="N119" s="3">
        <v>1166</v>
      </c>
      <c r="O119" s="17"/>
      <c r="P119" s="3">
        <v>1152</v>
      </c>
      <c r="Q119" s="17"/>
      <c r="R119" s="187">
        <v>1020</v>
      </c>
      <c r="S119" s="108"/>
      <c r="T119" s="3">
        <v>885</v>
      </c>
      <c r="U119" s="17"/>
      <c r="V119" s="3">
        <v>870</v>
      </c>
      <c r="W119" s="17"/>
      <c r="X119" s="3">
        <v>818</v>
      </c>
      <c r="Y119" s="3"/>
      <c r="Z119" s="187">
        <v>782</v>
      </c>
      <c r="AA119" s="14"/>
      <c r="AB119" s="107">
        <v>802</v>
      </c>
      <c r="AC119" s="3"/>
      <c r="AD119" s="3">
        <v>157</v>
      </c>
      <c r="AE119" s="3"/>
      <c r="AF119" s="3">
        <v>166</v>
      </c>
      <c r="AG119" s="3"/>
      <c r="AH119" s="3">
        <v>164</v>
      </c>
      <c r="AI119" s="106"/>
      <c r="AJ119" s="79"/>
      <c r="AK119" s="79"/>
      <c r="AR119" s="17"/>
      <c r="AS119" s="17"/>
      <c r="AT119" s="17"/>
    </row>
    <row r="120" spans="1:132" ht="30.75" thickBot="1" x14ac:dyDescent="0.3">
      <c r="A120" s="75" t="s">
        <v>270</v>
      </c>
      <c r="B120" s="57">
        <f>(B118+B119)/B65</f>
        <v>1.7107555837161413E-2</v>
      </c>
      <c r="C120" s="57"/>
      <c r="D120" s="124">
        <f>(D118+D119)/(D65)</f>
        <v>1.779860094920082E-2</v>
      </c>
      <c r="E120" s="75"/>
      <c r="F120" s="57">
        <f>(F118+F119)/F65</f>
        <v>2.1612499559378193E-2</v>
      </c>
      <c r="G120" s="75"/>
      <c r="H120" s="57">
        <f>(H118+H119)/H65-0.00027%</f>
        <v>2.1889226604691947E-2</v>
      </c>
      <c r="I120" s="57"/>
      <c r="J120" s="57">
        <f>(J118+J119)/J65</f>
        <v>2.3087247109010306E-2</v>
      </c>
      <c r="K120" s="57"/>
      <c r="L120" s="124">
        <f>(L118+L119)/(L65)</f>
        <v>2.2771134359273842E-2</v>
      </c>
      <c r="M120" s="75"/>
      <c r="N120" s="57">
        <f>(N118+N119)/N65</f>
        <v>1.9064092806568417E-2</v>
      </c>
      <c r="O120" s="75"/>
      <c r="P120" s="57">
        <f>(P118+P119)/P65-0.00027%</f>
        <v>2.2549904088941947E-2</v>
      </c>
      <c r="Q120" s="75"/>
      <c r="R120" s="57">
        <f>(R118+R119)/R65</f>
        <v>1.7024806632698751E-2</v>
      </c>
      <c r="S120" s="125"/>
      <c r="T120" s="57">
        <f>(T118+T119)/T65</f>
        <v>1.5604932549224099E-2</v>
      </c>
      <c r="U120" s="75"/>
      <c r="V120" s="57">
        <f>(V118+V119)/V65</f>
        <v>1.5964632199435096E-2</v>
      </c>
      <c r="W120" s="75"/>
      <c r="X120" s="57">
        <f>(X118+X119)/X65</f>
        <v>1.4907413933724689E-2</v>
      </c>
      <c r="Y120" s="56"/>
      <c r="Z120" s="57">
        <f>(Z118+Z119)/Z65</f>
        <v>1.4628336421198363E-2</v>
      </c>
      <c r="AA120" s="57"/>
      <c r="AB120" s="124">
        <f>(AB118+AB119)/AB65</f>
        <v>1.5278103120689206E-2</v>
      </c>
      <c r="AC120" s="56"/>
      <c r="AD120" s="57">
        <f>(AD118+AD119)/AD65</f>
        <v>1.5605363524101981E-2</v>
      </c>
      <c r="AE120" s="56"/>
      <c r="AF120" s="57">
        <f>(AF118+AF119)/AF65</f>
        <v>1.6666014631665428E-2</v>
      </c>
      <c r="AG120" s="56"/>
      <c r="AH120" s="57">
        <f>(AH118+AH119)/AH65</f>
        <v>1.2519220618272783E-2</v>
      </c>
      <c r="AI120" s="141"/>
      <c r="AJ120" s="79"/>
      <c r="AK120" s="79"/>
      <c r="AL120"/>
      <c r="AM120"/>
      <c r="AN120"/>
      <c r="AO120"/>
      <c r="AP120"/>
      <c r="AQ120"/>
      <c r="AR120" s="17"/>
      <c r="AS120" s="17"/>
      <c r="AT120" s="17"/>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row>
    <row r="121" spans="1:132" ht="15" customHeight="1" x14ac:dyDescent="0.25">
      <c r="A121" s="96"/>
      <c r="B121" s="92"/>
      <c r="C121" s="21"/>
      <c r="D121" s="121"/>
      <c r="E121" s="34"/>
      <c r="F121" s="92"/>
      <c r="G121" s="34"/>
      <c r="H121" s="92"/>
      <c r="I121" s="92"/>
      <c r="J121" s="92"/>
      <c r="K121" s="21"/>
      <c r="L121" s="92"/>
      <c r="M121" s="34"/>
      <c r="N121" s="92"/>
      <c r="O121" s="34"/>
      <c r="P121" s="92"/>
      <c r="Q121" s="34"/>
      <c r="R121" s="92"/>
      <c r="S121" s="176"/>
      <c r="T121" s="92"/>
      <c r="U121" s="34"/>
      <c r="V121" s="92"/>
      <c r="W121" s="34"/>
      <c r="X121" s="92"/>
      <c r="Y121" s="38"/>
      <c r="Z121" s="92"/>
      <c r="AA121" s="21"/>
      <c r="AB121" s="121"/>
      <c r="AC121" s="38"/>
      <c r="AD121" s="92"/>
      <c r="AE121" s="38"/>
      <c r="AF121" s="92"/>
      <c r="AG121" s="38"/>
      <c r="AH121" s="92"/>
      <c r="AI121" s="141"/>
      <c r="AJ121" s="79"/>
      <c r="AK121" s="79"/>
      <c r="AL121"/>
      <c r="AM121"/>
      <c r="AN121"/>
      <c r="AO121"/>
      <c r="AP121"/>
      <c r="AQ121"/>
      <c r="AR121" s="17"/>
      <c r="AS121" s="17"/>
      <c r="AT121" s="17"/>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row>
    <row r="122" spans="1:132" ht="30.75" thickBot="1" x14ac:dyDescent="0.3">
      <c r="A122" s="75" t="s">
        <v>271</v>
      </c>
      <c r="B122" s="94">
        <f>(B118+B119)/B67</f>
        <v>1.7107555837161413E-2</v>
      </c>
      <c r="C122" s="94"/>
      <c r="D122" s="155">
        <f>(D118+D119)/(D67)</f>
        <v>1.779860094920082E-2</v>
      </c>
      <c r="E122" s="193"/>
      <c r="F122" s="94">
        <f>(F118+F119)/F67</f>
        <v>2.1612499559378193E-2</v>
      </c>
      <c r="G122" s="193"/>
      <c r="H122" s="94">
        <f>(H118+H119)/H67</f>
        <v>2.1891926604691948E-2</v>
      </c>
      <c r="I122" s="94"/>
      <c r="J122" s="94">
        <f>(J118+J119)/J67</f>
        <v>2.3087247109010306E-2</v>
      </c>
      <c r="K122" s="94"/>
      <c r="L122" s="155">
        <f>(L118+L119)/(L67)</f>
        <v>2.2771134359273842E-2</v>
      </c>
      <c r="M122" s="193"/>
      <c r="N122" s="94">
        <f>(N118+N119)/N67</f>
        <v>1.8770579285600743E-2</v>
      </c>
      <c r="O122" s="193"/>
      <c r="P122" s="94">
        <f>(P118+P119)/P67</f>
        <v>2.2119562731555596E-2</v>
      </c>
      <c r="Q122" s="193"/>
      <c r="R122" s="94">
        <f>(R118+R119)/R67</f>
        <v>1.6694861199700491E-2</v>
      </c>
      <c r="S122" s="204"/>
      <c r="T122" s="94">
        <f>(T118+T119)/T67</f>
        <v>1.5291662921029349E-2</v>
      </c>
      <c r="U122" s="193"/>
      <c r="V122" s="94">
        <f>(V118+V119)/V67</f>
        <v>1.5486957599092703E-2</v>
      </c>
      <c r="W122" s="193"/>
      <c r="X122" s="94">
        <f>(X118+X119)/X67</f>
        <v>1.4268985557531335E-2</v>
      </c>
      <c r="Y122" s="65"/>
      <c r="Z122" s="94">
        <f>(Z118+Z119)/Z67</f>
        <v>1.3991801602679571E-2</v>
      </c>
      <c r="AA122" s="94"/>
      <c r="AB122" s="155">
        <f>(AB118+AB119)/AB67</f>
        <v>1.4573061435260354E-2</v>
      </c>
      <c r="AC122" s="65"/>
      <c r="AD122" s="94">
        <f>(AD118+AD119)/AD67</f>
        <v>1.4538420423019166E-2</v>
      </c>
      <c r="AE122" s="65"/>
      <c r="AF122" s="94">
        <f>(AF118+AF119)/AF67</f>
        <v>1.5412923700342165E-2</v>
      </c>
      <c r="AG122" s="65"/>
      <c r="AH122" s="94">
        <f>(AH118+AH119)/AH67</f>
        <v>1.1549617835743474E-2</v>
      </c>
      <c r="AI122" s="141"/>
      <c r="AJ122" s="79"/>
      <c r="AK122" s="79"/>
      <c r="AL122"/>
      <c r="AM122"/>
      <c r="AN122"/>
      <c r="AO122"/>
      <c r="AP122"/>
      <c r="AQ122"/>
      <c r="AR122" s="17"/>
      <c r="AS122" s="17"/>
      <c r="AT122" s="17"/>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row>
    <row r="123" spans="1:132" x14ac:dyDescent="0.25">
      <c r="A123" s="195"/>
      <c r="B123" s="196"/>
      <c r="C123" s="196"/>
      <c r="D123" s="197"/>
      <c r="E123" s="195"/>
      <c r="F123" s="196"/>
      <c r="G123" s="195"/>
      <c r="H123" s="196"/>
      <c r="I123" s="196"/>
      <c r="J123" s="196"/>
      <c r="K123" s="196"/>
      <c r="L123" s="196"/>
      <c r="M123" s="195"/>
      <c r="N123" s="196"/>
      <c r="O123" s="195"/>
      <c r="P123" s="196"/>
      <c r="Q123" s="195"/>
      <c r="R123" s="196"/>
      <c r="S123" s="208"/>
      <c r="T123" s="196"/>
      <c r="U123" s="195"/>
      <c r="V123" s="196"/>
      <c r="W123" s="195"/>
      <c r="X123" s="196"/>
      <c r="Y123" s="67"/>
      <c r="Z123" s="196"/>
      <c r="AA123" s="196"/>
      <c r="AB123" s="197"/>
      <c r="AC123" s="67"/>
      <c r="AD123" s="196"/>
      <c r="AE123" s="67"/>
      <c r="AF123" s="196"/>
      <c r="AG123" s="67"/>
      <c r="AH123" s="196"/>
      <c r="AI123" s="141"/>
      <c r="AJ123" s="79"/>
      <c r="AK123" s="79"/>
      <c r="AL123"/>
      <c r="AM123"/>
      <c r="AN123"/>
      <c r="AO123"/>
      <c r="AP123"/>
      <c r="AQ123"/>
      <c r="AR123" s="17"/>
      <c r="AS123" s="17"/>
      <c r="AT123" s="17"/>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row>
    <row r="124" spans="1:132" ht="30.75" thickBot="1" x14ac:dyDescent="0.3">
      <c r="A124" s="75" t="s">
        <v>272</v>
      </c>
      <c r="B124" s="57">
        <f>(B118+B119)/(B65+B106)</f>
        <v>1.3968364939264179E-2</v>
      </c>
      <c r="C124" s="57"/>
      <c r="D124" s="124">
        <f>(D118+D119)/(D65+D106)</f>
        <v>1.4620644392685041E-2</v>
      </c>
      <c r="E124" s="75"/>
      <c r="F124" s="57">
        <f>(F118+F119)/(F65+F106)</f>
        <v>1.7804315867801592E-2</v>
      </c>
      <c r="G124" s="75"/>
      <c r="H124" s="57">
        <f>(H118+H119)/(H65+H106)</f>
        <v>1.7877099013016321E-2</v>
      </c>
      <c r="I124" s="57"/>
      <c r="J124" s="57">
        <f>(J118+J119)/(J65+J106)</f>
        <v>1.9106065025691656E-2</v>
      </c>
      <c r="K124" s="57"/>
      <c r="L124" s="124">
        <f>(L118+L119)/(L65+L106)</f>
        <v>1.9018404907975461E-2</v>
      </c>
      <c r="M124" s="75"/>
      <c r="N124" s="57">
        <f>(N118+N119)/(N65+N106)</f>
        <v>1.5899884203601614E-2</v>
      </c>
      <c r="O124" s="75"/>
      <c r="P124" s="57">
        <f>(P118+P119)/(P65+P106)</f>
        <v>1.8669940469296518E-2</v>
      </c>
      <c r="Q124" s="75"/>
      <c r="R124" s="57">
        <f>(R118+R119)/(R65+R106)</f>
        <v>1.4223216289756686E-2</v>
      </c>
      <c r="S124" s="57"/>
      <c r="T124" s="124">
        <f>(T118+T119)/(T65+T106)</f>
        <v>1.3193506117100531E-2</v>
      </c>
      <c r="U124" s="75"/>
      <c r="V124" s="57">
        <f>(V118+V119)/(V65+V106)</f>
        <v>1.336925893169337E-2</v>
      </c>
      <c r="W124" s="75"/>
      <c r="X124" s="57">
        <f>(X118+X119)/(X65+X106)</f>
        <v>1.2328202480629193E-2</v>
      </c>
      <c r="Y124" s="75"/>
      <c r="Z124" s="57">
        <f>(Z118+Z119)/(Z65+Z106)</f>
        <v>1.215741183338339E-2</v>
      </c>
      <c r="AA124" s="57"/>
      <c r="AB124" s="124">
        <f>(AB118+AB119)/(AB65+AB106)</f>
        <v>1.2708048286253659E-2</v>
      </c>
      <c r="AC124" s="57"/>
      <c r="AD124" s="57">
        <f>(AD118+AD119)/(AD65+AD106)</f>
        <v>1.2796673581769221E-2</v>
      </c>
      <c r="AE124" s="57"/>
      <c r="AF124" s="57">
        <f>(AF118+AF119)/(AF65+AF106)</f>
        <v>1.3661352391423858E-2</v>
      </c>
      <c r="AG124" s="57"/>
      <c r="AH124" s="57">
        <f>(AH118+AH119)/(AH65+AH106)</f>
        <v>1.0364663243446084E-2</v>
      </c>
      <c r="AI124" s="141"/>
      <c r="AJ124" s="79"/>
      <c r="AK124" s="79"/>
      <c r="AL124"/>
      <c r="AM124"/>
      <c r="AN124"/>
      <c r="AO124"/>
      <c r="AP124"/>
      <c r="AQ124"/>
      <c r="AR124" s="17"/>
      <c r="AS124" s="17"/>
      <c r="AT124" s="17"/>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row>
    <row r="125" spans="1:132" x14ac:dyDescent="0.25">
      <c r="A125" s="195"/>
      <c r="B125" s="196"/>
      <c r="C125" s="196"/>
      <c r="D125" s="197"/>
      <c r="E125" s="195"/>
      <c r="F125" s="196"/>
      <c r="G125" s="195"/>
      <c r="H125" s="196"/>
      <c r="I125" s="196"/>
      <c r="J125" s="196"/>
      <c r="K125" s="196"/>
      <c r="L125" s="196"/>
      <c r="M125" s="195"/>
      <c r="N125" s="196"/>
      <c r="O125" s="195"/>
      <c r="P125" s="196"/>
      <c r="Q125" s="195"/>
      <c r="R125" s="196"/>
      <c r="S125" s="196"/>
      <c r="T125" s="196"/>
      <c r="U125" s="195"/>
      <c r="V125" s="196"/>
      <c r="W125" s="195"/>
      <c r="X125" s="196"/>
      <c r="Y125" s="195"/>
      <c r="Z125" s="196"/>
      <c r="AA125" s="196"/>
      <c r="AB125" s="196"/>
      <c r="AC125" s="196"/>
      <c r="AD125" s="196"/>
      <c r="AE125" s="196"/>
      <c r="AF125" s="196"/>
      <c r="AG125" s="196"/>
      <c r="AH125" s="196"/>
      <c r="AI125" s="141"/>
      <c r="AJ125" s="79"/>
      <c r="AK125" s="79"/>
      <c r="AL125"/>
      <c r="AM125"/>
      <c r="AN125"/>
      <c r="AO125"/>
      <c r="AP125"/>
      <c r="AQ125"/>
      <c r="AR125" s="17"/>
      <c r="AS125" s="17"/>
      <c r="AT125" s="17"/>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row>
    <row r="126" spans="1:132" ht="30.75" customHeight="1" thickBot="1" x14ac:dyDescent="0.3">
      <c r="A126" s="75" t="s">
        <v>273</v>
      </c>
      <c r="B126" s="57">
        <f>(B118+B119)/(B67+B106)</f>
        <v>1.3968364939264179E-2</v>
      </c>
      <c r="C126" s="57"/>
      <c r="D126" s="124">
        <f>(D118+D119)/(D67+D106)</f>
        <v>1.4620644392685041E-2</v>
      </c>
      <c r="E126" s="75"/>
      <c r="F126" s="57">
        <f>(F118+F119)/(F67+F106)</f>
        <v>1.7804315867801592E-2</v>
      </c>
      <c r="G126" s="75"/>
      <c r="H126" s="57">
        <f>(H118+H119)/(H67+H106)</f>
        <v>1.7877099013016321E-2</v>
      </c>
      <c r="I126" s="57"/>
      <c r="J126" s="57">
        <f>(J118+J119)/(J67+J106)</f>
        <v>1.9106065025691656E-2</v>
      </c>
      <c r="K126" s="57"/>
      <c r="L126" s="124">
        <f>(L118+L119)/(L67+L106)</f>
        <v>1.9018404907975461E-2</v>
      </c>
      <c r="M126" s="75"/>
      <c r="N126" s="57">
        <f>(N118+N119)/(N67+N106)</f>
        <v>1.5695194984221259E-2</v>
      </c>
      <c r="O126" s="75"/>
      <c r="P126" s="57">
        <f>(P118+P119)/(P67+P106)</f>
        <v>1.8372184907151323E-2</v>
      </c>
      <c r="Q126" s="75"/>
      <c r="R126" s="57">
        <f>(R118+R119)/(R67+R106)</f>
        <v>1.399219040535515E-2</v>
      </c>
      <c r="S126" s="57"/>
      <c r="T126" s="124">
        <f>(T118+T119)/(T67+T106)</f>
        <v>1.2968877903150731E-2</v>
      </c>
      <c r="U126" s="75"/>
      <c r="V126" s="57">
        <f>(V118+V119)/(V67+V106)</f>
        <v>1.3032633714821914E-2</v>
      </c>
      <c r="W126" s="75"/>
      <c r="X126" s="57">
        <f>(X118+X119)/(X67+X106)</f>
        <v>1.1888319655676362E-2</v>
      </c>
      <c r="Y126" s="75"/>
      <c r="Z126" s="57">
        <f>(Z118+Z119)/(Z67+Z106)</f>
        <v>1.1714498832218541E-2</v>
      </c>
      <c r="AA126" s="57"/>
      <c r="AB126" s="124">
        <f>(AB118+AB119)/(AB67+AB106)</f>
        <v>1.2216441207075962E-2</v>
      </c>
      <c r="AC126" s="57"/>
      <c r="AD126" s="57">
        <f>(AD118+AD119)/(AD67+AD106)</f>
        <v>1.2070291698716052E-2</v>
      </c>
      <c r="AE126" s="57"/>
      <c r="AF126" s="57">
        <f>(AF118+AF119)/(AF67+AF106)</f>
        <v>1.2807792910616038E-2</v>
      </c>
      <c r="AG126" s="57"/>
      <c r="AH126" s="57">
        <f>(AH118+AH119)/(AH67+AH106)</f>
        <v>9.6911016855055401E-3</v>
      </c>
      <c r="AI126" s="141"/>
      <c r="AJ126" s="79"/>
      <c r="AK126" s="79"/>
      <c r="AL126"/>
      <c r="AM126"/>
      <c r="AN126"/>
      <c r="AO126"/>
      <c r="AP126"/>
      <c r="AQ126"/>
      <c r="AR126" s="17"/>
      <c r="AS126" s="17"/>
      <c r="AT126" s="17"/>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row>
    <row r="127" spans="1:132" x14ac:dyDescent="0.25">
      <c r="A127" s="195"/>
      <c r="B127" s="17"/>
      <c r="C127" s="17"/>
      <c r="D127" s="116"/>
      <c r="H127" s="17"/>
      <c r="I127" s="17"/>
      <c r="J127" s="17"/>
      <c r="K127" s="17"/>
      <c r="R127" s="196"/>
      <c r="S127" s="208"/>
      <c r="T127" s="196"/>
      <c r="U127" s="195"/>
      <c r="V127" s="196"/>
      <c r="W127" s="195"/>
      <c r="X127" s="196"/>
      <c r="Y127" s="67"/>
      <c r="Z127" s="196"/>
      <c r="AA127" s="196"/>
      <c r="AB127" s="197"/>
      <c r="AC127" s="67"/>
      <c r="AD127" s="196"/>
      <c r="AE127" s="67"/>
      <c r="AF127" s="196"/>
      <c r="AG127" s="67"/>
      <c r="AH127" s="196"/>
      <c r="AI127" s="141"/>
      <c r="AJ127" s="79"/>
      <c r="AK127" s="79"/>
      <c r="AL127"/>
      <c r="AM127"/>
      <c r="AN127"/>
      <c r="AO127"/>
      <c r="AP127"/>
      <c r="AQ127"/>
      <c r="AR127" s="17"/>
      <c r="AS127" s="17"/>
      <c r="AT127" s="1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row>
    <row r="128" spans="1:132" customFormat="1" x14ac:dyDescent="0.25">
      <c r="A128" s="17" t="s">
        <v>274</v>
      </c>
      <c r="B128" s="158">
        <v>255.75</v>
      </c>
      <c r="D128" s="158">
        <v>255.751082</v>
      </c>
      <c r="F128" s="158">
        <v>255.751082</v>
      </c>
      <c r="H128" s="158">
        <v>255.751082</v>
      </c>
      <c r="I128" s="158"/>
      <c r="J128" s="158">
        <v>255.751082</v>
      </c>
      <c r="L128" s="158">
        <v>255.751082</v>
      </c>
      <c r="N128" s="158">
        <v>255.751082</v>
      </c>
      <c r="P128" s="158">
        <v>255.751082</v>
      </c>
      <c r="R128" s="158">
        <v>255.751082</v>
      </c>
      <c r="S128" s="141"/>
      <c r="T128" s="158">
        <v>255.751082</v>
      </c>
      <c r="V128" s="158">
        <v>255.751082</v>
      </c>
      <c r="X128" s="158">
        <v>255.751082</v>
      </c>
      <c r="Z128" s="158">
        <v>255.751082</v>
      </c>
      <c r="AB128" s="157">
        <v>255.751082</v>
      </c>
      <c r="AD128" s="158">
        <v>255.751082</v>
      </c>
      <c r="AF128" s="158">
        <v>255.751082</v>
      </c>
      <c r="AH128" s="158">
        <v>255.751082</v>
      </c>
      <c r="AI128" s="141"/>
      <c r="AJ128" s="5">
        <v>255.751082</v>
      </c>
      <c r="AL128" s="5">
        <v>255.751082</v>
      </c>
      <c r="AN128" s="5">
        <v>255.751082</v>
      </c>
      <c r="AP128" s="5">
        <v>255.751082</v>
      </c>
    </row>
    <row r="129" spans="1:142" x14ac:dyDescent="0.25">
      <c r="A129" s="21" t="s">
        <v>275</v>
      </c>
      <c r="B129" s="210">
        <v>0.04</v>
      </c>
      <c r="C129" s="21"/>
      <c r="D129" s="213">
        <v>4.1516999999998916E-2</v>
      </c>
      <c r="E129" s="38"/>
      <c r="F129" s="40">
        <f>255.751082-255.709809</f>
        <v>4.1272999999989679E-2</v>
      </c>
      <c r="G129" s="38"/>
      <c r="H129" s="210">
        <f>255.751082-255.712827</f>
        <v>3.8254999999992378E-2</v>
      </c>
      <c r="I129" s="210"/>
      <c r="J129" s="210">
        <f>255.751082-255.714686</f>
        <v>3.639599999999632E-2</v>
      </c>
      <c r="K129" s="21"/>
      <c r="L129" s="210">
        <f>255.751082-255.72797</f>
        <v>2.3111999999997579E-2</v>
      </c>
      <c r="M129" s="38"/>
      <c r="N129" s="40">
        <v>2.1531999999999999E-2</v>
      </c>
      <c r="O129" s="38"/>
      <c r="P129" s="40">
        <v>1.5737999999999999E-2</v>
      </c>
      <c r="Q129" s="38"/>
      <c r="R129" s="40">
        <v>1.0773E-2</v>
      </c>
      <c r="S129" s="176"/>
      <c r="T129" s="40">
        <v>9.1311000000000003E-2</v>
      </c>
      <c r="U129" s="38"/>
      <c r="V129" s="40">
        <v>8.9325000000000002E-2</v>
      </c>
      <c r="W129" s="38"/>
      <c r="X129" s="40">
        <v>8.9325000000000002E-2</v>
      </c>
      <c r="Y129" s="10"/>
      <c r="Z129" s="40">
        <v>0.235206</v>
      </c>
      <c r="AA129" s="21"/>
      <c r="AB129" s="159">
        <v>8.5205999999999449E-2</v>
      </c>
      <c r="AC129" s="21"/>
      <c r="AD129" s="40">
        <v>8.5205999999999449E-2</v>
      </c>
      <c r="AE129" s="10"/>
      <c r="AF129" s="40">
        <v>8.5205999999999449E-2</v>
      </c>
      <c r="AG129" s="10"/>
      <c r="AH129" s="40">
        <v>0.20675700000001029</v>
      </c>
      <c r="AI129" s="160"/>
      <c r="AJ129" s="40">
        <v>0.20675700000001029</v>
      </c>
      <c r="AK129" s="10"/>
      <c r="AL129" s="40">
        <v>0.20675700000001029</v>
      </c>
      <c r="AM129" s="10"/>
      <c r="AN129" s="40">
        <v>0.20675700000001029</v>
      </c>
      <c r="AO129" s="10"/>
      <c r="AP129" s="40">
        <v>0.20675700000001029</v>
      </c>
      <c r="AQ129" s="10"/>
    </row>
    <row r="130" spans="1:142" x14ac:dyDescent="0.25">
      <c r="A130" s="17" t="s">
        <v>276</v>
      </c>
      <c r="B130" s="162">
        <f t="shared" ref="B130" si="136">B128-B129</f>
        <v>255.71</v>
      </c>
      <c r="C130" s="17"/>
      <c r="D130" s="162">
        <f t="shared" ref="D130" si="137">D128-D129</f>
        <v>255.709565</v>
      </c>
      <c r="E130"/>
      <c r="F130" s="162">
        <f t="shared" ref="F130" si="138">F128-F129</f>
        <v>255.70980900000001</v>
      </c>
      <c r="G130"/>
      <c r="H130" s="162">
        <f t="shared" ref="H130:J130" si="139">H128-H129</f>
        <v>255.712827</v>
      </c>
      <c r="I130" s="162"/>
      <c r="J130" s="162">
        <f t="shared" si="139"/>
        <v>255.714686</v>
      </c>
      <c r="K130" s="17"/>
      <c r="L130" s="162">
        <f t="shared" ref="L130" si="140">L128-L129</f>
        <v>255.72797</v>
      </c>
      <c r="M130"/>
      <c r="N130" s="162">
        <f t="shared" ref="N130" si="141">N128-N129</f>
        <v>255.72954999999999</v>
      </c>
      <c r="O130"/>
      <c r="P130" s="162">
        <f t="shared" ref="P130" si="142">P128-P129</f>
        <v>255.735344</v>
      </c>
      <c r="Q130"/>
      <c r="R130" s="162">
        <f t="shared" ref="R130" si="143">R128-R129</f>
        <v>255.740309</v>
      </c>
      <c r="S130" s="146"/>
      <c r="T130" s="162">
        <f t="shared" ref="T130" si="144">T128-T129</f>
        <v>255.65977100000001</v>
      </c>
      <c r="U130"/>
      <c r="V130" s="162">
        <f t="shared" ref="V130" si="145">V128-V129</f>
        <v>255.66175699999999</v>
      </c>
      <c r="W130"/>
      <c r="X130" s="162">
        <f t="shared" ref="X130" si="146">X128-X129</f>
        <v>255.66175699999999</v>
      </c>
      <c r="Y130" s="162"/>
      <c r="Z130" s="162">
        <f t="shared" ref="Z130" si="147">Z128-Z129</f>
        <v>255.51587599999999</v>
      </c>
      <c r="AA130" s="17"/>
      <c r="AB130" s="161">
        <f>AB128-AB129</f>
        <v>255.665876</v>
      </c>
      <c r="AD130" s="162">
        <f>AD128-AD129</f>
        <v>255.665876</v>
      </c>
      <c r="AE130" s="162"/>
      <c r="AF130" s="162">
        <f t="shared" ref="AF130:AP130" si="148">AF128-AF129</f>
        <v>255.665876</v>
      </c>
      <c r="AG130" s="162"/>
      <c r="AH130" s="162">
        <f t="shared" si="148"/>
        <v>255.54432499999999</v>
      </c>
      <c r="AI130" s="163"/>
      <c r="AJ130" s="39">
        <f t="shared" si="148"/>
        <v>255.54432499999999</v>
      </c>
      <c r="AK130" s="39"/>
      <c r="AL130" s="39">
        <f t="shared" si="148"/>
        <v>255.54432499999999</v>
      </c>
      <c r="AM130" s="39"/>
      <c r="AN130" s="39">
        <f t="shared" si="148"/>
        <v>255.54432499999999</v>
      </c>
      <c r="AO130" s="39"/>
      <c r="AP130" s="39">
        <f t="shared" si="148"/>
        <v>255.54432499999999</v>
      </c>
      <c r="AQ130" s="39"/>
    </row>
    <row r="131" spans="1:142" x14ac:dyDescent="0.25">
      <c r="C131" s="17"/>
      <c r="D131" s="214"/>
      <c r="F131" s="164"/>
      <c r="K131" s="17"/>
      <c r="L131" s="164"/>
      <c r="N131" s="164"/>
      <c r="P131" s="164"/>
      <c r="S131" s="146"/>
      <c r="T131" s="164"/>
      <c r="V131" s="164"/>
      <c r="X131" s="164"/>
      <c r="AA131" s="17"/>
      <c r="AB131" s="116"/>
      <c r="AD131" s="162"/>
      <c r="AF131" s="164"/>
      <c r="AH131" s="164"/>
      <c r="AI131" s="106"/>
      <c r="AJ131" s="11"/>
      <c r="AR131" s="17"/>
      <c r="AS131" s="17"/>
      <c r="AT131" s="17"/>
      <c r="AU131" s="17"/>
      <c r="AV131" s="17"/>
    </row>
    <row r="132" spans="1:142" ht="15.75" thickBot="1" x14ac:dyDescent="0.3">
      <c r="A132" s="75" t="s">
        <v>277</v>
      </c>
      <c r="B132" s="55">
        <f>B9/B130</f>
        <v>102.32685464002189</v>
      </c>
      <c r="C132" s="47"/>
      <c r="D132" s="165">
        <f>D9/D130</f>
        <v>99.053783928653587</v>
      </c>
      <c r="E132" s="54"/>
      <c r="F132" s="55">
        <f>F9/F130</f>
        <v>95.815643896554633</v>
      </c>
      <c r="G132" s="54"/>
      <c r="H132" s="55">
        <f>H9/H130</f>
        <v>96.080436356053426</v>
      </c>
      <c r="I132" s="55"/>
      <c r="J132" s="55">
        <f>J9/J130</f>
        <v>93.115496698535338</v>
      </c>
      <c r="K132" s="47"/>
      <c r="L132" s="55">
        <f>L9/L130</f>
        <v>95.973076390509803</v>
      </c>
      <c r="M132" s="54"/>
      <c r="N132" s="55">
        <f>N9/N130</f>
        <v>93.512853715966742</v>
      </c>
      <c r="O132" s="54"/>
      <c r="P132" s="55">
        <f>P9/P130</f>
        <v>91.317060969093106</v>
      </c>
      <c r="Q132" s="54"/>
      <c r="R132" s="55">
        <f>R9/R130</f>
        <v>90.552795883264537</v>
      </c>
      <c r="S132" s="184"/>
      <c r="T132" s="55">
        <f>T9/T130</f>
        <v>89.900729825812135</v>
      </c>
      <c r="U132" s="54"/>
      <c r="V132" s="55">
        <f>V9/V130</f>
        <v>87.596206264044412</v>
      </c>
      <c r="W132" s="54"/>
      <c r="X132" s="55">
        <f>X9/X130</f>
        <v>85.441014942254355</v>
      </c>
      <c r="Y132" s="49"/>
      <c r="Z132" s="55">
        <f>Z9/Z130</f>
        <v>86.546481362277476</v>
      </c>
      <c r="AA132" s="47"/>
      <c r="AB132" s="165">
        <f>AB9/AB130</f>
        <v>82.274034251602657</v>
      </c>
      <c r="AC132" s="47"/>
      <c r="AD132" s="55">
        <f>AD9/AD130</f>
        <v>80.018693432243964</v>
      </c>
      <c r="AE132" s="49"/>
      <c r="AF132" s="55">
        <f>AF9/AF130</f>
        <v>77.280154087399993</v>
      </c>
      <c r="AG132" s="49"/>
      <c r="AH132" s="55">
        <f>AH9/AH130</f>
        <v>79.242819961742839</v>
      </c>
      <c r="AI132" s="166"/>
      <c r="AJ132" s="55">
        <f>AJ9/AJ130</f>
        <v>77.242885017225873</v>
      </c>
      <c r="AK132" s="49"/>
      <c r="AL132" s="55">
        <f>AL9/AL130</f>
        <v>75.070989228227248</v>
      </c>
      <c r="AM132" s="49"/>
      <c r="AN132" s="55">
        <f>AN9/AN130</f>
        <v>72.721848835772832</v>
      </c>
      <c r="AO132" s="49"/>
      <c r="AP132" s="55">
        <f>AP9/AP130</f>
        <v>72.91080203815757</v>
      </c>
      <c r="AQ132" s="49"/>
      <c r="AR132" s="17"/>
      <c r="AS132" s="17"/>
      <c r="AT132" s="17"/>
      <c r="AU132" s="17"/>
      <c r="AV132" s="17"/>
    </row>
    <row r="133" spans="1:142" x14ac:dyDescent="0.25">
      <c r="A133" s="41"/>
      <c r="B133" s="35"/>
      <c r="C133" s="35"/>
      <c r="D133" s="116"/>
      <c r="E133" s="194"/>
      <c r="G133" s="194"/>
      <c r="H133" s="35"/>
      <c r="I133" s="35"/>
      <c r="J133" s="35"/>
      <c r="K133" s="35"/>
      <c r="M133" s="194"/>
      <c r="O133" s="194"/>
      <c r="Q133" s="194"/>
      <c r="R133" s="35"/>
      <c r="S133" s="205"/>
      <c r="U133" s="194"/>
      <c r="W133" s="194"/>
      <c r="Z133" s="35"/>
      <c r="AA133" s="35"/>
      <c r="AB133" s="167"/>
      <c r="AC133" s="35"/>
      <c r="AI133" s="106"/>
      <c r="AR133" s="17"/>
      <c r="AS133" s="17"/>
      <c r="AT133" s="17"/>
      <c r="AU133" s="17"/>
      <c r="AV133" s="17"/>
    </row>
    <row r="134" spans="1:142" ht="15.75" thickBot="1" x14ac:dyDescent="0.3">
      <c r="A134" s="75" t="s">
        <v>278</v>
      </c>
      <c r="B134" s="55">
        <f>B5/B130</f>
        <v>2.8704391693715534</v>
      </c>
      <c r="C134" s="168">
        <f>C5/B130</f>
        <v>2.8704391693715534</v>
      </c>
      <c r="D134" s="165">
        <f>D5/D130</f>
        <v>12.081640356315964</v>
      </c>
      <c r="E134" s="55">
        <f>E5/D130</f>
        <v>3.4073070360117343</v>
      </c>
      <c r="F134" s="55">
        <f>F5/F130+0.005</f>
        <v>8.6793250431976983</v>
      </c>
      <c r="G134" s="55">
        <f>G5/F130</f>
        <v>2.7994897919617934</v>
      </c>
      <c r="H134" s="55">
        <f>H5/H130-0.01</f>
        <v>5.8647659146562869</v>
      </c>
      <c r="I134" s="55">
        <f>I5/H130-0.01</f>
        <v>3.126092191417523</v>
      </c>
      <c r="J134" s="55">
        <f>J5/J130</f>
        <v>2.7386538135709575</v>
      </c>
      <c r="K134" s="168">
        <f>K5/J130</f>
        <v>2.7386538135709575</v>
      </c>
      <c r="L134" s="165">
        <f>L5/L130</f>
        <v>5.8749615851562895</v>
      </c>
      <c r="M134" s="55">
        <f>M5/L130</f>
        <v>2.2954078898761057</v>
      </c>
      <c r="N134" s="55">
        <f>N5/N130</f>
        <v>3.5795315793579587</v>
      </c>
      <c r="O134" s="55">
        <f>O5/N130</f>
        <v>1.9043555975443589</v>
      </c>
      <c r="P134" s="55">
        <f>P5/P130</f>
        <v>1.6751380286332265</v>
      </c>
      <c r="Q134" s="55">
        <f>Q5/P130</f>
        <v>0.90714484893413871</v>
      </c>
      <c r="R134" s="55">
        <f>R5/R130</f>
        <v>0.76797826970639982</v>
      </c>
      <c r="S134" s="168">
        <f>S5/R130</f>
        <v>0.76797826970639982</v>
      </c>
      <c r="T134" s="165">
        <f>T5/T130</f>
        <v>12.062906838792404</v>
      </c>
      <c r="U134" s="55">
        <f>U5/T130</f>
        <v>1.8383807439145363</v>
      </c>
      <c r="V134" s="55">
        <f>V5/V130</f>
        <v>10.224446669980447</v>
      </c>
      <c r="W134" s="55">
        <f>W5/V130</f>
        <v>2.2725338619964188</v>
      </c>
      <c r="X134" s="55">
        <f>X5/X130</f>
        <v>7.9519128079840273</v>
      </c>
      <c r="Y134" s="55">
        <f>Y5/X130</f>
        <v>3.4850734441287594</v>
      </c>
      <c r="Z134" s="55">
        <f>Z5/Z130</f>
        <v>4.4693896045817523</v>
      </c>
      <c r="AA134" s="168">
        <f>AA5/Z130</f>
        <v>4.4693896045817523</v>
      </c>
      <c r="AB134" s="165">
        <f>AB5/AB130</f>
        <v>8.9614920372478863</v>
      </c>
      <c r="AC134" s="55">
        <f>AC5/AB130</f>
        <v>2.0584627878145714</v>
      </c>
      <c r="AD134" s="55">
        <f>AD5/AD130</f>
        <v>6.9030292494333132</v>
      </c>
      <c r="AE134" s="55">
        <f>AE5/AD130</f>
        <v>2.4748021642121349</v>
      </c>
      <c r="AF134" s="55">
        <f>AF5/AF130</f>
        <v>4.4282270852211791</v>
      </c>
      <c r="AG134" s="55">
        <f>AG5/AF130</f>
        <v>2.4081140925118989</v>
      </c>
      <c r="AH134" s="55">
        <f>AH5/AH130</f>
        <v>2.0210738700614836</v>
      </c>
      <c r="AI134" s="168">
        <f>AI5/AH130</f>
        <v>2.0210738700614836</v>
      </c>
      <c r="AJ134" s="55">
        <f>AJ5/AJ130</f>
        <v>8.152994439066493</v>
      </c>
      <c r="AK134" s="55">
        <f>AK5/AJ130</f>
        <v>2.1756141409518674</v>
      </c>
      <c r="AL134" s="55">
        <f>AL5/AL130</f>
        <v>5.9773802981146265</v>
      </c>
      <c r="AM134" s="55">
        <f>AM5/AL130</f>
        <v>2.3891214877888625</v>
      </c>
      <c r="AN134" s="55">
        <f>AN3/AN130</f>
        <v>3.588258810325764</v>
      </c>
      <c r="AO134" s="55">
        <f>AO3/AN130</f>
        <v>2.0112486906527836</v>
      </c>
      <c r="AP134" s="55">
        <f>AP3/AP130</f>
        <v>1.5770101196729809</v>
      </c>
      <c r="AQ134" s="55">
        <f>AQ3/AP130</f>
        <v>1.5770101196729809</v>
      </c>
      <c r="AR134" s="76"/>
      <c r="AS134" s="17"/>
      <c r="AT134" s="17"/>
      <c r="AU134" s="17"/>
      <c r="AV134" s="17"/>
    </row>
    <row r="135" spans="1:142" x14ac:dyDescent="0.25">
      <c r="B135" s="17"/>
      <c r="C135" s="17"/>
      <c r="D135" s="182"/>
      <c r="F135" s="27"/>
      <c r="H135" s="17"/>
      <c r="I135" s="17"/>
      <c r="J135" s="17"/>
      <c r="K135" s="17"/>
      <c r="L135" s="27"/>
      <c r="N135" s="27"/>
      <c r="P135" s="27"/>
      <c r="R135" s="17"/>
      <c r="S135" s="146"/>
      <c r="T135" s="27"/>
      <c r="V135" s="27"/>
      <c r="X135" s="27"/>
      <c r="Y135" s="27"/>
      <c r="Z135" s="17"/>
      <c r="AA135" s="17"/>
      <c r="AB135" s="105"/>
      <c r="AD135" s="27"/>
      <c r="AE135" s="27"/>
      <c r="AF135" s="27"/>
      <c r="AG135" s="27"/>
      <c r="AH135" s="27"/>
      <c r="AI135" s="169"/>
      <c r="AJ135" s="27"/>
      <c r="AK135" s="27"/>
      <c r="AL135" s="27"/>
      <c r="AM135" s="27"/>
      <c r="AN135" s="27"/>
      <c r="AO135" s="27"/>
      <c r="AP135" s="27"/>
      <c r="AQ135" s="27"/>
      <c r="AR135" s="76"/>
      <c r="AS135" s="17"/>
      <c r="AT135" s="17"/>
      <c r="AU135" s="17"/>
      <c r="AV135" s="17"/>
    </row>
    <row r="136" spans="1:142" x14ac:dyDescent="0.25">
      <c r="A136" s="17" t="s">
        <v>279</v>
      </c>
      <c r="B136" s="171">
        <v>134.30000000000001</v>
      </c>
      <c r="C136" s="5"/>
      <c r="D136" s="183">
        <v>133.19999999999999</v>
      </c>
      <c r="E136" s="173">
        <f>D136</f>
        <v>133.19999999999999</v>
      </c>
      <c r="F136" s="171">
        <v>121.5</v>
      </c>
      <c r="G136" s="173">
        <f>F136</f>
        <v>121.5</v>
      </c>
      <c r="H136" s="171">
        <f>I136</f>
        <v>113.7</v>
      </c>
      <c r="I136" s="171">
        <v>113.7</v>
      </c>
      <c r="J136" s="171">
        <f>K136</f>
        <v>105</v>
      </c>
      <c r="K136" s="5">
        <v>105</v>
      </c>
      <c r="L136" s="171">
        <v>91</v>
      </c>
      <c r="M136" s="173">
        <f>L136</f>
        <v>91</v>
      </c>
      <c r="N136" s="171">
        <v>77.400000000000006</v>
      </c>
      <c r="O136" s="173">
        <f>N136</f>
        <v>77.400000000000006</v>
      </c>
      <c r="P136" s="171">
        <v>69.900000000000006</v>
      </c>
      <c r="Q136" s="173">
        <f>P136</f>
        <v>69.900000000000006</v>
      </c>
      <c r="R136" s="171">
        <v>59.2</v>
      </c>
      <c r="S136" s="207">
        <f>R136</f>
        <v>59.2</v>
      </c>
      <c r="T136" s="171">
        <v>100</v>
      </c>
      <c r="U136" s="173">
        <f>T136</f>
        <v>100</v>
      </c>
      <c r="V136" s="171">
        <v>99.15</v>
      </c>
      <c r="W136" s="173">
        <f>V136</f>
        <v>99.15</v>
      </c>
      <c r="X136" s="171">
        <v>103.9</v>
      </c>
      <c r="Y136" s="171">
        <f>+X136</f>
        <v>103.9</v>
      </c>
      <c r="Z136" s="171">
        <v>99.4</v>
      </c>
      <c r="AA136" s="5">
        <f>Z136</f>
        <v>99.4</v>
      </c>
      <c r="AB136" s="170">
        <f>AC136</f>
        <v>89.2</v>
      </c>
      <c r="AC136" s="158">
        <v>89.2</v>
      </c>
      <c r="AD136" s="158">
        <v>99</v>
      </c>
      <c r="AE136" s="171">
        <f>+AD136</f>
        <v>99</v>
      </c>
      <c r="AF136" s="171">
        <v>86.4</v>
      </c>
      <c r="AG136" s="171">
        <f>+AF136</f>
        <v>86.4</v>
      </c>
      <c r="AH136" s="171">
        <v>86.2</v>
      </c>
      <c r="AI136" s="172">
        <f>AH136</f>
        <v>86.2</v>
      </c>
      <c r="AJ136" s="18">
        <v>87</v>
      </c>
      <c r="AK136" s="18">
        <f>AJ136</f>
        <v>87</v>
      </c>
      <c r="AL136" s="18">
        <v>85.75</v>
      </c>
      <c r="AM136" s="18">
        <f>AL136</f>
        <v>85.75</v>
      </c>
      <c r="AN136" s="18">
        <v>71.5</v>
      </c>
      <c r="AO136" s="18">
        <f>AN136</f>
        <v>71.5</v>
      </c>
      <c r="AP136" s="18">
        <v>64.25</v>
      </c>
      <c r="AQ136" s="18">
        <f>AP136</f>
        <v>64.25</v>
      </c>
      <c r="AR136" s="17"/>
      <c r="AS136" s="17"/>
      <c r="AT136" s="17"/>
      <c r="AU136" s="17"/>
      <c r="AV136" s="17"/>
    </row>
    <row r="137" spans="1:142" x14ac:dyDescent="0.25">
      <c r="A137" s="21" t="s">
        <v>278</v>
      </c>
      <c r="B137" s="15">
        <f>(B134)/1*4</f>
        <v>11.481756677486214</v>
      </c>
      <c r="C137" s="15">
        <f>B137</f>
        <v>11.481756677486214</v>
      </c>
      <c r="D137" s="170">
        <f>D134</f>
        <v>12.081640356315964</v>
      </c>
      <c r="E137" s="15">
        <f>E134*4</f>
        <v>13.629228144046937</v>
      </c>
      <c r="F137" s="15">
        <f>F134/3*4</f>
        <v>11.572433390930264</v>
      </c>
      <c r="G137" s="15">
        <f>G134*4</f>
        <v>11.197959167847173</v>
      </c>
      <c r="H137" s="15">
        <f>H134/2*4</f>
        <v>11.729531829312574</v>
      </c>
      <c r="I137" s="15">
        <f>I134*4</f>
        <v>12.504368765670092</v>
      </c>
      <c r="J137" s="15">
        <f>(J134)/1*4</f>
        <v>10.95461525428383</v>
      </c>
      <c r="K137" s="15">
        <f>J137</f>
        <v>10.95461525428383</v>
      </c>
      <c r="L137" s="170">
        <f>L134</f>
        <v>5.8749615851562895</v>
      </c>
      <c r="M137" s="15">
        <f>M134*4</f>
        <v>9.1816315595044227</v>
      </c>
      <c r="N137" s="15">
        <f>N134/3*4</f>
        <v>4.7727087724772783</v>
      </c>
      <c r="O137" s="15">
        <f>O134*4</f>
        <v>7.6174223901774356</v>
      </c>
      <c r="P137" s="15">
        <f>P134/2*4</f>
        <v>3.3502760572664529</v>
      </c>
      <c r="Q137" s="15">
        <f>Q134*4</f>
        <v>3.6285793957365549</v>
      </c>
      <c r="R137" s="15">
        <f>(R134)/1*4</f>
        <v>3.0719130788255993</v>
      </c>
      <c r="S137" s="174">
        <f>R137</f>
        <v>3.0719130788255993</v>
      </c>
      <c r="T137" s="15">
        <f>T134</f>
        <v>12.062906838792404</v>
      </c>
      <c r="U137" s="15">
        <f>U134*4</f>
        <v>7.3535229756581453</v>
      </c>
      <c r="V137" s="15">
        <f>V134/3*4</f>
        <v>13.632595559973929</v>
      </c>
      <c r="W137" s="15">
        <f>W134*4</f>
        <v>9.0901354479856753</v>
      </c>
      <c r="X137" s="15">
        <f>X134/2*4</f>
        <v>15.903825615968055</v>
      </c>
      <c r="Y137" s="15">
        <f>Y134*4</f>
        <v>13.940293776515038</v>
      </c>
      <c r="Z137" s="15">
        <f>(Z134+0.005)/1*4</f>
        <v>17.897558418327009</v>
      </c>
      <c r="AA137" s="15">
        <f>Z137</f>
        <v>17.897558418327009</v>
      </c>
      <c r="AB137" s="170">
        <f>AB134</f>
        <v>8.9614920372478863</v>
      </c>
      <c r="AC137" s="15">
        <f>AC134*4</f>
        <v>8.2338511512582855</v>
      </c>
      <c r="AD137" s="173">
        <f>AD134/3*4</f>
        <v>9.2040389992444176</v>
      </c>
      <c r="AE137" s="173">
        <f>AE134*4</f>
        <v>9.8992086568485398</v>
      </c>
      <c r="AF137" s="15">
        <f>AF134/2*4</f>
        <v>8.8564541704423583</v>
      </c>
      <c r="AG137" s="15">
        <f>AG134*4</f>
        <v>9.6324563700475956</v>
      </c>
      <c r="AH137" s="15">
        <f>AH134/1*4</f>
        <v>8.0842954802459346</v>
      </c>
      <c r="AI137" s="174">
        <f>AI134*4</f>
        <v>8.0842954802459346</v>
      </c>
      <c r="AJ137" s="15">
        <f>AJ134</f>
        <v>8.152994439066493</v>
      </c>
      <c r="AK137" s="15">
        <f>AK134*4</f>
        <v>8.7024565638074698</v>
      </c>
      <c r="AL137" s="15">
        <f>AL134/3*4</f>
        <v>7.9698403974861689</v>
      </c>
      <c r="AM137" s="15">
        <f>AM134*4</f>
        <v>9.5564859511554499</v>
      </c>
      <c r="AN137" s="15">
        <f>AN134/2*4</f>
        <v>7.176517620651528</v>
      </c>
      <c r="AO137" s="15">
        <f>AO134*4</f>
        <v>8.0449947626111342</v>
      </c>
      <c r="AP137" s="15">
        <f>AP134/1*4</f>
        <v>6.3080404786919235</v>
      </c>
      <c r="AQ137" s="15">
        <f>AQ134*4</f>
        <v>6.3080404786919235</v>
      </c>
      <c r="AR137" s="17"/>
      <c r="AS137" s="17"/>
      <c r="AT137" s="17"/>
      <c r="AU137" s="17"/>
      <c r="AV137" s="17"/>
    </row>
    <row r="138" spans="1:142" s="23" customFormat="1" ht="15.75" thickBot="1" x14ac:dyDescent="0.3">
      <c r="A138" s="75" t="s">
        <v>280</v>
      </c>
      <c r="B138" s="55">
        <f>(B136)/B137-0.01</f>
        <v>11.686816416893736</v>
      </c>
      <c r="C138" s="95">
        <f>C136/C137-0.01</f>
        <v>-0.01</v>
      </c>
      <c r="D138" s="165">
        <f>D136/D137+0.01</f>
        <v>11.034992970459225</v>
      </c>
      <c r="E138" s="55">
        <f>E136/E137</f>
        <v>9.773113971841461</v>
      </c>
      <c r="F138" s="55">
        <f>F136/F137</f>
        <v>10.499088298509799</v>
      </c>
      <c r="G138" s="55">
        <f>G136/G137</f>
        <v>10.850191376734461</v>
      </c>
      <c r="H138" s="55">
        <f>H136/H137-0.01</f>
        <v>9.6834815178095273</v>
      </c>
      <c r="I138" s="55">
        <f>I136/I137-0.01</f>
        <v>9.0828220472956414</v>
      </c>
      <c r="J138" s="55">
        <f>(J136)/J137-0.01</f>
        <v>9.5750011673335109</v>
      </c>
      <c r="K138" s="95">
        <f>K136/K137-0.01</f>
        <v>9.5750011673335109</v>
      </c>
      <c r="L138" s="165">
        <f>L136/L137+0.01</f>
        <v>15.499462983029728</v>
      </c>
      <c r="M138" s="55">
        <f>M136/M137-0.02</f>
        <v>9.8910925340715501</v>
      </c>
      <c r="N138" s="55">
        <f>N136/N137</f>
        <v>16.217205718970671</v>
      </c>
      <c r="O138" s="55">
        <f>O136/O137+0.02</f>
        <v>10.180917438398357</v>
      </c>
      <c r="P138" s="55">
        <f>P136/P137</f>
        <v>20.863952344581598</v>
      </c>
      <c r="Q138" s="55">
        <f>Q136/Q137-0.06</f>
        <v>19.20373723064456</v>
      </c>
      <c r="R138" s="55">
        <f>(R136)/R137-0.05</f>
        <v>19.221378610306356</v>
      </c>
      <c r="S138" s="206">
        <f>S136/S137-0.05</f>
        <v>19.221378610306356</v>
      </c>
      <c r="T138" s="55">
        <f>T136/T137</f>
        <v>8.28987584306096</v>
      </c>
      <c r="U138" s="55">
        <f>U136/U137-0.01</f>
        <v>13.588923989361703</v>
      </c>
      <c r="V138" s="55">
        <f>V136/V137+0.01</f>
        <v>7.2830097187882554</v>
      </c>
      <c r="W138" s="55">
        <f>W136/W137+0.01</f>
        <v>10.917428230012909</v>
      </c>
      <c r="X138" s="55">
        <f t="shared" ref="X138" si="149">X136/X137</f>
        <v>6.5330193193064439</v>
      </c>
      <c r="Y138" s="55">
        <f>Y136/Y137-0.01</f>
        <v>7.4432145208473637</v>
      </c>
      <c r="Z138" s="55">
        <f>Z136/Z137</f>
        <v>5.5538301748586507</v>
      </c>
      <c r="AA138" s="95">
        <f>AA136/AA137+0.01</f>
        <v>5.5638301748586505</v>
      </c>
      <c r="AB138" s="165">
        <f>AB136/AB137+0.01</f>
        <v>9.9636996327448291</v>
      </c>
      <c r="AC138" s="95">
        <f t="shared" ref="AC138:AQ138" si="150">AC136/AC137</f>
        <v>10.833326758204583</v>
      </c>
      <c r="AD138" s="55">
        <f>AD136/AD137</f>
        <v>10.756147383570099</v>
      </c>
      <c r="AE138" s="55">
        <f t="shared" si="150"/>
        <v>10.000799400415621</v>
      </c>
      <c r="AF138" s="55">
        <f t="shared" si="150"/>
        <v>9.7555972556548038</v>
      </c>
      <c r="AG138" s="55">
        <f t="shared" si="150"/>
        <v>8.9696746791050437</v>
      </c>
      <c r="AH138" s="55">
        <f t="shared" si="150"/>
        <v>10.662648366902305</v>
      </c>
      <c r="AI138" s="168">
        <f t="shared" si="150"/>
        <v>10.662648366902305</v>
      </c>
      <c r="AJ138" s="55">
        <f>AJ136/AJ137-0.01</f>
        <v>10.660925958580856</v>
      </c>
      <c r="AK138" s="55">
        <f t="shared" si="150"/>
        <v>9.9971771605069701</v>
      </c>
      <c r="AL138" s="55">
        <f t="shared" si="150"/>
        <v>10.759312071926447</v>
      </c>
      <c r="AM138" s="55">
        <f t="shared" si="150"/>
        <v>8.9729635389284681</v>
      </c>
      <c r="AN138" s="55">
        <f t="shared" si="150"/>
        <v>9.9630494592875802</v>
      </c>
      <c r="AO138" s="55">
        <f t="shared" si="150"/>
        <v>8.8875135546755164</v>
      </c>
      <c r="AP138" s="55">
        <f t="shared" si="150"/>
        <v>10.185413396922796</v>
      </c>
      <c r="AQ138" s="55">
        <f t="shared" si="150"/>
        <v>10.185413396922796</v>
      </c>
      <c r="AR138" s="46"/>
      <c r="AS138" s="46"/>
      <c r="AT138" s="46"/>
      <c r="AU138" s="46"/>
      <c r="AV138" s="46"/>
    </row>
    <row r="139" spans="1:142" x14ac:dyDescent="0.25">
      <c r="C139" s="17"/>
      <c r="D139" s="116"/>
      <c r="K139" s="17"/>
      <c r="S139" s="146"/>
      <c r="AA139" s="17"/>
      <c r="AB139" s="105"/>
      <c r="AI139" s="106"/>
      <c r="AR139" s="17"/>
      <c r="AS139" s="17"/>
      <c r="AT139" s="17"/>
      <c r="AU139" s="17"/>
      <c r="AV139" s="17"/>
    </row>
    <row r="140" spans="1:142" x14ac:dyDescent="0.25">
      <c r="A140" s="17" t="s">
        <v>279</v>
      </c>
      <c r="B140" s="158">
        <f>B136</f>
        <v>134.30000000000001</v>
      </c>
      <c r="D140" s="157">
        <f>D136</f>
        <v>133.19999999999999</v>
      </c>
      <c r="E140" s="17"/>
      <c r="F140" s="158">
        <f>F136</f>
        <v>121.5</v>
      </c>
      <c r="G140" s="17"/>
      <c r="H140" s="158">
        <f>H136</f>
        <v>113.7</v>
      </c>
      <c r="I140" s="158"/>
      <c r="J140" s="158">
        <f>J136</f>
        <v>105</v>
      </c>
      <c r="L140" s="158">
        <f>L136</f>
        <v>91</v>
      </c>
      <c r="M140" s="17"/>
      <c r="N140" s="158">
        <f>N136</f>
        <v>77.400000000000006</v>
      </c>
      <c r="O140" s="17"/>
      <c r="P140" s="158">
        <f>P136</f>
        <v>69.900000000000006</v>
      </c>
      <c r="Q140" s="17"/>
      <c r="R140" s="158">
        <f>R136</f>
        <v>59.2</v>
      </c>
      <c r="S140" s="106"/>
      <c r="T140" s="158">
        <f>T136</f>
        <v>100</v>
      </c>
      <c r="U140" s="17"/>
      <c r="V140" s="158">
        <f>V136</f>
        <v>99.15</v>
      </c>
      <c r="W140" s="17"/>
      <c r="X140" s="158">
        <f>X136</f>
        <v>103.9</v>
      </c>
      <c r="Z140" s="158">
        <f>Z136</f>
        <v>99.4</v>
      </c>
      <c r="AB140" s="157">
        <f>AB136</f>
        <v>89.2</v>
      </c>
      <c r="AC140" s="8"/>
      <c r="AD140" s="158">
        <f>AD136</f>
        <v>99</v>
      </c>
      <c r="AF140" s="158">
        <f>AF136</f>
        <v>86.4</v>
      </c>
      <c r="AH140" s="158">
        <f>AH136</f>
        <v>86.2</v>
      </c>
      <c r="AI140" s="106"/>
      <c r="AJ140" s="5">
        <f>AJ136</f>
        <v>87</v>
      </c>
      <c r="AL140" s="5">
        <f>AL136</f>
        <v>85.75</v>
      </c>
      <c r="AN140" s="5">
        <f>AN136</f>
        <v>71.5</v>
      </c>
      <c r="AP140" s="5">
        <f>AP136</f>
        <v>64.25</v>
      </c>
      <c r="AR140" s="18"/>
      <c r="AS140" s="17"/>
      <c r="AT140" s="18"/>
      <c r="AU140" s="17"/>
      <c r="AV140" s="18"/>
      <c r="AX140" s="5"/>
      <c r="AZ140" s="5"/>
      <c r="BB140" s="5"/>
      <c r="BD140" s="5"/>
      <c r="BF140" s="5"/>
      <c r="BH140" s="5"/>
      <c r="BJ140" s="5"/>
      <c r="BL140" s="5"/>
      <c r="BN140" s="5"/>
      <c r="BP140" s="5"/>
      <c r="BR140" s="5"/>
      <c r="BT140" s="5"/>
      <c r="BV140" s="5"/>
      <c r="BX140" s="5"/>
      <c r="BZ140" s="5"/>
      <c r="CB140" s="5"/>
      <c r="CD140" s="5"/>
      <c r="CF140" s="5"/>
      <c r="CH140" s="5"/>
      <c r="CJ140" s="5"/>
      <c r="CL140" s="5"/>
      <c r="CN140" s="5"/>
      <c r="CP140" s="5"/>
      <c r="CR140" s="5"/>
      <c r="CT140" s="5"/>
      <c r="CV140" s="5"/>
      <c r="CX140" s="5"/>
      <c r="CZ140" s="5"/>
      <c r="DB140" s="5"/>
      <c r="DD140" s="5"/>
      <c r="DF140" s="5"/>
      <c r="DH140" s="5"/>
      <c r="DJ140" s="5"/>
      <c r="DL140" s="5"/>
      <c r="DN140" s="5"/>
      <c r="DP140" s="5"/>
      <c r="DR140" s="5"/>
      <c r="DT140" s="5"/>
      <c r="DV140" s="5"/>
      <c r="DX140" s="5"/>
      <c r="DZ140" s="5"/>
      <c r="EB140" s="5"/>
      <c r="ED140" s="5"/>
      <c r="EF140" s="5"/>
      <c r="EH140" s="5"/>
      <c r="EJ140" s="5"/>
      <c r="EL140" s="5"/>
    </row>
    <row r="141" spans="1:142" x14ac:dyDescent="0.25">
      <c r="A141" s="21" t="s">
        <v>277</v>
      </c>
      <c r="B141" s="16">
        <f>B132</f>
        <v>102.32685464002189</v>
      </c>
      <c r="C141" s="10"/>
      <c r="D141" s="175">
        <f>D132</f>
        <v>99.053783928653587</v>
      </c>
      <c r="E141" s="21"/>
      <c r="F141" s="16">
        <f>F132</f>
        <v>95.815643896554633</v>
      </c>
      <c r="G141" s="21"/>
      <c r="H141" s="16">
        <f>H132</f>
        <v>96.080436356053426</v>
      </c>
      <c r="I141" s="16"/>
      <c r="J141" s="16">
        <f>J132</f>
        <v>93.115496698535338</v>
      </c>
      <c r="K141" s="10"/>
      <c r="L141" s="16">
        <f>L132</f>
        <v>95.973076390509803</v>
      </c>
      <c r="M141" s="21"/>
      <c r="N141" s="16">
        <f>N132</f>
        <v>93.512853715966742</v>
      </c>
      <c r="O141" s="21"/>
      <c r="P141" s="16">
        <f>P132</f>
        <v>91.317060969093106</v>
      </c>
      <c r="Q141" s="21"/>
      <c r="R141" s="16">
        <f>R132</f>
        <v>90.552795883264537</v>
      </c>
      <c r="S141" s="160"/>
      <c r="T141" s="16">
        <f>T132</f>
        <v>89.900729825812135</v>
      </c>
      <c r="U141" s="21"/>
      <c r="V141" s="16">
        <f>V132</f>
        <v>87.596206264044412</v>
      </c>
      <c r="W141" s="21"/>
      <c r="X141" s="16">
        <f>X132</f>
        <v>85.441014942254355</v>
      </c>
      <c r="Y141" s="21"/>
      <c r="Z141" s="16">
        <f>Z132</f>
        <v>86.546481362277476</v>
      </c>
      <c r="AA141" s="10"/>
      <c r="AB141" s="175">
        <f>AB132</f>
        <v>82.274034251602657</v>
      </c>
      <c r="AC141" s="10"/>
      <c r="AD141" s="16">
        <f>AD132</f>
        <v>80.018693432243964</v>
      </c>
      <c r="AE141" s="21"/>
      <c r="AF141" s="16">
        <f>AF132</f>
        <v>77.280154087399993</v>
      </c>
      <c r="AG141" s="21"/>
      <c r="AH141" s="16">
        <f>AH132</f>
        <v>79.242819961742839</v>
      </c>
      <c r="AI141" s="176"/>
      <c r="AJ141" s="16">
        <f>AJ132</f>
        <v>77.242885017225873</v>
      </c>
      <c r="AK141" s="21"/>
      <c r="AL141" s="16">
        <f>AL132</f>
        <v>75.070989228227248</v>
      </c>
      <c r="AM141" s="21"/>
      <c r="AN141" s="16">
        <f>AN132</f>
        <v>72.721848835772832</v>
      </c>
      <c r="AO141" s="21"/>
      <c r="AP141" s="16">
        <f>AP132</f>
        <v>72.91080203815757</v>
      </c>
      <c r="AQ141" s="21"/>
      <c r="AR141" s="18"/>
      <c r="AS141" s="17"/>
      <c r="AT141" s="18"/>
      <c r="AU141" s="17"/>
      <c r="AV141" s="18"/>
      <c r="AX141" s="5"/>
      <c r="AZ141" s="5"/>
      <c r="BB141" s="5"/>
      <c r="BD141" s="5"/>
      <c r="BF141" s="5"/>
      <c r="BH141" s="5"/>
      <c r="BJ141" s="5"/>
      <c r="BL141" s="5"/>
      <c r="BN141" s="5"/>
      <c r="BP141" s="5"/>
      <c r="BR141" s="5"/>
      <c r="BT141" s="5"/>
      <c r="BV141" s="5"/>
      <c r="BX141" s="5"/>
      <c r="BZ141" s="5"/>
      <c r="CB141" s="5"/>
      <c r="CD141" s="5"/>
      <c r="CF141" s="5"/>
      <c r="CH141" s="5"/>
      <c r="CJ141" s="5"/>
      <c r="CL141" s="5"/>
      <c r="CN141" s="5"/>
      <c r="CP141" s="5"/>
      <c r="CR141" s="5"/>
      <c r="CT141" s="5"/>
      <c r="CV141" s="5"/>
      <c r="CX141" s="5"/>
      <c r="CZ141" s="5"/>
      <c r="DB141" s="5"/>
      <c r="DD141" s="5"/>
      <c r="DF141" s="5"/>
      <c r="DH141" s="5"/>
      <c r="DJ141" s="5"/>
      <c r="DL141" s="5"/>
      <c r="DN141" s="5"/>
      <c r="DP141" s="5"/>
      <c r="DR141" s="5"/>
      <c r="DT141" s="5"/>
      <c r="DV141" s="5"/>
      <c r="DX141" s="5"/>
      <c r="DZ141" s="5"/>
      <c r="EB141" s="5"/>
      <c r="ED141" s="5"/>
      <c r="EF141" s="5"/>
      <c r="EH141" s="5"/>
      <c r="EJ141" s="5"/>
      <c r="EL141" s="5"/>
    </row>
    <row r="142" spans="1:142" s="23" customFormat="1" ht="15.75" thickBot="1" x14ac:dyDescent="0.3">
      <c r="A142" s="75" t="s">
        <v>281</v>
      </c>
      <c r="B142" s="48">
        <f>B140/B141</f>
        <v>1.312460941680043</v>
      </c>
      <c r="C142" s="49"/>
      <c r="D142" s="177">
        <f>D140/D141</f>
        <v>1.3447239945516996</v>
      </c>
      <c r="E142" s="47"/>
      <c r="F142" s="48">
        <f>F140/F141</f>
        <v>1.2680601523815354</v>
      </c>
      <c r="G142" s="47"/>
      <c r="H142" s="48">
        <f>H140/H141</f>
        <v>1.1833834681875535</v>
      </c>
      <c r="I142" s="48"/>
      <c r="J142" s="48">
        <f>J140/J141</f>
        <v>1.1276318520851707</v>
      </c>
      <c r="K142" s="49"/>
      <c r="L142" s="48">
        <f>L140/L141</f>
        <v>0.9481825885181111</v>
      </c>
      <c r="M142" s="47"/>
      <c r="N142" s="48">
        <f>N140/N141</f>
        <v>0.82769370117922547</v>
      </c>
      <c r="O142" s="47"/>
      <c r="P142" s="48">
        <f>P140/P141</f>
        <v>0.7654648458699097</v>
      </c>
      <c r="Q142" s="47"/>
      <c r="R142" s="48">
        <f>R140/R141</f>
        <v>0.653762254633388</v>
      </c>
      <c r="S142" s="166"/>
      <c r="T142" s="48">
        <f>T140/T141</f>
        <v>1.112338022102332</v>
      </c>
      <c r="U142" s="47"/>
      <c r="V142" s="48">
        <f>V140/V141</f>
        <v>1.1318983347421301</v>
      </c>
      <c r="W142" s="47"/>
      <c r="X142" s="48">
        <f>X140/X141</f>
        <v>1.2160436070454128</v>
      </c>
      <c r="Y142" s="49"/>
      <c r="Z142" s="48">
        <f>Z140/Z141</f>
        <v>1.1485157852220311</v>
      </c>
      <c r="AA142" s="49"/>
      <c r="AB142" s="177">
        <f>AB140/AB141</f>
        <v>1.0841816717923058</v>
      </c>
      <c r="AC142" s="49"/>
      <c r="AD142" s="48">
        <f>AD140/AD141</f>
        <v>1.2372109035225438</v>
      </c>
      <c r="AE142" s="49"/>
      <c r="AF142" s="48">
        <f>AF140/AF141</f>
        <v>1.118010193176969</v>
      </c>
      <c r="AG142" s="49"/>
      <c r="AH142" s="48">
        <f>AH140/AH141</f>
        <v>1.0877957150138773</v>
      </c>
      <c r="AI142" s="166"/>
      <c r="AJ142" s="48">
        <f>AJ140/AJ141</f>
        <v>1.1263173298174738</v>
      </c>
      <c r="AK142" s="49"/>
      <c r="AL142" s="48">
        <f>AL140/AL141</f>
        <v>1.1422521653378901</v>
      </c>
      <c r="AM142" s="49"/>
      <c r="AN142" s="48">
        <f>AN140/AN141</f>
        <v>0.98319832546430275</v>
      </c>
      <c r="AO142" s="49"/>
      <c r="AP142" s="48">
        <f>AP140/AP141</f>
        <v>0.88121373245044032</v>
      </c>
      <c r="AQ142" s="49"/>
      <c r="AR142" s="46"/>
      <c r="AS142" s="46"/>
      <c r="AT142" s="46"/>
      <c r="AU142" s="46"/>
      <c r="AV142" s="46"/>
      <c r="AW142" s="46"/>
      <c r="AX142" s="46"/>
      <c r="AY142" s="46"/>
      <c r="AZ142" s="46"/>
      <c r="BA142" s="46"/>
      <c r="BB142" s="46"/>
      <c r="BC142" s="46"/>
      <c r="BD142" s="46"/>
      <c r="BE142" s="46"/>
      <c r="BF142" s="46"/>
      <c r="BG142" s="46"/>
      <c r="BH142" s="46"/>
      <c r="BI142" s="46"/>
    </row>
    <row r="143" spans="1:142" x14ac:dyDescent="0.25">
      <c r="AB143" s="8"/>
      <c r="AC143" s="8"/>
      <c r="AR143" s="17"/>
      <c r="AS143" s="17"/>
      <c r="AT143" s="17"/>
      <c r="AU143" s="17"/>
      <c r="AV143" s="17"/>
    </row>
    <row r="144" spans="1:142" x14ac:dyDescent="0.25">
      <c r="B144" s="17"/>
      <c r="C144" s="17"/>
      <c r="H144" s="17"/>
      <c r="I144" s="17"/>
      <c r="J144" s="17"/>
      <c r="K144" s="17"/>
      <c r="R144" s="17"/>
      <c r="S144" s="17"/>
      <c r="Z144" s="17"/>
      <c r="AA144" s="17"/>
      <c r="AR144" s="17"/>
      <c r="AS144" s="17"/>
      <c r="AT144" s="17"/>
      <c r="AU144" s="17"/>
      <c r="AV144" s="17"/>
    </row>
    <row r="145" spans="2:27" x14ac:dyDescent="0.25">
      <c r="B145" s="17"/>
      <c r="C145" s="17"/>
      <c r="H145" s="17"/>
      <c r="I145" s="17"/>
      <c r="J145" s="17"/>
      <c r="K145" s="17"/>
      <c r="R145" s="17"/>
      <c r="S145" s="17"/>
      <c r="Z145" s="17"/>
      <c r="AA145" s="17"/>
    </row>
    <row r="146" spans="2:27" x14ac:dyDescent="0.25">
      <c r="B146" s="17"/>
      <c r="C146" s="17"/>
      <c r="H146" s="17"/>
      <c r="I146" s="17"/>
      <c r="J146" s="17"/>
      <c r="K146" s="17"/>
      <c r="R146" s="17"/>
      <c r="S146" s="17"/>
      <c r="Z146" s="17"/>
      <c r="AA146" s="17"/>
    </row>
    <row r="147" spans="2:27" x14ac:dyDescent="0.25">
      <c r="B147" s="17"/>
      <c r="C147" s="17"/>
      <c r="H147" s="17"/>
      <c r="I147" s="17"/>
      <c r="J147" s="17"/>
      <c r="K147" s="17"/>
      <c r="R147" s="17"/>
      <c r="S147" s="17"/>
      <c r="Z147" s="17"/>
      <c r="AA147" s="17"/>
    </row>
    <row r="148" spans="2:27" x14ac:dyDescent="0.25">
      <c r="B148" s="17"/>
      <c r="C148" s="17"/>
      <c r="H148" s="17"/>
      <c r="I148" s="17"/>
      <c r="J148" s="17"/>
      <c r="K148" s="17"/>
      <c r="R148" s="17"/>
      <c r="S148" s="17"/>
      <c r="Z148" s="17"/>
      <c r="AA148" s="17"/>
    </row>
    <row r="149" spans="2:27" x14ac:dyDescent="0.25">
      <c r="B149" s="17"/>
      <c r="C149" s="17"/>
      <c r="H149" s="17"/>
      <c r="I149" s="17"/>
      <c r="J149" s="17"/>
      <c r="K149" s="17"/>
      <c r="R149" s="17"/>
      <c r="S149" s="17"/>
      <c r="Z149" s="17"/>
      <c r="AA149" s="17"/>
    </row>
    <row r="150" spans="2:27" x14ac:dyDescent="0.25">
      <c r="B150" s="17"/>
      <c r="C150" s="17"/>
      <c r="H150" s="17"/>
      <c r="I150" s="17"/>
      <c r="J150" s="17"/>
      <c r="K150" s="17"/>
      <c r="R150" s="17"/>
      <c r="S150" s="17"/>
      <c r="Z150" s="17"/>
      <c r="AA150" s="17"/>
    </row>
    <row r="151" spans="2:27" x14ac:dyDescent="0.25">
      <c r="B151" s="17"/>
      <c r="C151" s="17"/>
      <c r="H151" s="17"/>
      <c r="I151" s="17"/>
      <c r="J151" s="17"/>
      <c r="K151" s="17"/>
      <c r="R151" s="17"/>
      <c r="S151" s="17"/>
      <c r="Z151" s="17"/>
      <c r="AA151" s="17"/>
    </row>
    <row r="152" spans="2:27" x14ac:dyDescent="0.25">
      <c r="B152" s="17"/>
      <c r="C152" s="17"/>
      <c r="H152" s="17"/>
      <c r="I152" s="17"/>
      <c r="J152" s="17"/>
      <c r="K152" s="17"/>
      <c r="R152" s="17"/>
      <c r="S152" s="17"/>
      <c r="Z152" s="17"/>
      <c r="AA152" s="17"/>
    </row>
    <row r="153" spans="2:27" x14ac:dyDescent="0.25">
      <c r="B153" s="17"/>
      <c r="C153" s="17"/>
      <c r="H153" s="17"/>
      <c r="I153" s="17"/>
      <c r="J153" s="17"/>
      <c r="K153" s="17"/>
      <c r="R153" s="17"/>
      <c r="S153" s="17"/>
      <c r="Z153" s="17"/>
      <c r="AA153" s="17"/>
    </row>
    <row r="154" spans="2:27" x14ac:dyDescent="0.25">
      <c r="R154" s="17"/>
      <c r="S154" s="17"/>
      <c r="Z154" s="17"/>
      <c r="AA154" s="17"/>
    </row>
    <row r="155" spans="2:27" x14ac:dyDescent="0.25">
      <c r="R155" s="17"/>
      <c r="S155" s="17"/>
      <c r="Z155" s="17"/>
      <c r="AA155" s="17"/>
    </row>
    <row r="156" spans="2:27" x14ac:dyDescent="0.25">
      <c r="R156" s="17"/>
      <c r="S156" s="17"/>
      <c r="Z156" s="17"/>
      <c r="AA156" s="17"/>
    </row>
    <row r="157" spans="2:27" x14ac:dyDescent="0.25">
      <c r="R157" s="17"/>
      <c r="S157" s="17"/>
      <c r="Z157" s="17"/>
      <c r="AA157" s="17"/>
    </row>
    <row r="158" spans="2:27" x14ac:dyDescent="0.25">
      <c r="R158" s="17"/>
      <c r="S158" s="17"/>
      <c r="Z158" s="17"/>
      <c r="AA158" s="17"/>
    </row>
    <row r="159" spans="2:27" x14ac:dyDescent="0.25">
      <c r="R159" s="17"/>
      <c r="S159" s="17"/>
      <c r="Z159" s="17"/>
      <c r="AA159" s="17"/>
    </row>
    <row r="160" spans="2:27" x14ac:dyDescent="0.25">
      <c r="R160" s="17"/>
      <c r="S160" s="17"/>
      <c r="Z160" s="17"/>
      <c r="AA160" s="17"/>
    </row>
    <row r="161" spans="18:27" x14ac:dyDescent="0.25">
      <c r="R161" s="17"/>
      <c r="S161" s="17"/>
      <c r="Z161" s="17"/>
      <c r="AA161" s="17"/>
    </row>
    <row r="162" spans="18:27" x14ac:dyDescent="0.25">
      <c r="R162" s="17"/>
      <c r="S162" s="17"/>
      <c r="Z162" s="17"/>
      <c r="AA162" s="17"/>
    </row>
    <row r="163" spans="18:27" x14ac:dyDescent="0.25">
      <c r="R163" s="17"/>
      <c r="S163" s="17"/>
      <c r="Z163" s="17"/>
      <c r="AA163" s="17"/>
    </row>
    <row r="164" spans="18:27" x14ac:dyDescent="0.25">
      <c r="R164" s="17"/>
      <c r="S164" s="17"/>
      <c r="Z164" s="17"/>
      <c r="AA164" s="17"/>
    </row>
    <row r="165" spans="18:27" x14ac:dyDescent="0.25">
      <c r="R165" s="17"/>
      <c r="S165" s="17"/>
      <c r="Z165" s="17"/>
      <c r="AA165" s="17"/>
    </row>
    <row r="166" spans="18:27" x14ac:dyDescent="0.25">
      <c r="R166" s="17"/>
      <c r="S166" s="17"/>
      <c r="Z166" s="17"/>
      <c r="AA166" s="17"/>
    </row>
    <row r="167" spans="18:27" x14ac:dyDescent="0.25">
      <c r="R167" s="17"/>
      <c r="S167" s="17"/>
      <c r="Z167" s="17"/>
      <c r="AA167" s="17"/>
    </row>
    <row r="168" spans="18:27" x14ac:dyDescent="0.25">
      <c r="R168" s="17"/>
      <c r="S168" s="17"/>
      <c r="Z168" s="17"/>
      <c r="AA168" s="17"/>
    </row>
    <row r="169" spans="18:27" x14ac:dyDescent="0.25">
      <c r="R169" s="17"/>
      <c r="S169" s="17"/>
      <c r="Z169" s="17"/>
      <c r="AA169" s="17"/>
    </row>
    <row r="170" spans="18:27" x14ac:dyDescent="0.25">
      <c r="R170" s="17"/>
      <c r="S170" s="17"/>
      <c r="Z170" s="17"/>
      <c r="AA170" s="17"/>
    </row>
    <row r="171" spans="18:27" x14ac:dyDescent="0.25">
      <c r="R171" s="17"/>
      <c r="S171" s="17"/>
      <c r="Z171" s="17"/>
      <c r="AA171" s="17"/>
    </row>
    <row r="172" spans="18:27" x14ac:dyDescent="0.25">
      <c r="R172" s="17"/>
      <c r="S172" s="17"/>
      <c r="Z172" s="17"/>
      <c r="AA172" s="17"/>
    </row>
    <row r="173" spans="18:27" x14ac:dyDescent="0.25">
      <c r="R173" s="17"/>
      <c r="S173" s="17"/>
      <c r="Z173" s="17"/>
      <c r="AA173" s="17"/>
    </row>
    <row r="174" spans="18:27" x14ac:dyDescent="0.25">
      <c r="R174" s="17"/>
      <c r="S174" s="17"/>
      <c r="Z174" s="17"/>
      <c r="AA174" s="17"/>
    </row>
    <row r="175" spans="18:27" x14ac:dyDescent="0.25">
      <c r="R175" s="17"/>
      <c r="S175" s="17"/>
      <c r="Z175" s="17"/>
      <c r="AA175" s="17"/>
    </row>
    <row r="176" spans="18:27" x14ac:dyDescent="0.25">
      <c r="R176" s="17"/>
      <c r="S176" s="17"/>
      <c r="Z176" s="17"/>
      <c r="AA176" s="17"/>
    </row>
    <row r="177" spans="18:40" x14ac:dyDescent="0.25">
      <c r="R177" s="17"/>
      <c r="S177" s="17"/>
      <c r="Z177" s="17"/>
      <c r="AA177" s="17"/>
    </row>
    <row r="178" spans="18:40" x14ac:dyDescent="0.25">
      <c r="R178" s="17"/>
      <c r="S178" s="17"/>
      <c r="Z178" s="17"/>
      <c r="AA178" s="17"/>
    </row>
    <row r="179" spans="18:40" x14ac:dyDescent="0.25">
      <c r="R179" s="17"/>
      <c r="S179" s="17"/>
      <c r="Z179" s="17"/>
      <c r="AA179" s="17"/>
    </row>
    <row r="180" spans="18:40" x14ac:dyDescent="0.25">
      <c r="R180" s="17"/>
      <c r="S180" s="17"/>
      <c r="Z180" s="17"/>
      <c r="AA180" s="17"/>
    </row>
    <row r="181" spans="18:40" x14ac:dyDescent="0.25">
      <c r="R181" s="17"/>
      <c r="S181" s="17"/>
      <c r="Z181" s="17"/>
      <c r="AA181" s="17"/>
    </row>
    <row r="182" spans="18:40" x14ac:dyDescent="0.25">
      <c r="R182" s="17"/>
      <c r="S182" s="17"/>
      <c r="Z182" s="17"/>
      <c r="AA182" s="17"/>
    </row>
    <row r="183" spans="18:40" x14ac:dyDescent="0.25">
      <c r="R183" s="17"/>
      <c r="S183" s="17"/>
      <c r="Z183" s="17"/>
      <c r="AA183" s="17"/>
    </row>
    <row r="184" spans="18:40" x14ac:dyDescent="0.25">
      <c r="R184" s="17"/>
      <c r="S184" s="17"/>
      <c r="Z184" s="17"/>
      <c r="AA184" s="17"/>
    </row>
    <row r="185" spans="18:40" x14ac:dyDescent="0.25">
      <c r="R185" s="17"/>
      <c r="S185" s="17"/>
      <c r="Z185" s="17"/>
      <c r="AA185" s="17"/>
    </row>
    <row r="186" spans="18:40" x14ac:dyDescent="0.25">
      <c r="R186" s="17"/>
      <c r="S186" s="17"/>
      <c r="Z186" s="17"/>
      <c r="AA186" s="17"/>
    </row>
    <row r="187" spans="18:40" x14ac:dyDescent="0.25">
      <c r="R187" s="17"/>
      <c r="S187" s="17"/>
      <c r="Z187" s="17"/>
      <c r="AA187" s="17"/>
    </row>
    <row r="188" spans="18:40" x14ac:dyDescent="0.25">
      <c r="R188" s="17"/>
      <c r="S188" s="17"/>
      <c r="Z188" s="17"/>
      <c r="AA188" s="17"/>
      <c r="AN188" s="9"/>
    </row>
    <row r="189" spans="18:40" x14ac:dyDescent="0.25">
      <c r="R189" s="17"/>
      <c r="S189" s="17"/>
      <c r="Z189" s="17"/>
      <c r="AA189" s="17"/>
      <c r="AN189" s="9"/>
    </row>
    <row r="190" spans="18:40" x14ac:dyDescent="0.25">
      <c r="R190" s="17"/>
      <c r="S190" s="17"/>
      <c r="Z190" s="17"/>
      <c r="AA190" s="17"/>
      <c r="AN190" s="9"/>
    </row>
    <row r="191" spans="18:40" x14ac:dyDescent="0.25">
      <c r="R191" s="17"/>
      <c r="S191" s="17"/>
      <c r="Z191" s="17"/>
      <c r="AA191" s="17"/>
      <c r="AN191" s="9"/>
    </row>
    <row r="192" spans="18:40" x14ac:dyDescent="0.25">
      <c r="R192" s="17"/>
      <c r="S192" s="17"/>
      <c r="Z192" s="17"/>
      <c r="AA192" s="17"/>
      <c r="AN192" s="9"/>
    </row>
    <row r="193" spans="40:40" x14ac:dyDescent="0.25">
      <c r="AN193" s="26"/>
    </row>
    <row r="194" spans="40:40" x14ac:dyDescent="0.25">
      <c r="AN194" s="9"/>
    </row>
    <row r="195" spans="40:40" x14ac:dyDescent="0.25">
      <c r="AN195" s="9"/>
    </row>
    <row r="196" spans="40:40" x14ac:dyDescent="0.25">
      <c r="AN196" s="28"/>
    </row>
  </sheetData>
  <pageMargins left="0.31496062992125984" right="0.31496062992125984" top="0.15748031496062992" bottom="0.15748031496062992" header="0.31496062992125984" footer="0.31496062992125984"/>
  <pageSetup paperSize="9" scale="38" fitToWidth="2" fitToHeight="2" orientation="landscape" r:id="rId1"/>
  <rowBreaks count="1" manualBreakCount="1">
    <brk id="86" max="36" man="1"/>
  </rowBreaks>
  <colBreaks count="1" manualBreakCount="1">
    <brk id="27" max="140" man="1"/>
  </colBreaks>
  <ignoredErrors>
    <ignoredError sqref="AF13:AG13 AD11:AH11 AI13:AQ13 AC133:AM133 AR137:AS137 AP98:AQ98 AF98:AN98 AD100:AI100 AD103:AF103 AD13 AL26 AL32 AD98 AD62 AL50 AL62 AB11 AB13 R30:R31 T13:X13 V27:AC28 V30:AC31 Z42:AC43 Z48:AC49 Z39:AC40 Z32:AB32 Z45:AC46 Z44:AA44 V63:AC64 Z50:AA50 Z57:AC58 T106:AB108 Z60:AC62 P13 U101:AB102 U100:AA100 U104:AB105 U103:AA103 N13 N57:N62 U98:AB99 N98:Q98 L13 L134:Z134 O138 Y138 N137:P137 V137:Z137 N32 N39:N50 F26:K42 F13:J20 F44:L61 F62:K69 F71:K142 F70:I70 K70" formula="1"/>
    <ignoredError sqref="R110:R117 R132:R133 S135:S136 T26:U26 R19:V19 S39:U39 R90:T96 R99:S105 R141:R142 T32:U32 S42:U42 T40:U40 S45:U45 T43:U43 T44:U44 S48:U48 T46:U46 S57:U57 T49:U49 T50:U50 S60:U60 T58:U58 T62:U62 T61:U61 R97 T97 R120:R126 R135" evalError="1"/>
    <ignoredError sqref="R39:R40 V39:Y40 V26:AD26 AB50:AD50 AB44:AD44 AC32:AD32 T98:T99 R45:R46 R57:R58 R42:R43 V42:Y46 R48:R49 V57:Y58 R60:R61 V60:Y62 T101:T102 T104:T105 R98:S98 V32:Y32 V48:Y50" evalError="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6BF97DBCB9914B9158A56019E15D08" ma:contentTypeVersion="4" ma:contentTypeDescription="Create a new document." ma:contentTypeScope="" ma:versionID="5af65204cd19e5f95eb4c2a95f0a8f18">
  <xsd:schema xmlns:xsd="http://www.w3.org/2001/XMLSchema" xmlns:xs="http://www.w3.org/2001/XMLSchema" xmlns:p="http://schemas.microsoft.com/office/2006/metadata/properties" xmlns:ns2="d4cc6d02-e547-4b8a-aa32-f1de7cf580b4" xmlns:ns3="a3d310ad-ff41-4ac4-b61e-e7dd1401a4ef" targetNamespace="http://schemas.microsoft.com/office/2006/metadata/properties" ma:root="true" ma:fieldsID="0139f53b7f716c2c3354aae1aa90630b" ns2:_="" ns3:_="">
    <xsd:import namespace="d4cc6d02-e547-4b8a-aa32-f1de7cf580b4"/>
    <xsd:import namespace="a3d310ad-ff41-4ac4-b61e-e7dd1401a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c6d02-e547-4b8a-aa32-f1de7cf58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310ad-ff41-4ac4-b61e-e7dd1401a4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4E392D-92C0-4886-80C5-6F6472FD292A}">
  <ds:schemaRefs>
    <ds:schemaRef ds:uri="http://schemas.microsoft.com/sharepoint/v3/contenttype/forms"/>
  </ds:schemaRefs>
</ds:datastoreItem>
</file>

<file path=customXml/itemProps2.xml><?xml version="1.0" encoding="utf-8"?>
<ds:datastoreItem xmlns:ds="http://schemas.openxmlformats.org/officeDocument/2006/customXml" ds:itemID="{DF33BC4D-F939-4B6B-BE6E-B3F31536E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c6d02-e547-4b8a-aa32-f1de7cf580b4"/>
    <ds:schemaRef ds:uri="a3d310ad-ff41-4ac4-b61e-e7dd1401a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344C4F-8FEB-4535-85AE-E7792A134DF5}">
  <ds:schemaRefs>
    <ds:schemaRef ds:uri="http://purl.org/dc/elements/1.1/"/>
    <ds:schemaRef ds:uri="http://schemas.openxmlformats.org/package/2006/metadata/core-properties"/>
    <ds:schemaRef ds:uri="http://schemas.microsoft.com/office/infopath/2007/PartnerControls"/>
    <ds:schemaRef ds:uri="d4cc6d02-e547-4b8a-aa32-f1de7cf580b4"/>
    <ds:schemaRef ds:uri="http://purl.org/dc/dcmitype/"/>
    <ds:schemaRef ds:uri="a3d310ad-ff41-4ac4-b61e-e7dd1401a4ef"/>
    <ds:schemaRef ds:uri="http://schemas.microsoft.com/office/2006/documentManagement/types"/>
    <ds:schemaRef ds:uri="http://www.w3.org/XML/1998/namespac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8</vt:i4>
      </vt:variant>
    </vt:vector>
  </HeadingPairs>
  <TitlesOfParts>
    <vt:vector size="12" baseType="lpstr">
      <vt:lpstr>APM definisjoner</vt:lpstr>
      <vt:lpstr>APM utregning</vt:lpstr>
      <vt:lpstr>APM definitions</vt:lpstr>
      <vt:lpstr>APM calculations</vt:lpstr>
      <vt:lpstr>'APM calculations'!Utskriftsområde</vt:lpstr>
      <vt:lpstr>'APM definisjoner'!Utskriftsområde</vt:lpstr>
      <vt:lpstr>'APM definitions'!Utskriftsområde</vt:lpstr>
      <vt:lpstr>'APM utregning'!Utskriftsområde</vt:lpstr>
      <vt:lpstr>'APM calculations'!Utskriftstitler</vt:lpstr>
      <vt:lpstr>'APM definisjoner'!Utskriftstitler</vt:lpstr>
      <vt:lpstr>'APM definitions'!Utskriftstitler</vt:lpstr>
      <vt:lpstr>'APM utregning'!Utskriftstitler</vt:lpstr>
    </vt:vector>
  </TitlesOfParts>
  <Manager/>
  <Company>SpareBank1 Alliansen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Cathrine Aunvik</dc:creator>
  <cp:keywords/>
  <dc:description/>
  <cp:lastModifiedBy>Elisabeth Faugstad</cp:lastModifiedBy>
  <cp:revision/>
  <dcterms:created xsi:type="dcterms:W3CDTF">2017-08-15T12:23:16Z</dcterms:created>
  <dcterms:modified xsi:type="dcterms:W3CDTF">2022-05-03T12:31:28Z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0x010100576BF97DBCB9914B9158A56019E15D08</vt:lpwstr>
  </property>
  <property fmtid="{D5CDD505-2E9C-101B-9397-08002B2CF9AE}" pid="3" name="MSIP_Label_98335434-1b48-487a-a24a-a853eb7bd7b5_Enabled">
    <vt:lpwstr>true</vt:lpwstr>
  </property>
  <property fmtid="{D5CDD505-2E9C-101B-9397-08002B2CF9AE}" pid="4" name="MSIP_Label_98335434-1b48-487a-a24a-a853eb7bd7b5_SetDate">
    <vt:lpwstr>2021-06-07T12:36:41Z</vt:lpwstr>
  </property>
  <property fmtid="{D5CDD505-2E9C-101B-9397-08002B2CF9AE}" pid="5" name="MSIP_Label_98335434-1b48-487a-a24a-a853eb7bd7b5_Method">
    <vt:lpwstr>Privileged</vt:lpwstr>
  </property>
  <property fmtid="{D5CDD505-2E9C-101B-9397-08002B2CF9AE}" pid="6" name="MSIP_Label_98335434-1b48-487a-a24a-a853eb7bd7b5_Name">
    <vt:lpwstr>98335434-1b48-487a-a24a-a853eb7bd7b5</vt:lpwstr>
  </property>
  <property fmtid="{D5CDD505-2E9C-101B-9397-08002B2CF9AE}" pid="7" name="MSIP_Label_98335434-1b48-487a-a24a-a853eb7bd7b5_SiteId">
    <vt:lpwstr>aa041025-ad66-491f-b117-929458960abd</vt:lpwstr>
  </property>
  <property fmtid="{D5CDD505-2E9C-101B-9397-08002B2CF9AE}" pid="8" name="MSIP_Label_98335434-1b48-487a-a24a-a853eb7bd7b5_ActionId">
    <vt:lpwstr>394ac742-6b79-449d-ac30-43f5dedbd00b</vt:lpwstr>
  </property>
  <property fmtid="{D5CDD505-2E9C-101B-9397-08002B2CF9AE}" pid="9" name="MSIP_Label_98335434-1b48-487a-a24a-a853eb7bd7b5_ContentBits">
    <vt:lpwstr>0</vt:lpwstr>
  </property>
</Properties>
</file>