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541D4E3-055E-4F39-B2CF-EE7D8F520953}" xr6:coauthVersionLast="45" xr6:coauthVersionMax="45" xr10:uidLastSave="{00000000-0000-0000-0000-000000000000}"/>
  <bookViews>
    <workbookView xWindow="-26070" yWindow="6510" windowWidth="21600" windowHeight="12735" xr2:uid="{00000000-000D-0000-FFFF-FFFF00000000}"/>
  </bookViews>
  <sheets>
    <sheet name="APM definisjoner" sheetId="1" r:id="rId1"/>
    <sheet name="APM utregning" sheetId="2" r:id="rId2"/>
    <sheet name="APM utregning proform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AMO_UniqueIdentifier" hidden="1">"'ea146410-0ba0-4315-a76f-efd61b1e6fa7'"</definedName>
    <definedName name="_xlnm.Print_Titles" localSheetId="0">'APM definisjoner'!$4:$4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4" i="2" l="1"/>
  <c r="D74" i="2"/>
  <c r="H74" i="2"/>
  <c r="J74" i="2"/>
  <c r="F74" i="2"/>
  <c r="B74" i="2"/>
  <c r="C35" i="2"/>
  <c r="C28" i="2"/>
  <c r="C30" i="2"/>
  <c r="M35" i="2" l="1"/>
  <c r="K35" i="2"/>
  <c r="I35" i="2"/>
  <c r="G35" i="2"/>
  <c r="E35" i="2"/>
  <c r="C34" i="2"/>
  <c r="E28" i="2"/>
  <c r="D28" i="2" l="1"/>
  <c r="D31" i="2" s="1"/>
  <c r="B28" i="2"/>
  <c r="B31" i="2" s="1"/>
  <c r="G28" i="2"/>
  <c r="I28" i="2"/>
  <c r="K28" i="2"/>
  <c r="M28" i="2"/>
  <c r="L28" i="2" s="1"/>
  <c r="L31" i="2" s="1"/>
  <c r="M31" i="2"/>
  <c r="M36" i="2" s="1"/>
  <c r="F28" i="2" l="1"/>
  <c r="F31" i="2" s="1"/>
  <c r="J28" i="2"/>
  <c r="J31" i="2" s="1"/>
  <c r="H28" i="2"/>
  <c r="H31" i="2" s="1"/>
  <c r="L98" i="2"/>
  <c r="L97" i="2"/>
  <c r="L96" i="2"/>
  <c r="B98" i="2" l="1"/>
  <c r="B97" i="2"/>
  <c r="B96" i="2"/>
  <c r="J98" i="2"/>
  <c r="J97" i="2"/>
  <c r="J96" i="2"/>
  <c r="F98" i="2"/>
  <c r="F97" i="2"/>
  <c r="F96" i="2"/>
  <c r="D98" i="2"/>
  <c r="D97" i="2"/>
  <c r="D96" i="2"/>
  <c r="D92" i="2"/>
  <c r="L99" i="2" l="1"/>
  <c r="J99" i="2"/>
  <c r="F99" i="2"/>
  <c r="D99" i="2"/>
  <c r="B99" i="2"/>
  <c r="H98" i="2"/>
  <c r="H97" i="2"/>
  <c r="H96" i="2"/>
  <c r="H92" i="2"/>
  <c r="H99" i="2" l="1"/>
  <c r="L92" i="2" l="1"/>
  <c r="F92" i="2"/>
  <c r="J92" i="2"/>
  <c r="B92" i="2"/>
  <c r="L44" i="2"/>
  <c r="M44" i="2" s="1"/>
  <c r="L43" i="2"/>
  <c r="M43" i="2" s="1"/>
  <c r="K44" i="2" l="1"/>
  <c r="J44" i="2"/>
  <c r="M45" i="2"/>
  <c r="L45" i="2"/>
  <c r="F44" i="2"/>
  <c r="C44" i="2"/>
  <c r="B44" i="2"/>
  <c r="G44" i="2"/>
  <c r="G43" i="2"/>
  <c r="B43" i="2"/>
  <c r="F43" i="2"/>
  <c r="J43" i="2"/>
  <c r="K43" i="2"/>
  <c r="C43" i="2"/>
  <c r="G31" i="2"/>
  <c r="G36" i="2" s="1"/>
  <c r="I31" i="2"/>
  <c r="I36" i="2" s="1"/>
  <c r="K31" i="2"/>
  <c r="K36" i="2" s="1"/>
  <c r="D43" i="2" l="1"/>
  <c r="D45" i="2" s="1"/>
  <c r="G45" i="2"/>
  <c r="D44" i="2"/>
  <c r="E44" i="2" s="1"/>
  <c r="C45" i="2"/>
  <c r="H44" i="2"/>
  <c r="I44" i="2" s="1"/>
  <c r="B45" i="2"/>
  <c r="J45" i="2"/>
  <c r="E43" i="2"/>
  <c r="K45" i="2"/>
  <c r="H43" i="2"/>
  <c r="F45" i="2"/>
  <c r="E45" i="2" l="1"/>
  <c r="I43" i="2"/>
  <c r="I45" i="2" s="1"/>
  <c r="H45" i="2"/>
  <c r="E31" i="2" l="1"/>
  <c r="E36" i="2" s="1"/>
  <c r="C31" i="2"/>
  <c r="C36" i="2" l="1"/>
  <c r="C37" i="2" s="1"/>
  <c r="C32" i="2"/>
  <c r="M30" i="2"/>
  <c r="K30" i="2"/>
  <c r="I30" i="2"/>
  <c r="G30" i="2"/>
  <c r="E30" i="2"/>
  <c r="J30" i="2" l="1"/>
  <c r="K34" i="2"/>
  <c r="K37" i="2" s="1"/>
  <c r="F30" i="2"/>
  <c r="G32" i="2"/>
  <c r="G34" i="2"/>
  <c r="G37" i="2" s="1"/>
  <c r="D30" i="2"/>
  <c r="B30" i="2"/>
  <c r="E34" i="2"/>
  <c r="E37" i="2" s="1"/>
  <c r="L30" i="2"/>
  <c r="M34" i="2"/>
  <c r="M37" i="2" s="1"/>
  <c r="I32" i="2"/>
  <c r="H30" i="2"/>
  <c r="I34" i="2"/>
  <c r="I37" i="2" s="1"/>
  <c r="K32" i="2"/>
  <c r="M32" i="2"/>
  <c r="E32" i="2"/>
  <c r="F60" i="3" l="1"/>
  <c r="F62" i="3" s="1"/>
  <c r="G60" i="3"/>
  <c r="G62" i="3" s="1"/>
  <c r="H60" i="3"/>
  <c r="H62" i="3" s="1"/>
  <c r="I60" i="3"/>
  <c r="I62" i="3" s="1"/>
  <c r="B45" i="3"/>
  <c r="B59" i="3" s="1"/>
  <c r="C45" i="3"/>
  <c r="C59" i="3" s="1"/>
  <c r="D45" i="3"/>
  <c r="D59" i="3" s="1"/>
  <c r="E45" i="3"/>
  <c r="E59" i="3" s="1"/>
  <c r="F45" i="3"/>
  <c r="B60" i="3" s="1"/>
  <c r="B62" i="3" s="1"/>
  <c r="G45" i="3"/>
  <c r="G49" i="3" s="1"/>
  <c r="G53" i="3" s="1"/>
  <c r="H45" i="3"/>
  <c r="D60" i="3" s="1"/>
  <c r="D62" i="3" s="1"/>
  <c r="I45" i="3"/>
  <c r="E60" i="3" s="1"/>
  <c r="E62" i="3" s="1"/>
  <c r="F40" i="3"/>
  <c r="F42" i="3" s="1"/>
  <c r="G40" i="3"/>
  <c r="G42" i="3" s="1"/>
  <c r="H40" i="3"/>
  <c r="H42" i="3" s="1"/>
  <c r="I40" i="3"/>
  <c r="I42" i="3" s="1"/>
  <c r="B30" i="3"/>
  <c r="B66" i="3" s="1"/>
  <c r="C30" i="3"/>
  <c r="C66" i="3" s="1"/>
  <c r="D30" i="3"/>
  <c r="D66" i="3" s="1"/>
  <c r="E30" i="3"/>
  <c r="E66" i="3" s="1"/>
  <c r="F30" i="3"/>
  <c r="F66" i="3" s="1"/>
  <c r="G30" i="3"/>
  <c r="G66" i="3" s="1"/>
  <c r="H30" i="3"/>
  <c r="H66" i="3" s="1"/>
  <c r="I30" i="3"/>
  <c r="I66" i="3" s="1"/>
  <c r="B29" i="3"/>
  <c r="B46" i="3" s="1"/>
  <c r="C29" i="3"/>
  <c r="C46" i="3" s="1"/>
  <c r="D29" i="3"/>
  <c r="D46" i="3" s="1"/>
  <c r="E29" i="3"/>
  <c r="E46" i="3" s="1"/>
  <c r="E47" i="3" s="1"/>
  <c r="F29" i="3"/>
  <c r="F31" i="3" s="1"/>
  <c r="G29" i="3"/>
  <c r="G31" i="3" s="1"/>
  <c r="G33" i="3" s="1"/>
  <c r="H29" i="3"/>
  <c r="H46" i="3" s="1"/>
  <c r="I29" i="3"/>
  <c r="I46" i="3" s="1"/>
  <c r="B26" i="3"/>
  <c r="C26" i="3"/>
  <c r="D26" i="3"/>
  <c r="E26" i="3"/>
  <c r="F26" i="3"/>
  <c r="G26" i="3"/>
  <c r="H26" i="3"/>
  <c r="I26" i="3"/>
  <c r="B25" i="3"/>
  <c r="B27" i="3" s="1"/>
  <c r="C25" i="3"/>
  <c r="C27" i="3" s="1"/>
  <c r="D25" i="3"/>
  <c r="D27" i="3" s="1"/>
  <c r="E25" i="3"/>
  <c r="E27" i="3" s="1"/>
  <c r="F25" i="3"/>
  <c r="F27" i="3" s="1"/>
  <c r="G25" i="3"/>
  <c r="G27" i="3" s="1"/>
  <c r="H25" i="3"/>
  <c r="H27" i="3" s="1"/>
  <c r="I25" i="3"/>
  <c r="I27" i="3" s="1"/>
  <c r="J19" i="3"/>
  <c r="B21" i="3"/>
  <c r="C21" i="3"/>
  <c r="D21" i="3"/>
  <c r="E21" i="3"/>
  <c r="F21" i="3"/>
  <c r="G21" i="3"/>
  <c r="H21" i="3"/>
  <c r="I21" i="3"/>
  <c r="B19" i="3"/>
  <c r="C19" i="3"/>
  <c r="D19" i="3"/>
  <c r="E19" i="3"/>
  <c r="E22" i="3" s="1"/>
  <c r="F19" i="3"/>
  <c r="G19" i="3"/>
  <c r="H19" i="3"/>
  <c r="H22" i="3" s="1"/>
  <c r="I19" i="3"/>
  <c r="I22" i="3" s="1"/>
  <c r="J9" i="3"/>
  <c r="F50" i="3" l="1"/>
  <c r="F33" i="3"/>
  <c r="B22" i="3"/>
  <c r="B23" i="3" s="1"/>
  <c r="I23" i="3"/>
  <c r="H23" i="3"/>
  <c r="G22" i="3"/>
  <c r="G23" i="3" s="1"/>
  <c r="F22" i="3"/>
  <c r="F23" i="3" s="1"/>
  <c r="E23" i="3"/>
  <c r="B65" i="3"/>
  <c r="D22" i="3"/>
  <c r="D23" i="3" s="1"/>
  <c r="I65" i="3"/>
  <c r="I67" i="3" s="1"/>
  <c r="C22" i="3"/>
  <c r="C23" i="3" s="1"/>
  <c r="F49" i="3"/>
  <c r="F53" i="3" s="1"/>
  <c r="H65" i="3"/>
  <c r="H67" i="3" s="1"/>
  <c r="E49" i="3"/>
  <c r="E53" i="3" s="1"/>
  <c r="G65" i="3"/>
  <c r="G67" i="3" s="1"/>
  <c r="F65" i="3"/>
  <c r="F67" i="3" s="1"/>
  <c r="B67" i="3"/>
  <c r="E65" i="3"/>
  <c r="E67" i="3" s="1"/>
  <c r="D65" i="3"/>
  <c r="D67" i="3" s="1"/>
  <c r="C65" i="3"/>
  <c r="C67" i="3" s="1"/>
  <c r="G59" i="3"/>
  <c r="G61" i="3" s="1"/>
  <c r="G63" i="3" s="1"/>
  <c r="F59" i="3"/>
  <c r="F61" i="3" s="1"/>
  <c r="F63" i="3" s="1"/>
  <c r="G46" i="3"/>
  <c r="G47" i="3" s="1"/>
  <c r="F46" i="3"/>
  <c r="F47" i="3" s="1"/>
  <c r="C60" i="3"/>
  <c r="C62" i="3" s="1"/>
  <c r="C40" i="3"/>
  <c r="C42" i="3" s="1"/>
  <c r="G39" i="3"/>
  <c r="G41" i="3" s="1"/>
  <c r="G43" i="3" s="1"/>
  <c r="G50" i="3"/>
  <c r="G51" i="3" s="1"/>
  <c r="D61" i="3"/>
  <c r="D63" i="3" s="1"/>
  <c r="E61" i="3"/>
  <c r="E63" i="3" s="1"/>
  <c r="B61" i="3"/>
  <c r="B63" i="3" s="1"/>
  <c r="E31" i="3"/>
  <c r="E33" i="3" s="1"/>
  <c r="D31" i="3"/>
  <c r="C31" i="3"/>
  <c r="C33" i="3" s="1"/>
  <c r="D47" i="3"/>
  <c r="D49" i="3"/>
  <c r="F39" i="3"/>
  <c r="F41" i="3" s="1"/>
  <c r="F43" i="3" s="1"/>
  <c r="B31" i="3"/>
  <c r="B33" i="3" s="1"/>
  <c r="B40" i="3"/>
  <c r="B42" i="3" s="1"/>
  <c r="C47" i="3"/>
  <c r="C49" i="3"/>
  <c r="C53" i="3" s="1"/>
  <c r="I31" i="3"/>
  <c r="B47" i="3"/>
  <c r="B49" i="3"/>
  <c r="B53" i="3" s="1"/>
  <c r="H31" i="3"/>
  <c r="I47" i="3"/>
  <c r="I49" i="3"/>
  <c r="I59" i="3"/>
  <c r="I61" i="3" s="1"/>
  <c r="I63" i="3" s="1"/>
  <c r="H47" i="3"/>
  <c r="H49" i="3"/>
  <c r="H59" i="3"/>
  <c r="H61" i="3" s="1"/>
  <c r="H63" i="3" s="1"/>
  <c r="D53" i="3" l="1"/>
  <c r="C54" i="3"/>
  <c r="C56" i="3" s="1"/>
  <c r="B54" i="3"/>
  <c r="B56" i="3" s="1"/>
  <c r="G54" i="3"/>
  <c r="D54" i="3"/>
  <c r="D56" i="3" s="1"/>
  <c r="E54" i="3"/>
  <c r="E56" i="3" s="1"/>
  <c r="F54" i="3"/>
  <c r="F56" i="3" s="1"/>
  <c r="C34" i="3"/>
  <c r="C36" i="3" s="1"/>
  <c r="B34" i="3"/>
  <c r="B36" i="3" s="1"/>
  <c r="D33" i="3"/>
  <c r="F51" i="3"/>
  <c r="D34" i="3"/>
  <c r="D36" i="3" s="1"/>
  <c r="E34" i="3"/>
  <c r="E36" i="3" s="1"/>
  <c r="F34" i="3"/>
  <c r="F36" i="3" s="1"/>
  <c r="G34" i="3"/>
  <c r="C61" i="3"/>
  <c r="C63" i="3" s="1"/>
  <c r="B50" i="3"/>
  <c r="B51" i="3" s="1"/>
  <c r="B39" i="3"/>
  <c r="B41" i="3" s="1"/>
  <c r="B43" i="3" s="1"/>
  <c r="H50" i="3"/>
  <c r="H51" i="3" s="1"/>
  <c r="D40" i="3"/>
  <c r="D42" i="3" s="1"/>
  <c r="H39" i="3"/>
  <c r="H41" i="3" s="1"/>
  <c r="H43" i="3" s="1"/>
  <c r="E39" i="3"/>
  <c r="E50" i="3"/>
  <c r="E51" i="3" s="1"/>
  <c r="I50" i="3"/>
  <c r="E40" i="3"/>
  <c r="E42" i="3" s="1"/>
  <c r="I39" i="3"/>
  <c r="I41" i="3" s="1"/>
  <c r="I43" i="3" s="1"/>
  <c r="C50" i="3"/>
  <c r="C51" i="3" s="1"/>
  <c r="C39" i="3"/>
  <c r="C41" i="3" s="1"/>
  <c r="C43" i="3" s="1"/>
  <c r="I51" i="3"/>
  <c r="D39" i="3"/>
  <c r="D50" i="3"/>
  <c r="D51" i="3" s="1"/>
  <c r="B35" i="3" l="1"/>
  <c r="B37" i="3" s="1"/>
  <c r="E41" i="3"/>
  <c r="E43" i="3" s="1"/>
  <c r="E55" i="3"/>
  <c r="E57" i="3" s="1"/>
  <c r="C55" i="3"/>
  <c r="C57" i="3" s="1"/>
  <c r="D55" i="3"/>
  <c r="D57" i="3" s="1"/>
  <c r="F55" i="3"/>
  <c r="F57" i="3" s="1"/>
  <c r="G56" i="3"/>
  <c r="G55" i="3"/>
  <c r="G57" i="3" s="1"/>
  <c r="B55" i="3"/>
  <c r="B57" i="3" s="1"/>
  <c r="F35" i="3"/>
  <c r="F37" i="3" s="1"/>
  <c r="E35" i="3"/>
  <c r="E37" i="3" s="1"/>
  <c r="D35" i="3"/>
  <c r="D37" i="3" s="1"/>
  <c r="G36" i="3"/>
  <c r="G35" i="3"/>
  <c r="G37" i="3" s="1"/>
  <c r="C35" i="3"/>
  <c r="C37" i="3" s="1"/>
  <c r="D41" i="3"/>
  <c r="D43" i="3" s="1"/>
  <c r="I8" i="3"/>
  <c r="I7" i="3" l="1"/>
  <c r="I9" i="3" s="1"/>
  <c r="I11" i="3" s="1"/>
  <c r="H7" i="3"/>
  <c r="H9" i="3" s="1"/>
  <c r="G7" i="3"/>
  <c r="G9" i="3" s="1"/>
  <c r="F7" i="3"/>
  <c r="F9" i="3" s="1"/>
  <c r="F11" i="3" s="1"/>
  <c r="F16" i="3" s="1"/>
  <c r="E7" i="3"/>
  <c r="E9" i="3" s="1"/>
  <c r="D7" i="3"/>
  <c r="D9" i="3" s="1"/>
  <c r="D11" i="3" s="1"/>
  <c r="D16" i="3" s="1"/>
  <c r="C7" i="3"/>
  <c r="C9" i="3" s="1"/>
  <c r="C11" i="3" l="1"/>
  <c r="C16" i="3" s="1"/>
  <c r="G11" i="3"/>
  <c r="G16" i="3" s="1"/>
  <c r="H11" i="3"/>
  <c r="H16" i="3" s="1"/>
  <c r="E11" i="3"/>
  <c r="E16" i="3" s="1"/>
  <c r="I16" i="3"/>
  <c r="B7" i="3"/>
  <c r="B9" i="3" s="1"/>
  <c r="B11" i="3" s="1"/>
  <c r="B16" i="3" s="1"/>
  <c r="I4" i="3"/>
  <c r="H4" i="3"/>
  <c r="G4" i="3"/>
  <c r="F4" i="3"/>
  <c r="E4" i="3"/>
  <c r="D4" i="3"/>
  <c r="C4" i="3"/>
  <c r="B4" i="3"/>
  <c r="B3" i="3"/>
  <c r="C3" i="3"/>
  <c r="D3" i="3"/>
  <c r="E3" i="3"/>
  <c r="F3" i="3"/>
  <c r="G3" i="3"/>
  <c r="H3" i="3"/>
  <c r="I3" i="3"/>
  <c r="H5" i="3" l="1"/>
  <c r="H15" i="3" s="1"/>
  <c r="H17" i="3" s="1"/>
  <c r="C5" i="3"/>
  <c r="C15" i="3" s="1"/>
  <c r="C17" i="3" s="1"/>
  <c r="B5" i="3"/>
  <c r="B15" i="3" s="1"/>
  <c r="B17" i="3" s="1"/>
  <c r="I5" i="3"/>
  <c r="I15" i="3" s="1"/>
  <c r="I17" i="3" s="1"/>
  <c r="F5" i="3"/>
  <c r="F15" i="3" s="1"/>
  <c r="F17" i="3" s="1"/>
  <c r="E5" i="3"/>
  <c r="E15" i="3" s="1"/>
  <c r="E17" i="3" s="1"/>
  <c r="G5" i="3"/>
  <c r="G15" i="3" s="1"/>
  <c r="G17" i="3" s="1"/>
  <c r="D5" i="3"/>
  <c r="D15" i="3" s="1"/>
  <c r="D17" i="3" s="1"/>
  <c r="K5" i="2"/>
  <c r="F5" i="2" l="1"/>
  <c r="F125" i="2"/>
  <c r="F124" i="2" l="1"/>
  <c r="F88" i="2"/>
  <c r="F13" i="2"/>
  <c r="F12" i="2"/>
  <c r="F8" i="2"/>
  <c r="F4" i="2"/>
  <c r="D119" i="2"/>
  <c r="D115" i="2"/>
  <c r="D120" i="2" s="1"/>
  <c r="E120" i="2" s="1"/>
  <c r="D125" i="2"/>
  <c r="E125" i="2" s="1"/>
  <c r="D124" i="2"/>
  <c r="E124" i="2" s="1"/>
  <c r="D88" i="2"/>
  <c r="E88" i="2" s="1"/>
  <c r="D13" i="2"/>
  <c r="D12" i="2"/>
  <c r="E8" i="2"/>
  <c r="E5" i="2"/>
  <c r="E4" i="2"/>
  <c r="H125" i="2" l="1"/>
  <c r="G125" i="2" s="1"/>
  <c r="H124" i="2"/>
  <c r="G124" i="2" s="1"/>
  <c r="H88" i="2"/>
  <c r="G88" i="2" s="1"/>
  <c r="H13" i="2"/>
  <c r="I13" i="2" s="1"/>
  <c r="H12" i="2"/>
  <c r="H8" i="2"/>
  <c r="G8" i="2" s="1"/>
  <c r="H5" i="2"/>
  <c r="G5" i="2" s="1"/>
  <c r="I4" i="2"/>
  <c r="H107" i="2" l="1"/>
  <c r="I8" i="2"/>
  <c r="B133" i="2"/>
  <c r="C129" i="2"/>
  <c r="B125" i="2"/>
  <c r="C125" i="2" s="1"/>
  <c r="B124" i="2"/>
  <c r="C124" i="2" s="1"/>
  <c r="B120" i="2"/>
  <c r="C120" i="2" s="1"/>
  <c r="B55" i="2"/>
  <c r="B54" i="2"/>
  <c r="L125" i="2"/>
  <c r="M125" i="2" s="1"/>
  <c r="L124" i="2"/>
  <c r="M124" i="2" s="1"/>
  <c r="L120" i="2"/>
  <c r="M120" i="2" s="1"/>
  <c r="M88" i="2"/>
  <c r="M5" i="2"/>
  <c r="M4" i="2"/>
  <c r="B100" i="2" l="1"/>
  <c r="B101" i="2" s="1"/>
  <c r="B93" i="2"/>
  <c r="B94" i="2" s="1"/>
  <c r="K124" i="2"/>
  <c r="J124" i="2"/>
  <c r="I124" i="2" s="1"/>
  <c r="J125" i="2"/>
  <c r="J88" i="2"/>
  <c r="I88" i="2" s="1"/>
  <c r="N55" i="2"/>
  <c r="N54" i="2"/>
  <c r="J13" i="2"/>
  <c r="K13" i="2" s="1"/>
  <c r="N16" i="2"/>
  <c r="K125" i="2" l="1"/>
  <c r="I125" i="2"/>
  <c r="N56" i="2"/>
  <c r="L63" i="2" l="1"/>
  <c r="L65" i="2" s="1"/>
  <c r="J63" i="2"/>
  <c r="J65" i="2" s="1"/>
  <c r="H63" i="2"/>
  <c r="H65" i="2" s="1"/>
  <c r="F63" i="2"/>
  <c r="F65" i="2" s="1"/>
  <c r="J48" i="2"/>
  <c r="J120" i="2" l="1"/>
  <c r="K120" i="2" s="1"/>
  <c r="J12" i="2" l="1"/>
  <c r="C13" i="2" l="1"/>
  <c r="B137" i="2" l="1"/>
  <c r="C137" i="2" l="1"/>
  <c r="B140" i="2"/>
  <c r="B5" i="2"/>
  <c r="E119" i="2" l="1"/>
  <c r="D118" i="2"/>
  <c r="E118" i="2" s="1"/>
  <c r="D117" i="2"/>
  <c r="D121" i="2" l="1"/>
  <c r="D131" i="2" s="1"/>
  <c r="E117" i="2"/>
  <c r="E121" i="2" s="1"/>
  <c r="F119" i="2"/>
  <c r="G119" i="2" s="1"/>
  <c r="F118" i="2"/>
  <c r="G118" i="2" s="1"/>
  <c r="F117" i="2" l="1"/>
  <c r="G117" i="2" l="1"/>
  <c r="H119" i="2"/>
  <c r="I119" i="2" s="1"/>
  <c r="H117" i="2" l="1"/>
  <c r="H118" i="2"/>
  <c r="I118" i="2" s="1"/>
  <c r="I117" i="2" l="1"/>
  <c r="L119" i="2"/>
  <c r="M119" i="2" s="1"/>
  <c r="L118" i="2"/>
  <c r="M118" i="2" s="1"/>
  <c r="L117" i="2"/>
  <c r="M117" i="2" l="1"/>
  <c r="M121" i="2" s="1"/>
  <c r="L121" i="2"/>
  <c r="L131" i="2" s="1"/>
  <c r="L135" i="2"/>
  <c r="I115" i="2" l="1"/>
  <c r="K128" i="2" l="1"/>
  <c r="K144" i="2"/>
  <c r="J140" i="2"/>
  <c r="H140" i="2"/>
  <c r="K115" i="2"/>
  <c r="J119" i="2" l="1"/>
  <c r="K119" i="2" s="1"/>
  <c r="J118" i="2"/>
  <c r="K118" i="2" s="1"/>
  <c r="J117" i="2"/>
  <c r="J121" i="2" l="1"/>
  <c r="J131" i="2" s="1"/>
  <c r="K117" i="2"/>
  <c r="K121" i="2" s="1"/>
  <c r="E12" i="2"/>
  <c r="G12" i="2"/>
  <c r="I12" i="2"/>
  <c r="K12" i="2"/>
  <c r="M12" i="2"/>
  <c r="D18" i="2" l="1"/>
  <c r="D32" i="2" s="1"/>
  <c r="L18" i="2"/>
  <c r="L32" i="2" s="1"/>
  <c r="J18" i="2" l="1"/>
  <c r="J32" i="2" s="1"/>
  <c r="B18" i="2"/>
  <c r="B32" i="2" s="1"/>
  <c r="L5" i="2"/>
  <c r="H18" i="2" l="1"/>
  <c r="H32" i="2" s="1"/>
  <c r="J5" i="2"/>
  <c r="I5" i="2" s="1"/>
  <c r="F18" i="2" l="1"/>
  <c r="F32" i="2" s="1"/>
  <c r="L55" i="2"/>
  <c r="L54" i="2"/>
  <c r="F84" i="2"/>
  <c r="F55" i="2"/>
  <c r="L104" i="2" l="1"/>
  <c r="L100" i="2"/>
  <c r="L101" i="2" s="1"/>
  <c r="L93" i="2"/>
  <c r="L94" i="2" s="1"/>
  <c r="L89" i="2"/>
  <c r="L105" i="2"/>
  <c r="D84" i="2"/>
  <c r="H84" i="2"/>
  <c r="J84" i="2"/>
  <c r="L84" i="2"/>
  <c r="J58" i="2"/>
  <c r="D58" i="2"/>
  <c r="D78" i="2" s="1"/>
  <c r="F58" i="2"/>
  <c r="F78" i="2" s="1"/>
  <c r="H58" i="2"/>
  <c r="H78" i="2" s="1"/>
  <c r="L58" i="2"/>
  <c r="L78" i="2" s="1"/>
  <c r="J55" i="2"/>
  <c r="H55" i="2"/>
  <c r="D55" i="2"/>
  <c r="D85" i="2" s="1"/>
  <c r="D54" i="2"/>
  <c r="F54" i="2"/>
  <c r="H54" i="2"/>
  <c r="J54" i="2"/>
  <c r="J100" i="2" l="1"/>
  <c r="J101" i="2" s="1"/>
  <c r="J93" i="2"/>
  <c r="J94" i="2" s="1"/>
  <c r="H100" i="2"/>
  <c r="H101" i="2" s="1"/>
  <c r="H93" i="2"/>
  <c r="H94" i="2" s="1"/>
  <c r="F100" i="2"/>
  <c r="F101" i="2" s="1"/>
  <c r="F93" i="2"/>
  <c r="F94" i="2" s="1"/>
  <c r="D100" i="2"/>
  <c r="D101" i="2" s="1"/>
  <c r="D93" i="2"/>
  <c r="D94" i="2" s="1"/>
  <c r="D104" i="2"/>
  <c r="D105" i="2" s="1"/>
  <c r="E89" i="2"/>
  <c r="C89" i="2"/>
  <c r="G89" i="2"/>
  <c r="B89" i="2"/>
  <c r="J104" i="2"/>
  <c r="K89" i="2"/>
  <c r="H104" i="2"/>
  <c r="H105" i="2" s="1"/>
  <c r="I89" i="2"/>
  <c r="F104" i="2"/>
  <c r="F105" i="2" s="1"/>
  <c r="D89" i="2"/>
  <c r="F89" i="2"/>
  <c r="J89" i="2"/>
  <c r="J90" i="2" s="1"/>
  <c r="H89" i="2"/>
  <c r="J78" i="2"/>
  <c r="B79" i="2"/>
  <c r="B81" i="2" s="1"/>
  <c r="H69" i="2"/>
  <c r="F69" i="2"/>
  <c r="I107" i="2"/>
  <c r="G107" i="2"/>
  <c r="L88" i="2" l="1"/>
  <c r="M107" i="2"/>
  <c r="E48" i="2"/>
  <c r="D48" i="2" s="1"/>
  <c r="G48" i="2"/>
  <c r="I48" i="2"/>
  <c r="K48" i="2"/>
  <c r="M48" i="2"/>
  <c r="L48" i="2" s="1"/>
  <c r="L107" i="2" l="1"/>
  <c r="K88" i="2"/>
  <c r="K107" i="2" s="1"/>
  <c r="J107" i="2"/>
  <c r="D107" i="2"/>
  <c r="E107" i="2"/>
  <c r="H48" i="2"/>
  <c r="F48" i="2" s="1"/>
  <c r="E40" i="2"/>
  <c r="E47" i="2" s="1"/>
  <c r="E49" i="2" s="1"/>
  <c r="E51" i="2" s="1"/>
  <c r="G40" i="2"/>
  <c r="G47" i="2" s="1"/>
  <c r="G49" i="2" s="1"/>
  <c r="G51" i="2" s="1"/>
  <c r="I40" i="2"/>
  <c r="I47" i="2" s="1"/>
  <c r="I49" i="2" s="1"/>
  <c r="I51" i="2" s="1"/>
  <c r="K40" i="2"/>
  <c r="K47" i="2" s="1"/>
  <c r="K49" i="2" s="1"/>
  <c r="K51" i="2" s="1"/>
  <c r="M40" i="2"/>
  <c r="M47" i="2" s="1"/>
  <c r="M49" i="2" s="1"/>
  <c r="M51" i="2" s="1"/>
  <c r="E39" i="2"/>
  <c r="E50" i="2" s="1"/>
  <c r="G39" i="2"/>
  <c r="G50" i="2" s="1"/>
  <c r="I39" i="2"/>
  <c r="I50" i="2" s="1"/>
  <c r="K39" i="2"/>
  <c r="K50" i="2" s="1"/>
  <c r="M39" i="2"/>
  <c r="M50" i="2" s="1"/>
  <c r="A50" i="2"/>
  <c r="B9" i="2"/>
  <c r="L4" i="2"/>
  <c r="F107" i="2" l="1"/>
  <c r="K52" i="2"/>
  <c r="I52" i="2"/>
  <c r="E52" i="2"/>
  <c r="M52" i="2"/>
  <c r="L40" i="2"/>
  <c r="L47" i="2" s="1"/>
  <c r="L49" i="2" s="1"/>
  <c r="L51" i="2" s="1"/>
  <c r="L39" i="2"/>
  <c r="L50" i="2" s="1"/>
  <c r="G52" i="2"/>
  <c r="J4" i="2"/>
  <c r="H4" i="2" s="1"/>
  <c r="G4" i="2" s="1"/>
  <c r="D111" i="2"/>
  <c r="J40" i="2" l="1"/>
  <c r="H40" i="2" s="1"/>
  <c r="L52" i="2"/>
  <c r="J39" i="2"/>
  <c r="J50" i="2" s="1"/>
  <c r="J47" i="2" l="1"/>
  <c r="J49" i="2" s="1"/>
  <c r="J51" i="2" s="1"/>
  <c r="J52" i="2" s="1"/>
  <c r="H39" i="2"/>
  <c r="F39" i="2" s="1"/>
  <c r="F50" i="2" s="1"/>
  <c r="H47" i="2"/>
  <c r="H49" i="2" s="1"/>
  <c r="H51" i="2" s="1"/>
  <c r="F40" i="2"/>
  <c r="F47" i="2" s="1"/>
  <c r="F49" i="2" s="1"/>
  <c r="F51" i="2" s="1"/>
  <c r="F52" i="2" l="1"/>
  <c r="H50" i="2"/>
  <c r="H52" i="2" s="1"/>
  <c r="D5" i="2"/>
  <c r="E9" i="2"/>
  <c r="E10" i="2" s="1"/>
  <c r="E24" i="2" s="1"/>
  <c r="D9" i="2" l="1"/>
  <c r="D10" i="2" s="1"/>
  <c r="D24" i="2" s="1"/>
  <c r="C5" i="2"/>
  <c r="C9" i="2" s="1"/>
  <c r="D59" i="2"/>
  <c r="D60" i="2" s="1"/>
  <c r="D56" i="2"/>
  <c r="D62" i="2" s="1"/>
  <c r="D112" i="2" l="1"/>
  <c r="D113" i="2" s="1"/>
  <c r="D68" i="2"/>
  <c r="D75" i="2" s="1"/>
  <c r="D76" i="2" s="1"/>
  <c r="D90" i="2" l="1"/>
  <c r="E90" i="2"/>
  <c r="D39" i="2" l="1"/>
  <c r="D50" i="2" s="1"/>
  <c r="D40" i="2" l="1"/>
  <c r="E41" i="2"/>
  <c r="D86" i="2"/>
  <c r="D41" i="2" l="1"/>
  <c r="D47" i="2"/>
  <c r="D49" i="2" s="1"/>
  <c r="D51" i="2" s="1"/>
  <c r="D52" i="2" s="1"/>
  <c r="E6" i="2" l="1"/>
  <c r="D4" i="2"/>
  <c r="E20" i="2" l="1"/>
  <c r="E123" i="2"/>
  <c r="D6" i="2"/>
  <c r="D123" i="2" s="1"/>
  <c r="D126" i="2" s="1"/>
  <c r="D132" i="2" s="1"/>
  <c r="E126" i="2" l="1"/>
  <c r="E136" i="2" s="1"/>
  <c r="D20" i="2"/>
  <c r="G9" i="2"/>
  <c r="G10" i="2" s="1"/>
  <c r="G24" i="2" s="1"/>
  <c r="F111" i="2" l="1"/>
  <c r="F9" i="2"/>
  <c r="F10" i="2" s="1"/>
  <c r="F24" i="2" s="1"/>
  <c r="D136" i="2" l="1"/>
  <c r="F140" i="2"/>
  <c r="F41" i="2"/>
  <c r="F56" i="2" l="1"/>
  <c r="F6" i="2"/>
  <c r="G41" i="2"/>
  <c r="F59" i="2"/>
  <c r="F85" i="2"/>
  <c r="F86" i="2" s="1"/>
  <c r="B63" i="2" l="1"/>
  <c r="B65" i="2" s="1"/>
  <c r="F62" i="2"/>
  <c r="F64" i="2" s="1"/>
  <c r="F66" i="2" s="1"/>
  <c r="D63" i="2"/>
  <c r="F108" i="2"/>
  <c r="D108" i="2"/>
  <c r="F112" i="2"/>
  <c r="F113" i="2" s="1"/>
  <c r="F20" i="2"/>
  <c r="F123" i="2"/>
  <c r="F68" i="2"/>
  <c r="F75" i="2" s="1"/>
  <c r="F76" i="2" s="1"/>
  <c r="F60" i="2"/>
  <c r="F90" i="2"/>
  <c r="D65" i="2" l="1"/>
  <c r="D64" i="2"/>
  <c r="F126" i="2"/>
  <c r="E108" i="2"/>
  <c r="E109" i="2" s="1"/>
  <c r="D109" i="2"/>
  <c r="F109" i="2"/>
  <c r="D66" i="2" l="1"/>
  <c r="H111" i="2"/>
  <c r="G90" i="2"/>
  <c r="H59" i="2"/>
  <c r="H9" i="2"/>
  <c r="H10" i="2" s="1"/>
  <c r="H24" i="2" s="1"/>
  <c r="H115" i="2"/>
  <c r="G115" i="2" l="1"/>
  <c r="H120" i="2"/>
  <c r="F115" i="2"/>
  <c r="F120" i="2" s="1"/>
  <c r="G6" i="2"/>
  <c r="H41" i="2"/>
  <c r="I41" i="2"/>
  <c r="H6" i="2"/>
  <c r="H60" i="2"/>
  <c r="H90" i="2"/>
  <c r="H56" i="2"/>
  <c r="H62" i="2" s="1"/>
  <c r="H64" i="2" s="1"/>
  <c r="H66" i="2" s="1"/>
  <c r="H85" i="2"/>
  <c r="H86" i="2" s="1"/>
  <c r="H108" i="2" l="1"/>
  <c r="G108" i="2"/>
  <c r="G109" i="2" s="1"/>
  <c r="G120" i="2"/>
  <c r="G121" i="2" s="1"/>
  <c r="F121" i="2"/>
  <c r="F131" i="2" s="1"/>
  <c r="I120" i="2"/>
  <c r="I121" i="2" s="1"/>
  <c r="H121" i="2"/>
  <c r="H131" i="2" s="1"/>
  <c r="F136" i="2"/>
  <c r="F132" i="2"/>
  <c r="H20" i="2"/>
  <c r="H123" i="2"/>
  <c r="G20" i="2"/>
  <c r="G123" i="2"/>
  <c r="H112" i="2"/>
  <c r="H113" i="2" s="1"/>
  <c r="H68" i="2"/>
  <c r="H75" i="2" s="1"/>
  <c r="H76" i="2" s="1"/>
  <c r="G126" i="2" l="1"/>
  <c r="G136" i="2" s="1"/>
  <c r="H126" i="2"/>
  <c r="H132" i="2" s="1"/>
  <c r="H109" i="2"/>
  <c r="J111" i="2"/>
  <c r="I90" i="2"/>
  <c r="H136" i="2" l="1"/>
  <c r="J9" i="2"/>
  <c r="J10" i="2" s="1"/>
  <c r="J24" i="2" s="1"/>
  <c r="J6" i="2"/>
  <c r="J59" i="2"/>
  <c r="J20" i="2" l="1"/>
  <c r="J123" i="2"/>
  <c r="J126" i="2" s="1"/>
  <c r="J132" i="2" s="1"/>
  <c r="J56" i="2"/>
  <c r="J62" i="2" s="1"/>
  <c r="J64" i="2" s="1"/>
  <c r="J66" i="2" s="1"/>
  <c r="J41" i="2"/>
  <c r="K41" i="2"/>
  <c r="J60" i="2"/>
  <c r="J85" i="2"/>
  <c r="J86" i="2" s="1"/>
  <c r="M146" i="2"/>
  <c r="I108" i="2" l="1"/>
  <c r="I109" i="2" s="1"/>
  <c r="J108" i="2"/>
  <c r="J109" i="2" s="1"/>
  <c r="J112" i="2"/>
  <c r="J113" i="2" s="1"/>
  <c r="J105" i="2"/>
  <c r="J68" i="2"/>
  <c r="L111" i="2"/>
  <c r="B69" i="2" l="1"/>
  <c r="B71" i="2" s="1"/>
  <c r="J75" i="2"/>
  <c r="J76" i="2" s="1"/>
  <c r="J136" i="2"/>
  <c r="M9" i="2"/>
  <c r="M10" i="2" s="1"/>
  <c r="M24" i="2" s="1"/>
  <c r="L9" i="2" l="1"/>
  <c r="L10" i="2" s="1"/>
  <c r="L24" i="2" s="1"/>
  <c r="K6" i="2" l="1"/>
  <c r="K9" i="2"/>
  <c r="K10" i="2" s="1"/>
  <c r="K24" i="2" s="1"/>
  <c r="L85" i="2"/>
  <c r="K123" i="2" l="1"/>
  <c r="K20" i="2"/>
  <c r="L13" i="2"/>
  <c r="G13" i="2" s="1"/>
  <c r="K126" i="2" l="1"/>
  <c r="K136" i="2" s="1"/>
  <c r="G14" i="2"/>
  <c r="H14" i="2"/>
  <c r="H16" i="2" s="1"/>
  <c r="H25" i="2" s="1"/>
  <c r="H26" i="2" s="1"/>
  <c r="I14" i="2"/>
  <c r="J14" i="2"/>
  <c r="K14" i="2"/>
  <c r="K90" i="2"/>
  <c r="J16" i="2" l="1"/>
  <c r="I16" i="2"/>
  <c r="I25" i="2" s="1"/>
  <c r="G16" i="2"/>
  <c r="E13" i="2"/>
  <c r="F14" i="2"/>
  <c r="D79" i="2"/>
  <c r="F16" i="2" l="1"/>
  <c r="F25" i="2" s="1"/>
  <c r="F26" i="2" s="1"/>
  <c r="J25" i="2"/>
  <c r="J26" i="2" s="1"/>
  <c r="J21" i="2"/>
  <c r="I21" i="2"/>
  <c r="G21" i="2"/>
  <c r="G22" i="2" s="1"/>
  <c r="G25" i="2"/>
  <c r="G26" i="2" s="1"/>
  <c r="E14" i="2"/>
  <c r="D81" i="2"/>
  <c r="D80" i="2"/>
  <c r="D14" i="2" l="1"/>
  <c r="D16" i="2" s="1"/>
  <c r="B13" i="2"/>
  <c r="E16" i="2"/>
  <c r="D82" i="2"/>
  <c r="E21" i="2" l="1"/>
  <c r="E22" i="2" s="1"/>
  <c r="E25" i="2"/>
  <c r="E26" i="2" s="1"/>
  <c r="L56" i="2"/>
  <c r="L59" i="2"/>
  <c r="K108" i="2" l="1"/>
  <c r="K109" i="2" s="1"/>
  <c r="L62" i="2"/>
  <c r="L64" i="2" s="1"/>
  <c r="L66" i="2" s="1"/>
  <c r="L112" i="2"/>
  <c r="L113" i="2" s="1"/>
  <c r="L108" i="2"/>
  <c r="L109" i="2" s="1"/>
  <c r="D25" i="2"/>
  <c r="D26" i="2" s="1"/>
  <c r="D21" i="2"/>
  <c r="D22" i="2" s="1"/>
  <c r="L68" i="2"/>
  <c r="L60" i="2"/>
  <c r="D69" i="2" l="1"/>
  <c r="L75" i="2"/>
  <c r="L76" i="2" s="1"/>
  <c r="M108" i="2"/>
  <c r="M109" i="2" s="1"/>
  <c r="D71" i="2"/>
  <c r="D70" i="2"/>
  <c r="M89" i="2"/>
  <c r="M90" i="2" s="1"/>
  <c r="L90" i="2"/>
  <c r="D72" i="2" l="1"/>
  <c r="M14" i="2" l="1"/>
  <c r="K16" i="2" s="1"/>
  <c r="K25" i="2" s="1"/>
  <c r="K26" i="2" s="1"/>
  <c r="L86" i="2"/>
  <c r="M16" i="2" l="1"/>
  <c r="L14" i="2"/>
  <c r="L16" i="2" l="1"/>
  <c r="L25" i="2" s="1"/>
  <c r="L26" i="2" s="1"/>
  <c r="M25" i="2"/>
  <c r="M26" i="2" s="1"/>
  <c r="K21" i="2"/>
  <c r="K22" i="2" s="1"/>
  <c r="L41" i="2" l="1"/>
  <c r="M41" i="2"/>
  <c r="L6" i="2" l="1"/>
  <c r="M6" i="2"/>
  <c r="M123" i="2" l="1"/>
  <c r="M20" i="2"/>
  <c r="L20" i="2"/>
  <c r="L123" i="2"/>
  <c r="L140" i="2"/>
  <c r="L126" i="2" l="1"/>
  <c r="L136" i="2" s="1"/>
  <c r="M126" i="2"/>
  <c r="M136" i="2" s="1"/>
  <c r="L132" i="2" l="1"/>
  <c r="F81" i="2"/>
  <c r="F80" i="2"/>
  <c r="F82" i="2" l="1"/>
  <c r="M21" i="2" l="1"/>
  <c r="M22" i="2" s="1"/>
  <c r="J22" i="2" l="1"/>
  <c r="H21" i="2"/>
  <c r="H22" i="2" s="1"/>
  <c r="H81" i="2"/>
  <c r="H80" i="2"/>
  <c r="L21" i="2"/>
  <c r="L22" i="2" s="1"/>
  <c r="F21" i="2" l="1"/>
  <c r="F22" i="2" s="1"/>
  <c r="F71" i="2"/>
  <c r="F70" i="2"/>
  <c r="H82" i="2"/>
  <c r="H71" i="2"/>
  <c r="H70" i="2"/>
  <c r="F72" i="2" l="1"/>
  <c r="H72" i="2"/>
  <c r="K137" i="2" l="1"/>
  <c r="M137" i="2"/>
  <c r="M138" i="2" s="1"/>
  <c r="M145" i="2" s="1"/>
  <c r="K138" i="2" l="1"/>
  <c r="K145" i="2" s="1"/>
  <c r="I128" i="2"/>
  <c r="L137" i="2"/>
  <c r="L138" i="2" s="1"/>
  <c r="L145" i="2" s="1"/>
  <c r="L81" i="2"/>
  <c r="L80" i="2"/>
  <c r="L82" i="2" l="1"/>
  <c r="I137" i="2"/>
  <c r="H128" i="2"/>
  <c r="K146" i="2"/>
  <c r="J137" i="2"/>
  <c r="J133" i="2"/>
  <c r="J134" i="2" s="1"/>
  <c r="L133" i="2" l="1"/>
  <c r="L134" i="2" s="1"/>
  <c r="J138" i="2"/>
  <c r="J145" i="2" s="1"/>
  <c r="J146" i="2" s="1"/>
  <c r="H133" i="2"/>
  <c r="H134" i="2" s="1"/>
  <c r="G128" i="2"/>
  <c r="H137" i="2"/>
  <c r="H138" i="2" s="1"/>
  <c r="H145" i="2" s="1"/>
  <c r="J141" i="2" l="1"/>
  <c r="J142" i="2" s="1"/>
  <c r="L141" i="2"/>
  <c r="L142" i="2" s="1"/>
  <c r="H146" i="2"/>
  <c r="F128" i="2"/>
  <c r="E128" i="2" s="1"/>
  <c r="G137" i="2"/>
  <c r="G138" i="2" s="1"/>
  <c r="G145" i="2" s="1"/>
  <c r="H141" i="2"/>
  <c r="H142" i="2" s="1"/>
  <c r="L71" i="2"/>
  <c r="L70" i="2"/>
  <c r="D128" i="2" l="1"/>
  <c r="E137" i="2"/>
  <c r="G146" i="2"/>
  <c r="F137" i="2"/>
  <c r="F138" i="2" s="1"/>
  <c r="F145" i="2" s="1"/>
  <c r="F133" i="2"/>
  <c r="L72" i="2"/>
  <c r="F134" i="2" l="1"/>
  <c r="F141" i="2" s="1"/>
  <c r="F142" i="2" s="1"/>
  <c r="D133" i="2"/>
  <c r="D134" i="2" s="1"/>
  <c r="D137" i="2"/>
  <c r="F146" i="2"/>
  <c r="J81" i="2" l="1"/>
  <c r="J80" i="2"/>
  <c r="J82" i="2" l="1"/>
  <c r="J71" i="2" l="1"/>
  <c r="J70" i="2"/>
  <c r="J72" i="2" l="1"/>
  <c r="D140" i="2" l="1"/>
  <c r="E138" i="2" l="1"/>
  <c r="E145" i="2" l="1"/>
  <c r="E146" i="2" s="1"/>
  <c r="D138" i="2"/>
  <c r="D145" i="2" s="1"/>
  <c r="D146" i="2" s="1"/>
  <c r="D141" i="2"/>
  <c r="D142" i="2" s="1"/>
  <c r="B85" i="2" l="1"/>
  <c r="B103" i="2" l="1"/>
  <c r="B111" i="2" l="1"/>
  <c r="B58" i="2"/>
  <c r="B78" i="2" l="1"/>
  <c r="B80" i="2" s="1"/>
  <c r="B82" i="2" s="1"/>
  <c r="B88" i="2" l="1"/>
  <c r="B107" i="2" l="1"/>
  <c r="C88" i="2"/>
  <c r="C107" i="2" s="1"/>
  <c r="C48" i="2" l="1"/>
  <c r="B48" i="2" s="1"/>
  <c r="C39" i="2" l="1"/>
  <c r="C40" i="2"/>
  <c r="C47" i="2" l="1"/>
  <c r="C49" i="2" s="1"/>
  <c r="C51" i="2" s="1"/>
  <c r="B40" i="2"/>
  <c r="B47" i="2" s="1"/>
  <c r="B49" i="2" s="1"/>
  <c r="B51" i="2" s="1"/>
  <c r="C41" i="2"/>
  <c r="C50" i="2"/>
  <c r="B39" i="2"/>
  <c r="C4" i="2"/>
  <c r="B4" i="2" s="1"/>
  <c r="C52" i="2" l="1"/>
  <c r="B41" i="2"/>
  <c r="B50" i="2"/>
  <c r="B52" i="2" s="1"/>
  <c r="C6" i="2"/>
  <c r="C123" i="2" s="1"/>
  <c r="C8" i="2"/>
  <c r="C118" i="2"/>
  <c r="B118" i="2" s="1"/>
  <c r="C119" i="2"/>
  <c r="B119" i="2" s="1"/>
  <c r="C20" i="2" l="1"/>
  <c r="C10" i="2"/>
  <c r="C24" i="2" s="1"/>
  <c r="B8" i="2"/>
  <c r="B10" i="2" s="1"/>
  <c r="B24" i="2" s="1"/>
  <c r="B6" i="2"/>
  <c r="C126" i="2" l="1"/>
  <c r="B20" i="2"/>
  <c r="B123" i="2"/>
  <c r="C136" i="2" l="1"/>
  <c r="C138" i="2" s="1"/>
  <c r="C145" i="2" s="1"/>
  <c r="C146" i="2" s="1"/>
  <c r="B126" i="2"/>
  <c r="C117" i="2"/>
  <c r="C121" i="2" s="1"/>
  <c r="B136" i="2" l="1"/>
  <c r="B138" i="2" s="1"/>
  <c r="B145" i="2" s="1"/>
  <c r="B146" i="2" s="1"/>
  <c r="B132" i="2"/>
  <c r="B117" i="2"/>
  <c r="B121" i="2" s="1"/>
  <c r="B131" i="2" s="1"/>
  <c r="C12" i="2"/>
  <c r="B134" i="2" l="1"/>
  <c r="B104" i="2"/>
  <c r="B105" i="2" s="1"/>
  <c r="B56" i="2"/>
  <c r="B62" i="2" s="1"/>
  <c r="B64" i="2" s="1"/>
  <c r="B66" i="2" s="1"/>
  <c r="B59" i="2"/>
  <c r="C14" i="2"/>
  <c r="C16" i="2" s="1"/>
  <c r="B12" i="2"/>
  <c r="B14" i="2" s="1"/>
  <c r="B16" i="2" s="1"/>
  <c r="B108" i="2" l="1"/>
  <c r="B109" i="2" s="1"/>
  <c r="C108" i="2"/>
  <c r="C109" i="2" s="1"/>
  <c r="B112" i="2"/>
  <c r="B84" i="2"/>
  <c r="B86" i="2" s="1"/>
  <c r="B141" i="2"/>
  <c r="B142" i="2" s="1"/>
  <c r="C25" i="2"/>
  <c r="C26" i="2" s="1"/>
  <c r="C21" i="2"/>
  <c r="C22" i="2" s="1"/>
  <c r="C90" i="2"/>
  <c r="B90" i="2"/>
  <c r="B60" i="2"/>
  <c r="B68" i="2"/>
  <c r="B113" i="2"/>
  <c r="B70" i="2" l="1"/>
  <c r="B72" i="2" s="1"/>
  <c r="B75" i="2"/>
  <c r="B76" i="2" s="1"/>
  <c r="B21" i="2"/>
  <c r="B22" i="2" s="1"/>
  <c r="B25" i="2"/>
  <c r="B26" i="2" s="1"/>
  <c r="I6" i="2"/>
  <c r="I123" i="2" s="1"/>
  <c r="I126" i="2" s="1"/>
  <c r="I136" i="2" s="1"/>
  <c r="I138" i="2" s="1"/>
  <c r="I145" i="2" s="1"/>
  <c r="I146" i="2" s="1"/>
  <c r="I9" i="2"/>
  <c r="I10" i="2" s="1"/>
  <c r="I24" i="2" s="1"/>
  <c r="I26" i="2" s="1"/>
  <c r="I20" i="2" l="1"/>
  <c r="I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 Pupsyte</author>
  </authors>
  <commentList>
    <comment ref="N54" authorId="0" shapeId="0" xr:uid="{F07A8ED1-C881-4BEA-825E-AD96632CBCB1}">
      <text>
        <r>
          <rPr>
            <b/>
            <sz val="9"/>
            <color indexed="81"/>
            <rFont val="Tahoma"/>
            <charset val="1"/>
          </rPr>
          <t>31.12.20219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 Pupsyte</author>
  </authors>
  <commentList>
    <comment ref="J9" authorId="0" shapeId="0" xr:uid="{A4BC0FD7-3C29-4DE1-AA94-0D94CA2A1862}">
      <text>
        <r>
          <rPr>
            <b/>
            <sz val="9"/>
            <color indexed="81"/>
            <rFont val="Tahoma"/>
            <family val="2"/>
          </rPr>
          <t xml:space="preserve">EK ekskl. hybr. 30.06.2019
</t>
        </r>
      </text>
    </comment>
    <comment ref="J19" authorId="0" shapeId="0" xr:uid="{ED6BB98C-24FF-4EC6-963B-4DDC63448C34}">
      <text>
        <r>
          <rPr>
            <b/>
            <sz val="9"/>
            <color indexed="81"/>
            <rFont val="Tahoma"/>
            <family val="2"/>
          </rPr>
          <t xml:space="preserve">Forvaltning.kap. 30.06.2019
</t>
        </r>
      </text>
    </comment>
  </commentList>
</comments>
</file>

<file path=xl/sharedStrings.xml><?xml version="1.0" encoding="utf-8"?>
<sst xmlns="http://schemas.openxmlformats.org/spreadsheetml/2006/main" count="254" uniqueCount="184">
  <si>
    <t>Tapsprosent utlån</t>
  </si>
  <si>
    <t>Fratrukket renter hybridkapital</t>
  </si>
  <si>
    <t>Periodens resultat eks. renter hybridkapital</t>
  </si>
  <si>
    <t>Total egenkapital</t>
  </si>
  <si>
    <t>Fratrukket hybridkapital</t>
  </si>
  <si>
    <t>Egenkapital eks. hybridkapital</t>
  </si>
  <si>
    <t>Snitt EK eks. hybridkapital</t>
  </si>
  <si>
    <t>Delt på snitt egenkapital eks. hybridkapital</t>
  </si>
  <si>
    <t>Egenkapitalbevisbrøk</t>
  </si>
  <si>
    <t>Egenkapitalbeviseiernes andel av egenkapitalen</t>
  </si>
  <si>
    <t>Delt på bokført egenkapital per egenkapitalbevis</t>
  </si>
  <si>
    <t>Kostnadsprosent</t>
  </si>
  <si>
    <t>Delt på resultat per egenkapitalbevis, annualisert</t>
  </si>
  <si>
    <t>Delt på antall egenkapitalbevis (hele kr)</t>
  </si>
  <si>
    <t>Definisjon</t>
  </si>
  <si>
    <t>Summen av brutto utlån til og fordringer på kunder og utlån som er overført til SpareBank 1 Boligkreditt AS og SpareBank 1 Næringskreditt AS.</t>
  </si>
  <si>
    <t>Innskuddsdekning på balansen</t>
  </si>
  <si>
    <t>Innskuddsdekningen reflekterer bankens evne til å finansiere utlån til kunder gjennom innskudd fra kunder. Innskuddsdekningen beregnes ved å dividere sum innskudd fra kunder på brutto utlån ekskl overføring til kredittforetak.</t>
  </si>
  <si>
    <t>Utlånsvekst inkl kredittforetak reflekterer utlånsveksten beregnet ut fra tilsvarende periode i fjor til i år som inkluderer både utlån i egen balanse og utlån finansiert gjennom kredittforetakene.</t>
  </si>
  <si>
    <t xml:space="preserve">Innskuddsvekst siste 12 måneder er et normalt nøkkeltall innenfor bank/finans. Nøkkeltallet reflekterer aktiviteten og veksten i bankens innskuddsvirksomhet. </t>
  </si>
  <si>
    <t>Innskuddsvekst siste 12 måneder reflekterer innskuddsveksten i balansen fra tilsvarende periode i fjor til i år.</t>
  </si>
  <si>
    <t>Banken benytter SpareBank 1 Boligkreditt AS og SpareBank1 Næringskreditt AS som finansieringskilde for utlånsvirksomheten. Volum overført til disse kredittforetakene er fra bankens kunder og er tilført fra aktivitet og vekst i banken. Nøkkeltallet reflekterer bankens totale eiendeler inkludert overført til kredittforetakene.</t>
  </si>
  <si>
    <t>Summen eiendeler i balansen og volum utlån som er overført til SpareBank 1 Boligkreditt AS og SpareBank1 Næringskreditt AS.</t>
  </si>
  <si>
    <t>Egenkapitalbeviseierens andel av egenkapitalen dividert på antall egenkapitalbevis.</t>
  </si>
  <si>
    <t>Periodens res. annualisert eks. renter hybridkapital</t>
  </si>
  <si>
    <t>Innskudd fra kunder</t>
  </si>
  <si>
    <t>Brutto utlån til og fordringer på kunder</t>
  </si>
  <si>
    <t>Innskuddsvekst siste 12 mnd</t>
  </si>
  <si>
    <t>Innskuddsvekst i kr</t>
  </si>
  <si>
    <t>Tap på utlån og garantier</t>
  </si>
  <si>
    <t>Sum kostnader</t>
  </si>
  <si>
    <t>Dager</t>
  </si>
  <si>
    <t>Eierandelskapital</t>
  </si>
  <si>
    <t>Overkursfond</t>
  </si>
  <si>
    <t>Sum egenkapitalbevis eierneskapital</t>
  </si>
  <si>
    <t xml:space="preserve">Nøkkeltallet gir informasjon om verdien av  bokført egenkapitalen per egenkapitalbevis. Dette gir leseren mulighet til å vurdere rimeligheten av børskursen til egenkapitalbeviset. </t>
  </si>
  <si>
    <t>Beregnes som børskurs per egenkapitalbevis dividert på annualisert resultat per egenkapitalbevis. Egenkapitalbeviseiernes andel av resultatet er beregnet som resultat før øvrige resultatposter fordelt i forhold til gjennomsnittlig antall egenkapitalbevis i perioden.</t>
  </si>
  <si>
    <t>Nøkkeltallet gir informasjon om verdien av bokført egenkapital per egenkapitalbevis sett opp mot børskurs på gitt tidspunkt. Dette gir leseren mulighet til å vurdere rimeligheten av børskursen til egenkapitalbeviset.</t>
  </si>
  <si>
    <t xml:space="preserve">Beregnet som børskurs per egenkapitalbevis dividert på bokført egenkapital per egenkapitalbevis (se definisjonen av dette nøkkeltallet over). </t>
  </si>
  <si>
    <t>Nøkkeltallet gir informasjon om inntjeningen per egenkapitalbevis sett opp mot børskurs på det aktuelle tidspunkt, noe som gir mulighet for å vurdere rimeligheten av børskursen til egenkapitalbeviset</t>
  </si>
  <si>
    <t>Banken benytter SpareBank 1 Boligkreditt AS og SpareBank 1 Næringskreditt AS som finansieringskilde for utlånsvirksomheten. Nøkkeltallet reflekterer bankens totale utlånsvolum inkludert volum overført.</t>
  </si>
  <si>
    <t>Begrunnelse for bruk av alternativt resultatmål</t>
  </si>
  <si>
    <t>Delt på sum netto inntekter</t>
  </si>
  <si>
    <t>Alternative resultatmål (APM’er)</t>
  </si>
  <si>
    <t xml:space="preserve">Gir informasjon om korrelasjonen mellom inntekter og kostnader. </t>
  </si>
  <si>
    <t xml:space="preserve">Beregnes som sum driftskostnader dividert med sum inntekter. </t>
  </si>
  <si>
    <t>Kostnadsprosent konsern</t>
  </si>
  <si>
    <t>Delt på brutto utlån til og fordringer på kunder</t>
  </si>
  <si>
    <t>Fratrukket innskudd fra kunder tilsvarende periode i fjor</t>
  </si>
  <si>
    <t>Delt på innskudd fra kunder tilsvarende periode i fjor</t>
  </si>
  <si>
    <t>Periodens resultat eks. renter hybridkapital hensyntatt minoritet</t>
  </si>
  <si>
    <t xml:space="preserve">Resultat til egenkapitalbeviseiere </t>
  </si>
  <si>
    <t>Børskurs per utgangen av perioden</t>
  </si>
  <si>
    <t>Delt på brutto utlån på balansen</t>
  </si>
  <si>
    <t>Dette nøkkeltallet gir relevant informasjon om kredittrisiko og vurderes som nyttig tilleggsinformasjon utover det som følger av tapsnotene.</t>
  </si>
  <si>
    <t>Pris /bokført egenkapital</t>
  </si>
  <si>
    <t>Egenkapitalbeviseiernes andel av resultatet dividert på antall egenkapitalbevis.</t>
  </si>
  <si>
    <t>Nøkkeltallet gir informasjon om inntjeningen per egenkapitalbevis og mulighet til å vurdere rimeligheten av børskursen til egenkapitalbeviset.</t>
  </si>
  <si>
    <t>Q1 2020</t>
  </si>
  <si>
    <t>Q2 2020</t>
  </si>
  <si>
    <t>Q3 2020</t>
  </si>
  <si>
    <t>Q4 2020</t>
  </si>
  <si>
    <t>Q1 2021</t>
  </si>
  <si>
    <t>Alternative resultatmål i SpareBank 1 Sørøst-Norge</t>
  </si>
  <si>
    <t>SpareBank 1 Sørøst-Norge presenterer alternative resultatmål (APM'er) som gir nyttig informasjon for å supplere regnskapet. Målene er ikke definert i IFRS (International Financial Reporting Standards) og er nødvendigvis ikke direkte sammenlignbare med andre selskapers resultatmål. APM'er er inkludert i våre rapporter for å gi innsikt og forståelse for konsernets resultatoppnåelse, og representerer viktige måltall for hvordan ledelsen styrer selskapene og aktivitetene i konsernet. APM’er er ikke ment å erstatte eller overskygge regnskapstallene. Nøkkeltall som er regulert i IFRS eller annen lovgivning er ikke regnet som alternative resultatmål. Det samme gjelder for ikke-finansiell informasjon. Alle APM'er presenteres med sammenligningstall. APM'ene som nevnt under har vært brukt konsistent over tid.</t>
  </si>
  <si>
    <t>Måltallet for innskuddsdekning gir relevant informasjon om SpareBank 1 Sørøst-Norge likviditet. Nøkkeltallet viser andelen av bankens utlånsvirksomheten som finansieres av innskudd fra kunder.</t>
  </si>
  <si>
    <t>Egenkapitalavkastning av resultat før øvrige resultatposter</t>
  </si>
  <si>
    <t>Egenkapitalavkastning av totalresultat</t>
  </si>
  <si>
    <t>Kostnadsprosent  ex. finansielle investeringer</t>
  </si>
  <si>
    <t>Brutto utlån til kunder inkl. SpareBank 1 Boligkreditt/Næringskreditt</t>
  </si>
  <si>
    <t>Utlånsvekst inkl. SpareBank 1 Boligkreditt/Næringskreditt siste 12 mnd.</t>
  </si>
  <si>
    <t>Innskuddsvekst siste 12 mnd.</t>
  </si>
  <si>
    <t>Utlån i trinn 3 i % av brutto utlån</t>
  </si>
  <si>
    <t>Bokført egenkapital per EKB</t>
  </si>
  <si>
    <t>Resultat per EKB</t>
  </si>
  <si>
    <t>Pris /resultat per EKB</t>
  </si>
  <si>
    <t>Gir informasjon om korrelasjonen mellom inntekter og kostnader ekskl. resultat fra finansielle investeringer.</t>
  </si>
  <si>
    <t xml:space="preserve">Beregnes som sum driftskostnader dividert med sum inntekter ekskl. resultat fra finansielle investeringer. </t>
  </si>
  <si>
    <t>Egenkapitalavkastning gir relevant informasjon om SpareBank 1 Sørøst-Norges lønnsomhet ved å måle evne til å generere lønnsomhet for EKB eirenes investeringer.  Egenkapitalavkastningen er et av bankens finansielle måltall.</t>
  </si>
  <si>
    <t>Egenkapitalavkastning gir relevant informasjon om SpareBank 1 Sørøst-Norges lønnsomhet av totalresultat.</t>
  </si>
  <si>
    <t>Egenkapitalavkastning av totalresultat beregnes ved å dividere periodens totalresultat/totalresultat for regnskapsåret med gjennomsnittlige egenkapital siste året fratrukket hybridkapital . Ved opplysninger om egenkapitalavkastning for mer enn en periodens totalresultat blir periodens totalresultat annualisert.</t>
  </si>
  <si>
    <t>Forvaltningskapital inkludert inkl. SpareBank 1 Boligkreditt/Næringskreditt</t>
  </si>
  <si>
    <t>Tapsprosent utlån inkl. SpareBank 1 Boligkreditt/Næringskreditt</t>
  </si>
  <si>
    <t>Utlån i trinn 3 i % av brutto utlån inkl. SpareBank 1 Boligkreditt/Næringskreditt</t>
  </si>
  <si>
    <t xml:space="preserve">Utlån i trinn 3 i % av brutto utlån på balansen. </t>
  </si>
  <si>
    <t xml:space="preserve">Utlån i trinn 3 i % av brutto utlån inkl. inkl. SpareBank 1 Boligkreditt/Næringskreditt. </t>
  </si>
  <si>
    <t>Periodens resultatført tap på utlån og garantier dividert med brutto utlån inkl. SpareBank 1 Boligkreditt/Næringskreditt og vises i prosent. Ved opplysninger av tapsprosent utlån inkl. SpareBank 1 Boligkreditt/Næringskreditt for kortere perioder enn hele regnskapsår, blir resultatført tapskostnad annualisert.</t>
  </si>
  <si>
    <t>Periodens resultatført tap på utlån og garantier dividert med brutto utlån på balansen og vises i prosent. Ved opplysninger av tapsprosent utlån for kortere perioder enn hele regnskapsår, blir resultatført tapskostnad annualisert.</t>
  </si>
  <si>
    <t>Q2 2021</t>
  </si>
  <si>
    <t>Periodens totalres. annualisert eks. renter hybridkapital</t>
  </si>
  <si>
    <t>Periodens totalresultat</t>
  </si>
  <si>
    <t>Periodens totalresultat eks. renter hybridkapital</t>
  </si>
  <si>
    <t>Brutto utlån inkl. SpareBank 1 Boligkreditt/Næringskreditt i perioden</t>
  </si>
  <si>
    <t>Fratrukket brutto utlån inkl. SpareBank 1 Boligkreditt/Næringskreditt tilsvarende periode i fjor</t>
  </si>
  <si>
    <t>+ portefølje overført til SpareBank 1 Boligkreditt/Næringskreditt</t>
  </si>
  <si>
    <t>Utlånsvekst inkl SpareBank 1 Boligkreditt/Næringskreditt</t>
  </si>
  <si>
    <t>Delt på brutto utlån inkl SpareBank 1 Boligkreditt/Næringskreditt tilsvarende periode i fjor</t>
  </si>
  <si>
    <t>Utlånsvekst inkl SpareBank 1 Boligkreditt/Næringskreditt siste 12 mnd</t>
  </si>
  <si>
    <t>+ utlån overført til SpareBank 1 Boligkreditt/Næringskreditt</t>
  </si>
  <si>
    <t>Forvaltningskapital inkl.  SpareBank 1 Boligkreditt/Næringskreditt</t>
  </si>
  <si>
    <t>Utån i trinn 3</t>
  </si>
  <si>
    <t>Delt på brutto utlån inkl. SpareBank 1 Boligkreditt/Næringskreditt</t>
  </si>
  <si>
    <t>Antall utstedte EKB</t>
  </si>
  <si>
    <t>Delt på antall utstedte EKB (gjennomsnitt vektet)</t>
  </si>
  <si>
    <t>Pris / Resultat per EKB</t>
  </si>
  <si>
    <t>Pris / Bokført egenkapital per EKB</t>
  </si>
  <si>
    <t>Sum netto inntekter</t>
  </si>
  <si>
    <t>Fratrukket netto resultat fra finansielle eiendeler</t>
  </si>
  <si>
    <t>Sum netto inntekter ex. finansielle investeringer</t>
  </si>
  <si>
    <t>Delt på sum netto inntekter ex. finansielle investeringer</t>
  </si>
  <si>
    <r>
      <t xml:space="preserve">KONSERN </t>
    </r>
    <r>
      <rPr>
        <b/>
        <sz val="10"/>
        <color theme="1"/>
        <rFont val="Calibri"/>
        <family val="2"/>
        <scheme val="minor"/>
      </rPr>
      <t>(beløp i mnok)</t>
    </r>
  </si>
  <si>
    <t>EK ekskl FO 31.12.19</t>
  </si>
  <si>
    <t>Egenkapitalavkastningen beregnes ved å dividere periodens resultat/resultat for regnskapsåret med gjennomsnittlige egenkapital siste året fratrukket hybridkapital. Ved opplysninger om egenkapitalavkastning for mer enn en periodens resultat blir periodens resultat annualisert.</t>
  </si>
  <si>
    <t>Proforma beregninger</t>
  </si>
  <si>
    <t>Proformaresultat/-balanse for perioden 01.01.2021 til 30.06.2021 er resultat/balanse for begge bankene samlet som om sammenslåingen skulle ha skjedd med regnskapsmessig virkning fra 1. januar.</t>
  </si>
  <si>
    <t>Inntektsføringen av negativ goodwill er i proformaresultatet inntektsført fra 1. januar og merverdi på bygg er avskrevet for hele perioden.</t>
  </si>
  <si>
    <t>Det er ingen vesentlige elimineringer mellom bankene i denne perioden slik at resultatene for perioden kun er slått sammen.</t>
  </si>
  <si>
    <t>Nøkkeltallet reflekterer en resultatført tapskostnad som funksjon av gjennomsnittlig brutto utlån inkl. inkl. SpareBank 1 Boligkreditt/Næringskreditt på balansetidspunktet.</t>
  </si>
  <si>
    <t>Delt på gjennomsnittlig brutto utlån på balansen</t>
  </si>
  <si>
    <t>Nøkkeltallet reflekterer en resultatført tapskostnad som funksjon av gjennomsnittlig brutto utlån på balansetidspunktet.</t>
  </si>
  <si>
    <t>Delt på gjennomsnittlig brutto utlån inkl. SpareBank 1 Boligkreditt/Næringskreditt</t>
  </si>
  <si>
    <t>Korrigering for FUG</t>
  </si>
  <si>
    <t>Fratrukket minoritets andel av resultat</t>
  </si>
  <si>
    <t>Utjevningsfond</t>
  </si>
  <si>
    <t xml:space="preserve"> + andel av periodens resultat eks. renter hybridkapital hensyntatt minoritet</t>
  </si>
  <si>
    <t>Andel av annen egenkapital</t>
  </si>
  <si>
    <r>
      <rPr>
        <sz val="10"/>
        <color rgb="FF1F497D"/>
        <rFont val="Calibri"/>
        <family val="2"/>
      </rPr>
      <t>²</t>
    </r>
    <r>
      <rPr>
        <i/>
        <sz val="10"/>
        <color rgb="FF1F497D"/>
        <rFont val="Calibri"/>
        <family val="2"/>
        <scheme val="minor"/>
      </rPr>
      <t xml:space="preserve"> Antall egenkapitalbevis fremkommer i note 21 i delårsregnskapet. Ihht IAS 33 er det benyttet vektet gjennomsnitt antall egenkapitalbevis gjennom året.</t>
    </r>
  </si>
  <si>
    <t>Antall utstedte EKB gjennomsnitt vektet</t>
  </si>
  <si>
    <t>Q4 2019</t>
  </si>
  <si>
    <t>Q3 2019</t>
  </si>
  <si>
    <t>Rentenetto ekskl. renter fondsobl</t>
  </si>
  <si>
    <t>Netto renteinntekter</t>
  </si>
  <si>
    <t>Delt på gjennomsnittlig forvaltningskapital</t>
  </si>
  <si>
    <t>Utlånsvekst siste 12 mnd</t>
  </si>
  <si>
    <t>Delt på brutto utlån inkl. SpareBank 1 Boligkreditt/Næringskreditt i perioden</t>
  </si>
  <si>
    <t>Innskuddsdekning inkl. kredittforetak</t>
  </si>
  <si>
    <t>Brutto utlån til kunder inkl. overføring til kredittforetak</t>
  </si>
  <si>
    <t>Forvaltningskapital inkl.  Kredittforetak</t>
  </si>
  <si>
    <t>Periodens resultat før øvrige resultatposter</t>
  </si>
  <si>
    <r>
      <rPr>
        <sz val="10"/>
        <color rgb="FF1F497D"/>
        <rFont val="Calibri"/>
        <family val="2"/>
      </rPr>
      <t>¹</t>
    </r>
    <r>
      <rPr>
        <i/>
        <sz val="10"/>
        <color rgb="FF1F497D"/>
        <rFont val="Calibri"/>
        <family val="2"/>
        <scheme val="minor"/>
      </rPr>
      <t xml:space="preserve"> Egenkapitalbevisbrøk er spesifisert i note 21 i delårsregnskapet.</t>
    </r>
  </si>
  <si>
    <t>Proforma tall for 2020 er sammenslått resultat og balanse uten beregninger av mer/mindre verdier.</t>
  </si>
  <si>
    <t>Kostnadsprosent morbank</t>
  </si>
  <si>
    <t xml:space="preserve"> + provisjonsinntekter fra kredittforetak</t>
  </si>
  <si>
    <t>Delt på gjennomsnittlig forvatlningskapital inkl. SpareBank 1 Boligkreditt/Næringskreditt</t>
  </si>
  <si>
    <t>Rentenetto</t>
  </si>
  <si>
    <t>Rentenetto inkl kredittforetak</t>
  </si>
  <si>
    <t>Utlånsvekst inkl SpareBank 1 Boligkreditt/Næringskreditt hiå</t>
  </si>
  <si>
    <t>Tapsavsetning på utlån og garantier</t>
  </si>
  <si>
    <t>Tapsavsetninger trinn 1</t>
  </si>
  <si>
    <t>Sum tapsavsetninger</t>
  </si>
  <si>
    <t>Tapsavsetninger trinn 2</t>
  </si>
  <si>
    <t>Tapsavsetninger trinn 3</t>
  </si>
  <si>
    <t>Delt på brutto utlån inkl SpareBank 1 Boligkreditt/Næringskreditt</t>
  </si>
  <si>
    <t>Boliglån til kunder i prosent av brutto utlån inkl kredittforetak</t>
  </si>
  <si>
    <t>Sum kostnader i morbank</t>
  </si>
  <si>
    <t>Delt på sum netto inntekter i morbank</t>
  </si>
  <si>
    <t>Gjennomsnittlig forvaltningskapital</t>
  </si>
  <si>
    <t>Gjennomsnittlig EK ekskl hybridkapital</t>
  </si>
  <si>
    <t xml:space="preserve">Forvaltningskapital pr balansedato </t>
  </si>
  <si>
    <t>Fratrukket brutto utlån inkl. SpareBank 1 Boligkreditt/Næringskreditt ved fjorårets slutt</t>
  </si>
  <si>
    <t>Delt på brutto utlån inkl SpareBank 1 Boligkreditt/Næringskreditt ved fjorårets slutt</t>
  </si>
  <si>
    <t>Utlånsvekst hiå</t>
  </si>
  <si>
    <t>Fratrukket innskudd fra kunder ved fjorårets slutt</t>
  </si>
  <si>
    <t>Delt på innskudd fra kunder ved fjorårets slutt</t>
  </si>
  <si>
    <t>Innskudd fra kunder pr balansedato</t>
  </si>
  <si>
    <t xml:space="preserve">Innskudd fra kunder pr balansedato </t>
  </si>
  <si>
    <t>Brutto utlån inkl. SpareBank 1 Boligkreditt/Næringskreditt pr balansedato</t>
  </si>
  <si>
    <t xml:space="preserve">Brutto utlån inkl. SpareBank 1 Boligkreditt/Næringskreditt pr balansedato </t>
  </si>
  <si>
    <t>Tapsavsetning på utlån og garantier av brutto utlån på balansen</t>
  </si>
  <si>
    <t>Tapsavsetninger i % av brutto utlån på balansen</t>
  </si>
  <si>
    <t>Utlånsvekst inkl. SpareBank 1 Boligkreditt/Næringskreditt hittil i år</t>
  </si>
  <si>
    <t>Innskuddsvekst hittil i år</t>
  </si>
  <si>
    <t>Boliglån til kunder pr balansedato</t>
  </si>
  <si>
    <t>Innskuddsvekst hiå</t>
  </si>
  <si>
    <t xml:space="preserve">Sum tapsavsetninger trinn 1, 2 og 3 i % av brutto utlån på balansen. </t>
  </si>
  <si>
    <t xml:space="preserve">Innskuddsvekst hittil i år er et nøkkeltall som reflekterer aktiviteten og veksten i bankens innskuddsvirksomhet. </t>
  </si>
  <si>
    <t>Innskuddsvekst hittil i år reflekterer innskuddsveksten i balansen siden årsskifte.</t>
  </si>
  <si>
    <t>Utlånsvekst siste 12 måneder er et resultatmål som gir relevant informasjon om aktiviteten og veksten i bankens utlånsvirksomhet.</t>
  </si>
  <si>
    <t xml:space="preserve">Utlånsvekst hittil i år er et resultatmål som gir relevant informasjon om aktiviteten og veksten i bankens utlånsvirksomhet. 
Banken benytter SpareBank 1 Boligkreditt AS og SpareBank 1 Næringskreditt AS som finansieringskilde for utlånsvirksomheten. Volum overført til disse kredittforetakene er fra bankens kunder og er tilført fra aktivitet og vekst i banken. Utlånsvekst inkl. overføring til kredittforetak er derfor et nøkkeltall som bedre reflekterer aktiviteten og veksten i bankens utlånsvirksomhet. </t>
  </si>
  <si>
    <t>Utlånsvekst inkl kredittforetak reflekterer utlånsveksten beregnet ut fra årsskifte og inkluderer både utlån i egen balanse og utlån finansiert gjennom kredittforetakene pr balansedato.</t>
  </si>
  <si>
    <t>Et nøkkeltall som viser bankens utlån til kunder med pant i bolig.</t>
  </si>
  <si>
    <t>Utlån med pant i bolig (inkl overføring til SpareBank 1 Boligkreditt AS) av brutto utlån inkl overføring til SpareBank 1 Boligkreditt AS og SpareBank 1 Næringskreditt AS.</t>
  </si>
  <si>
    <t>Rentenetto er et normalt nøkkeltall innenfor bank/finans og reflekterer bankens netto renteinntekter i prosent av gjennomsnittlige forvaltningskapital.</t>
  </si>
  <si>
    <t>Rentenetto er differansen mellom brutto renteinntekter og rentekostnader – netto renteinntekter i resultatsammendraget. Netto renteinntekter er i delårsrapportene annualisert.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</si>
</sst>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#,##0,,;\-#,###.0,,;0.0"/>
    <numFmt numFmtId="167" formatCode="#,##0.0,,;\-#,###.0,,;0.0"/>
    <numFmt numFmtId="168" formatCode="#,##0,,;\-#,###,,;0"/>
    <numFmt numFmtId="169" formatCode="_-* #,##0.00\x;\-* #,##0.00_-;_-* &quot;-&quot;??_-;_-@_-"/>
    <numFmt numFmtId="170" formatCode="#,##0,,;\-#,##0,,;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Arial Narrow"/>
      <family val="2"/>
    </font>
    <font>
      <i/>
      <sz val="10"/>
      <color rgb="FF1F497D"/>
      <name val="Calibri"/>
      <family val="2"/>
      <scheme val="minor"/>
    </font>
    <font>
      <sz val="10"/>
      <color rgb="FF1F497D"/>
      <name val="Calibri"/>
      <family val="2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9"/>
      <color indexed="81"/>
      <name val="Tahoma"/>
      <charset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 Light"/>
      <family val="2"/>
      <scheme val="maj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</cellStyleXfs>
  <cellXfs count="14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8" fillId="0" borderId="0" xfId="0" applyFont="1"/>
    <xf numFmtId="165" fontId="4" fillId="5" borderId="5" xfId="2" applyNumberFormat="1" applyFont="1" applyFill="1" applyBorder="1"/>
    <xf numFmtId="0" fontId="1" fillId="5" borderId="4" xfId="0" applyFont="1" applyFill="1" applyBorder="1"/>
    <xf numFmtId="43" fontId="4" fillId="5" borderId="6" xfId="1" applyNumberFormat="1" applyFont="1" applyFill="1" applyBorder="1"/>
    <xf numFmtId="43" fontId="4" fillId="5" borderId="5" xfId="0" applyNumberFormat="1" applyFont="1" applyFill="1" applyBorder="1"/>
    <xf numFmtId="9" fontId="4" fillId="0" borderId="0" xfId="2" applyFont="1" applyFill="1" applyBorder="1"/>
    <xf numFmtId="164" fontId="6" fillId="4" borderId="1" xfId="0" applyNumberFormat="1" applyFont="1" applyFill="1" applyBorder="1"/>
    <xf numFmtId="165" fontId="7" fillId="4" borderId="5" xfId="2" applyNumberFormat="1" applyFont="1" applyFill="1" applyBorder="1"/>
    <xf numFmtId="165" fontId="4" fillId="5" borderId="6" xfId="2" applyNumberFormat="1" applyFont="1" applyFill="1" applyBorder="1"/>
    <xf numFmtId="10" fontId="4" fillId="5" borderId="5" xfId="2" applyNumberFormat="1" applyFont="1" applyFill="1" applyBorder="1"/>
    <xf numFmtId="166" fontId="2" fillId="0" borderId="1" xfId="0" applyNumberFormat="1" applyFont="1" applyBorder="1"/>
    <xf numFmtId="166" fontId="4" fillId="5" borderId="5" xfId="1" applyNumberFormat="1" applyFont="1" applyFill="1" applyBorder="1"/>
    <xf numFmtId="166" fontId="7" fillId="4" borderId="5" xfId="2" applyNumberFormat="1" applyFont="1" applyFill="1" applyBorder="1"/>
    <xf numFmtId="166" fontId="2" fillId="0" borderId="1" xfId="1" applyNumberFormat="1" applyFont="1" applyBorder="1"/>
    <xf numFmtId="166" fontId="2" fillId="0" borderId="0" xfId="1" applyNumberFormat="1" applyFont="1" applyBorder="1"/>
    <xf numFmtId="166" fontId="6" fillId="4" borderId="1" xfId="0" applyNumberFormat="1" applyFont="1" applyFill="1" applyBorder="1"/>
    <xf numFmtId="166" fontId="4" fillId="5" borderId="5" xfId="2" applyNumberFormat="1" applyFont="1" applyFill="1" applyBorder="1"/>
    <xf numFmtId="166" fontId="4" fillId="4" borderId="5" xfId="2" applyNumberFormat="1" applyFont="1" applyFill="1" applyBorder="1"/>
    <xf numFmtId="168" fontId="2" fillId="0" borderId="0" xfId="1" applyNumberFormat="1" applyFont="1" applyBorder="1"/>
    <xf numFmtId="168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0" borderId="1" xfId="0" applyNumberFormat="1" applyFont="1" applyFill="1" applyBorder="1"/>
    <xf numFmtId="168" fontId="2" fillId="0" borderId="1" xfId="1" applyNumberFormat="1" applyFont="1" applyFill="1" applyBorder="1"/>
    <xf numFmtId="0" fontId="2" fillId="0" borderId="0" xfId="0" applyFont="1" applyFill="1" applyBorder="1"/>
    <xf numFmtId="43" fontId="2" fillId="0" borderId="1" xfId="0" applyNumberFormat="1" applyFont="1" applyFill="1" applyBorder="1"/>
    <xf numFmtId="169" fontId="10" fillId="5" borderId="5" xfId="1" applyNumberFormat="1" applyFont="1" applyFill="1" applyBorder="1" applyAlignment="1">
      <alignment horizontal="right"/>
    </xf>
    <xf numFmtId="167" fontId="2" fillId="0" borderId="0" xfId="1" applyNumberFormat="1" applyFont="1" applyBorder="1"/>
    <xf numFmtId="166" fontId="2" fillId="0" borderId="0" xfId="0" applyNumberFormat="1" applyFont="1" applyFill="1" applyBorder="1"/>
    <xf numFmtId="165" fontId="4" fillId="0" borderId="0" xfId="2" applyNumberFormat="1" applyFont="1" applyFill="1" applyBorder="1"/>
    <xf numFmtId="165" fontId="7" fillId="0" borderId="0" xfId="2" applyNumberFormat="1" applyFont="1" applyFill="1" applyBorder="1"/>
    <xf numFmtId="0" fontId="0" fillId="0" borderId="0" xfId="0" applyFill="1" applyBorder="1"/>
    <xf numFmtId="168" fontId="0" fillId="0" borderId="0" xfId="0" applyNumberFormat="1" applyBorder="1"/>
    <xf numFmtId="166" fontId="2" fillId="4" borderId="0" xfId="1" applyNumberFormat="1" applyFont="1" applyFill="1" applyBorder="1"/>
    <xf numFmtId="43" fontId="2" fillId="0" borderId="0" xfId="0" applyNumberFormat="1" applyFont="1" applyFill="1" applyBorder="1"/>
    <xf numFmtId="0" fontId="8" fillId="0" borderId="0" xfId="0" applyFont="1" applyBorder="1"/>
    <xf numFmtId="0" fontId="11" fillId="3" borderId="14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11" fillId="0" borderId="0" xfId="0" applyFont="1"/>
    <xf numFmtId="0" fontId="13" fillId="5" borderId="10" xfId="0" applyFont="1" applyFill="1" applyBorder="1" applyAlignment="1">
      <alignment horizontal="center" wrapText="1"/>
    </xf>
    <xf numFmtId="0" fontId="13" fillId="5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center" wrapText="1"/>
    </xf>
    <xf numFmtId="0" fontId="14" fillId="3" borderId="0" xfId="0" applyFont="1" applyFill="1" applyBorder="1" applyAlignment="1"/>
    <xf numFmtId="0" fontId="11" fillId="0" borderId="0" xfId="0" applyFont="1" applyAlignment="1"/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" fillId="6" borderId="11" xfId="0" applyFont="1" applyFill="1" applyBorder="1"/>
    <xf numFmtId="14" fontId="1" fillId="6" borderId="1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 applyBorder="1"/>
    <xf numFmtId="0" fontId="1" fillId="5" borderId="16" xfId="0" applyFont="1" applyFill="1" applyBorder="1"/>
    <xf numFmtId="0" fontId="0" fillId="0" borderId="3" xfId="0" quotePrefix="1" applyBorder="1" applyAlignment="1">
      <alignment wrapText="1"/>
    </xf>
    <xf numFmtId="0" fontId="0" fillId="0" borderId="2" xfId="0" applyBorder="1" applyAlignment="1">
      <alignment wrapText="1"/>
    </xf>
    <xf numFmtId="166" fontId="2" fillId="0" borderId="0" xfId="0" applyNumberFormat="1" applyFont="1" applyBorder="1"/>
    <xf numFmtId="166" fontId="6" fillId="4" borderId="0" xfId="0" applyNumberFormat="1" applyFont="1" applyFill="1" applyBorder="1"/>
    <xf numFmtId="166" fontId="0" fillId="0" borderId="0" xfId="0" applyNumberFormat="1" applyBorder="1"/>
    <xf numFmtId="168" fontId="2" fillId="0" borderId="0" xfId="0" applyNumberFormat="1" applyFont="1" applyBorder="1"/>
    <xf numFmtId="0" fontId="0" fillId="0" borderId="3" xfId="0" applyBorder="1" applyAlignment="1">
      <alignment wrapText="1"/>
    </xf>
    <xf numFmtId="164" fontId="6" fillId="4" borderId="0" xfId="0" applyNumberFormat="1" applyFont="1" applyFill="1" applyBorder="1"/>
    <xf numFmtId="0" fontId="0" fillId="0" borderId="14" xfId="0" applyBorder="1"/>
    <xf numFmtId="0" fontId="1" fillId="0" borderId="2" xfId="0" applyFont="1" applyFill="1" applyBorder="1"/>
    <xf numFmtId="164" fontId="2" fillId="4" borderId="0" xfId="1" applyNumberFormat="1" applyFont="1" applyFill="1" applyBorder="1"/>
    <xf numFmtId="167" fontId="2" fillId="0" borderId="0" xfId="1" applyNumberFormat="1" applyFont="1" applyFill="1" applyBorder="1"/>
    <xf numFmtId="0" fontId="1" fillId="5" borderId="16" xfId="0" applyFont="1" applyFill="1" applyBorder="1" applyAlignment="1">
      <alignment wrapText="1"/>
    </xf>
    <xf numFmtId="166" fontId="2" fillId="0" borderId="0" xfId="1" applyNumberFormat="1" applyFont="1" applyFill="1" applyBorder="1"/>
    <xf numFmtId="0" fontId="1" fillId="5" borderId="4" xfId="0" applyFont="1" applyFill="1" applyBorder="1" applyAlignment="1">
      <alignment wrapText="1"/>
    </xf>
    <xf numFmtId="0" fontId="0" fillId="4" borderId="0" xfId="0" applyFill="1" applyBorder="1"/>
    <xf numFmtId="0" fontId="0" fillId="0" borderId="2" xfId="0" applyFill="1" applyBorder="1"/>
    <xf numFmtId="165" fontId="2" fillId="0" borderId="0" xfId="0" applyNumberFormat="1" applyFont="1" applyBorder="1"/>
    <xf numFmtId="0" fontId="9" fillId="0" borderId="2" xfId="4" applyFont="1" applyBorder="1"/>
    <xf numFmtId="0" fontId="9" fillId="0" borderId="0" xfId="4" applyFont="1" applyBorder="1"/>
    <xf numFmtId="164" fontId="2" fillId="0" borderId="0" xfId="1" applyNumberFormat="1" applyFont="1" applyFill="1" applyBorder="1"/>
    <xf numFmtId="0" fontId="9" fillId="0" borderId="0" xfId="4" applyFont="1" applyFill="1" applyBorder="1"/>
    <xf numFmtId="0" fontId="0" fillId="0" borderId="3" xfId="0" applyFill="1" applyBorder="1"/>
    <xf numFmtId="2" fontId="0" fillId="0" borderId="0" xfId="0" applyNumberFormat="1" applyFill="1" applyBorder="1"/>
    <xf numFmtId="2" fontId="0" fillId="0" borderId="0" xfId="0" applyNumberFormat="1" applyBorder="1"/>
    <xf numFmtId="2" fontId="2" fillId="0" borderId="0" xfId="0" applyNumberFormat="1" applyFont="1" applyFill="1" applyBorder="1"/>
    <xf numFmtId="0" fontId="1" fillId="5" borderId="11" xfId="0" applyFont="1" applyFill="1" applyBorder="1"/>
    <xf numFmtId="169" fontId="10" fillId="5" borderId="12" xfId="1" applyNumberFormat="1" applyFont="1" applyFill="1" applyBorder="1" applyAlignment="1">
      <alignment horizontal="right"/>
    </xf>
    <xf numFmtId="166" fontId="7" fillId="4" borderId="12" xfId="2" applyNumberFormat="1" applyFont="1" applyFill="1" applyBorder="1"/>
    <xf numFmtId="0" fontId="15" fillId="0" borderId="0" xfId="0" applyFont="1" applyAlignment="1">
      <alignment vertical="center" wrapText="1"/>
    </xf>
    <xf numFmtId="14" fontId="4" fillId="0" borderId="0" xfId="0" applyNumberFormat="1" applyFont="1" applyFill="1" applyBorder="1" applyAlignment="1">
      <alignment wrapText="1"/>
    </xf>
    <xf numFmtId="0" fontId="18" fillId="0" borderId="0" xfId="0" applyFont="1" applyFill="1" applyBorder="1"/>
    <xf numFmtId="10" fontId="4" fillId="0" borderId="0" xfId="2" applyNumberFormat="1" applyFont="1" applyFill="1" applyBorder="1"/>
    <xf numFmtId="10" fontId="2" fillId="0" borderId="0" xfId="0" applyNumberFormat="1" applyFont="1" applyFill="1" applyBorder="1"/>
    <xf numFmtId="43" fontId="4" fillId="0" borderId="0" xfId="1" applyNumberFormat="1" applyFont="1" applyFill="1" applyBorder="1"/>
    <xf numFmtId="164" fontId="2" fillId="0" borderId="0" xfId="0" applyNumberFormat="1" applyFont="1" applyFill="1" applyBorder="1"/>
    <xf numFmtId="43" fontId="4" fillId="0" borderId="0" xfId="0" applyNumberFormat="1" applyFont="1" applyFill="1" applyBorder="1"/>
    <xf numFmtId="165" fontId="2" fillId="0" borderId="0" xfId="0" applyNumberFormat="1" applyFont="1" applyFill="1" applyBorder="1"/>
    <xf numFmtId="4" fontId="0" fillId="0" borderId="0" xfId="0" applyNumberFormat="1" applyBorder="1"/>
    <xf numFmtId="0" fontId="19" fillId="0" borderId="0" xfId="0" applyFont="1"/>
    <xf numFmtId="0" fontId="15" fillId="0" borderId="0" xfId="0" applyFont="1"/>
    <xf numFmtId="166" fontId="2" fillId="0" borderId="1" xfId="0" applyNumberFormat="1" applyFont="1" applyFill="1" applyBorder="1"/>
    <xf numFmtId="0" fontId="0" fillId="0" borderId="1" xfId="0" applyBorder="1"/>
    <xf numFmtId="166" fontId="2" fillId="0" borderId="7" xfId="1" applyNumberFormat="1" applyFont="1" applyFill="1" applyBorder="1"/>
    <xf numFmtId="168" fontId="0" fillId="0" borderId="1" xfId="0" applyNumberFormat="1" applyBorder="1"/>
    <xf numFmtId="168" fontId="2" fillId="0" borderId="1" xfId="0" applyNumberFormat="1" applyFont="1" applyFill="1" applyBorder="1"/>
    <xf numFmtId="2" fontId="21" fillId="4" borderId="0" xfId="0" applyNumberFormat="1" applyFont="1" applyFill="1" applyBorder="1"/>
    <xf numFmtId="43" fontId="21" fillId="4" borderId="0" xfId="0" applyNumberFormat="1" applyFont="1" applyFill="1" applyBorder="1"/>
    <xf numFmtId="169" fontId="22" fillId="4" borderId="5" xfId="1" applyNumberFormat="1" applyFont="1" applyFill="1" applyBorder="1" applyAlignment="1">
      <alignment horizontal="right"/>
    </xf>
    <xf numFmtId="170" fontId="2" fillId="0" borderId="0" xfId="0" applyNumberFormat="1" applyFont="1" applyFill="1" applyBorder="1"/>
    <xf numFmtId="0" fontId="13" fillId="5" borderId="10" xfId="0" applyFont="1" applyFill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Border="1"/>
    <xf numFmtId="1" fontId="0" fillId="0" borderId="1" xfId="0" applyNumberFormat="1" applyBorder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4" fillId="5" borderId="5" xfId="1" applyNumberFormat="1" applyFont="1" applyFill="1" applyBorder="1"/>
    <xf numFmtId="164" fontId="0" fillId="0" borderId="7" xfId="0" applyNumberFormat="1" applyBorder="1"/>
    <xf numFmtId="43" fontId="0" fillId="0" borderId="0" xfId="0" applyNumberFormat="1"/>
    <xf numFmtId="167" fontId="2" fillId="0" borderId="7" xfId="1" applyNumberFormat="1" applyFont="1" applyFill="1" applyBorder="1"/>
    <xf numFmtId="164" fontId="0" fillId="4" borderId="0" xfId="0" applyNumberFormat="1" applyFill="1"/>
    <xf numFmtId="43" fontId="0" fillId="4" borderId="0" xfId="0" applyNumberFormat="1" applyFill="1"/>
    <xf numFmtId="164" fontId="0" fillId="4" borderId="7" xfId="0" applyNumberFormat="1" applyFill="1" applyBorder="1"/>
    <xf numFmtId="165" fontId="4" fillId="4" borderId="5" xfId="2" applyNumberFormat="1" applyFont="1" applyFill="1" applyBorder="1"/>
    <xf numFmtId="3" fontId="0" fillId="4" borderId="0" xfId="0" applyNumberFormat="1" applyFill="1"/>
    <xf numFmtId="164" fontId="6" fillId="4" borderId="7" xfId="0" applyNumberFormat="1" applyFont="1" applyFill="1" applyBorder="1"/>
    <xf numFmtId="10" fontId="4" fillId="5" borderId="6" xfId="2" applyNumberFormat="1" applyFont="1" applyFill="1" applyBorder="1"/>
    <xf numFmtId="9" fontId="4" fillId="5" borderId="5" xfId="2" applyNumberFormat="1" applyFont="1" applyFill="1" applyBorder="1"/>
    <xf numFmtId="0" fontId="0" fillId="3" borderId="3" xfId="0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0" fillId="3" borderId="2" xfId="0" applyFill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0" fillId="3" borderId="14" xfId="0" applyFill="1" applyBorder="1"/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</cellXfs>
  <cellStyles count="5">
    <cellStyle name="K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rosent" xfId="2" builtinId="5"/>
  </cellStyles>
  <dxfs count="6">
    <dxf>
      <font>
        <strike val="0"/>
        <outline val="0"/>
        <shadow val="0"/>
        <u val="none"/>
        <vertAlign val="baseline"/>
        <sz val="10"/>
        <color theme="4" tint="-0.499984740745262"/>
      </font>
      <alignment horizontal="general" vertical="top" textRotation="0" wrapText="1" indent="0" justifyLastLine="0" shrinkToFit="0" readingOrder="0"/>
      <border outline="0">
        <left style="thin">
          <color theme="8" tint="-0.499984740745262"/>
        </left>
      </border>
    </dxf>
    <dxf>
      <font>
        <strike val="0"/>
        <outline val="0"/>
        <shadow val="0"/>
        <u val="none"/>
        <vertAlign val="baseline"/>
        <sz val="10"/>
        <color theme="4" tint="-0.499984740745262"/>
      </font>
      <alignment horizontal="general" vertical="top" textRotation="0" wrapText="1" indent="0" justifyLastLine="0" shrinkToFit="0" readingOrder="0"/>
      <border outline="0">
        <right style="thin">
          <color theme="8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/>
        <bottom style="medium">
          <color indexed="55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</font>
      <alignment horizontal="left" vertical="bottom" textRotation="0" wrapText="1" indent="0" justifyLastLine="0" shrinkToFit="0" readingOrder="0"/>
    </dxf>
    <dxf>
      <border>
        <bottom style="medium">
          <color theme="8" tint="-0.499984740745262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1/2.%20kvartal/Offisielt/Offisielt_2Q_2021_Soros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0/4.%20kvartal/Dokumenter/Grafer%20i%20styrets%20beretning%20Q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1/1.%20kvartal/Offisielt/Offisielt_1Q_2021_B-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0/3.%20kvartal/Offisielt/Offisielt_3Q_2020_B-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0/1.%20kvartal/Offisielt/Offisielt_1Q_2020_B-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0/4.%20kvartal/Offisielt/Offisielt_4Q_2020_B-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216;konomi%20SB1%20Telemark\Rapportering%20SB1\2021\06%20Juni\Rapportering%20Q2%202021\Proforma%20n&#248;kkeltall%20siste%208%20kvartal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0/2.%20kvartal/Offisielt/Offisielt_2Q_2020_B-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1/2.%20kvartal/Dokumenter/Grafer%20i%20styrets%20beretning%20Q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sites/konomi/Shared%20Documents/Kvartalsrapportering/Kvartalsregnskap%202021/1.%20kvartal/Dokumenter/Grafer%20i%20styrets%20beretning%20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Kritiske regnskapsestima"/>
      <sheetName val="Note 3a Fusjonsnote"/>
      <sheetName val="Note 3b Proformabalanse "/>
      <sheetName val="Note 3c Proformaresultat "/>
      <sheetName val="Note 4 Kapdekn"/>
      <sheetName val="Note 5 Segmentinformasjon"/>
      <sheetName val="Note 6 Tap på utlån"/>
      <sheetName val="Note 7 Tapsavsetning på utlån "/>
      <sheetName val="Note 8 Utlån kunder pr trinn"/>
      <sheetName val="Note 9 Utlån sektor næring"/>
      <sheetName val="Note 10 Overføring fin eiendel"/>
      <sheetName val="Note 11 Finansielle derivater"/>
      <sheetName val="Note 12 Likviditetsrisiko"/>
      <sheetName val="Note 13 Netto res fra finansiel"/>
      <sheetName val="Note 14 Vurdering av VV"/>
      <sheetName val="Note 15 Andre eiendeler"/>
      <sheetName val="Note 16 Innskudd"/>
      <sheetName val="Note 17 Verdipapirgjeld"/>
      <sheetName val="Note 18 Ansvarlig lånekapital"/>
      <sheetName val="Note 19 Annen gjeld"/>
      <sheetName val="Note 20 Egenkapitalbevis... "/>
      <sheetName val="Note 21 Egenkapitalbevis "/>
      <sheetName val="Note 22 Proforma kv vis res"/>
      <sheetName val="Note 23 Proforma kv vis bal"/>
      <sheetName val="Note 24 Hendelser etter balanse"/>
      <sheetName val="Skilleark 5"/>
      <sheetName val="Grlag EK 1kvartal"/>
    </sheetNames>
    <sheetDataSet>
      <sheetData sheetId="0"/>
      <sheetData sheetId="1"/>
      <sheetData sheetId="2"/>
      <sheetData sheetId="3"/>
      <sheetData sheetId="4"/>
      <sheetData sheetId="5">
        <row r="27">
          <cell r="C27">
            <v>61051</v>
          </cell>
        </row>
      </sheetData>
      <sheetData sheetId="6">
        <row r="10">
          <cell r="R10">
            <v>194.16341774614901</v>
          </cell>
        </row>
        <row r="18">
          <cell r="R18">
            <v>206.44489447614421</v>
          </cell>
        </row>
        <row r="19">
          <cell r="D19">
            <v>1038.9094774000002</v>
          </cell>
          <cell r="E19">
            <v>306.95003919999942</v>
          </cell>
          <cell r="F19">
            <v>577.45888620000028</v>
          </cell>
          <cell r="G19">
            <v>537.76607861999946</v>
          </cell>
          <cell r="H19">
            <v>834.95316842000034</v>
          </cell>
          <cell r="R19">
            <v>565.09665733229326</v>
          </cell>
        </row>
        <row r="22">
          <cell r="D22">
            <v>462.6343713</v>
          </cell>
          <cell r="E22">
            <v>106.00821537</v>
          </cell>
          <cell r="F22">
            <v>151.08293047000001</v>
          </cell>
          <cell r="G22">
            <v>226.60247751</v>
          </cell>
          <cell r="H22">
            <v>267.54233875</v>
          </cell>
        </row>
        <row r="24">
          <cell r="P24">
            <v>113.01030170999999</v>
          </cell>
        </row>
        <row r="38">
          <cell r="R38">
            <v>245.53538140377702</v>
          </cell>
        </row>
        <row r="40">
          <cell r="P40">
            <v>1.8425054934</v>
          </cell>
        </row>
      </sheetData>
      <sheetData sheetId="7">
        <row r="18">
          <cell r="J18">
            <v>73765.356740827701</v>
          </cell>
        </row>
        <row r="21">
          <cell r="J21">
            <v>46871.6483076</v>
          </cell>
        </row>
        <row r="29">
          <cell r="J29">
            <v>1777.5163769999997</v>
          </cell>
        </row>
        <row r="30">
          <cell r="J30">
            <v>2777.3666096300003</v>
          </cell>
        </row>
        <row r="31">
          <cell r="J31">
            <v>645.06574490000003</v>
          </cell>
        </row>
        <row r="35">
          <cell r="J35">
            <v>350</v>
          </cell>
        </row>
        <row r="36">
          <cell r="J36">
            <v>258.29596868342645</v>
          </cell>
        </row>
        <row r="40">
          <cell r="J40">
            <v>9637.107486289402</v>
          </cell>
        </row>
      </sheetData>
      <sheetData sheetId="8"/>
      <sheetData sheetId="9">
        <row r="9">
          <cell r="C9">
            <v>149.14985842999994</v>
          </cell>
          <cell r="D9">
            <v>157.16861976999976</v>
          </cell>
          <cell r="E9">
            <v>160.58372822000092</v>
          </cell>
          <cell r="F9">
            <v>151.7780488199995</v>
          </cell>
          <cell r="G9">
            <v>179.54505320000001</v>
          </cell>
        </row>
        <row r="19">
          <cell r="C19">
            <v>42.289264299999992</v>
          </cell>
          <cell r="D19">
            <v>21.935716140000022</v>
          </cell>
          <cell r="E19">
            <v>26.723457519999997</v>
          </cell>
          <cell r="F19">
            <v>77.919387959999966</v>
          </cell>
          <cell r="G19">
            <v>7.2389378300000242</v>
          </cell>
        </row>
        <row r="20">
          <cell r="C20">
            <v>316.53921721999995</v>
          </cell>
          <cell r="D20">
            <v>302.37379742999968</v>
          </cell>
          <cell r="E20">
            <v>319.96165035000098</v>
          </cell>
          <cell r="F20">
            <v>340.92480869999946</v>
          </cell>
          <cell r="G20">
            <v>296.52611691999999</v>
          </cell>
        </row>
        <row r="24">
          <cell r="B24">
            <v>197.51011042851627</v>
          </cell>
          <cell r="C24">
            <v>154.31119078000003</v>
          </cell>
          <cell r="D24">
            <v>169.60890410999994</v>
          </cell>
          <cell r="E24">
            <v>136.35633567999997</v>
          </cell>
          <cell r="F24">
            <v>139.59084337000002</v>
          </cell>
          <cell r="G24">
            <v>153.52076614000003</v>
          </cell>
        </row>
        <row r="31">
          <cell r="B31">
            <v>243.91940840377703</v>
          </cell>
        </row>
      </sheetData>
      <sheetData sheetId="10">
        <row r="39">
          <cell r="K39">
            <v>-4.7628060000000003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3">
          <cell r="F53">
            <v>141.94196471413548</v>
          </cell>
          <cell r="G53">
            <v>101.01013899853355</v>
          </cell>
          <cell r="H53">
            <v>72.260965736006938</v>
          </cell>
        </row>
        <row r="55">
          <cell r="I55">
            <v>290.96699944867595</v>
          </cell>
        </row>
        <row r="136">
          <cell r="F136">
            <v>51.325686949999991</v>
          </cell>
          <cell r="G136">
            <v>55.993558290000017</v>
          </cell>
          <cell r="H136">
            <v>92.186791130000032</v>
          </cell>
        </row>
        <row r="138">
          <cell r="I138">
            <v>184.77999337000003</v>
          </cell>
        </row>
        <row r="190">
          <cell r="F190">
            <v>52.392512839999988</v>
          </cell>
          <cell r="G190">
            <v>49.970317260000002</v>
          </cell>
          <cell r="H190">
            <v>69.253716860000026</v>
          </cell>
        </row>
        <row r="192">
          <cell r="I192">
            <v>157.07268496000003</v>
          </cell>
        </row>
      </sheetData>
      <sheetData sheetId="22">
        <row r="36">
          <cell r="G36">
            <v>282.39405561497722</v>
          </cell>
        </row>
      </sheetData>
      <sheetData sheetId="23">
        <row r="9">
          <cell r="G9">
            <v>43176</v>
          </cell>
          <cell r="H9">
            <v>24667.770485999998</v>
          </cell>
          <cell r="I9">
            <v>24966.804315000001</v>
          </cell>
        </row>
        <row r="28">
          <cell r="G28">
            <v>23497.659974759998</v>
          </cell>
          <cell r="H28">
            <v>12587.138397999999</v>
          </cell>
          <cell r="I28">
            <v>12660.202361</v>
          </cell>
        </row>
        <row r="29">
          <cell r="G29">
            <v>1624.8427678999999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5">
          <cell r="L45">
            <v>81567895.666666657</v>
          </cell>
        </row>
        <row r="50">
          <cell r="E50">
            <v>-2.7339349999999998</v>
          </cell>
        </row>
      </sheetData>
      <sheetData sheetId="36"/>
      <sheetData sheetId="37">
        <row r="13">
          <cell r="B13">
            <v>61051.000000000022</v>
          </cell>
          <cell r="C13">
            <v>59359.187079800002</v>
          </cell>
          <cell r="D13">
            <v>58128.166648639992</v>
          </cell>
          <cell r="E13">
            <v>58288.67603070999</v>
          </cell>
          <cell r="F13">
            <v>56909.038694909992</v>
          </cell>
          <cell r="G13">
            <v>55419.630430589998</v>
          </cell>
          <cell r="H13">
            <v>54152.58410013</v>
          </cell>
          <cell r="I13">
            <v>53337.818560529995</v>
          </cell>
        </row>
        <row r="14">
          <cell r="B14">
            <v>25122.502742659999</v>
          </cell>
          <cell r="C14">
            <v>25068.391245129998</v>
          </cell>
          <cell r="D14">
            <v>24799.00401397</v>
          </cell>
          <cell r="E14">
            <v>23977.940134340002</v>
          </cell>
          <cell r="F14">
            <v>23877.086296580001</v>
          </cell>
          <cell r="G14">
            <v>23597.775397329999</v>
          </cell>
          <cell r="H14">
            <v>22709.69644154</v>
          </cell>
          <cell r="I14">
            <v>22144.182127579999</v>
          </cell>
        </row>
        <row r="17">
          <cell r="B17">
            <v>46871.6483076</v>
          </cell>
          <cell r="C17">
            <v>43674.548951249999</v>
          </cell>
          <cell r="D17">
            <v>43579.178918639998</v>
          </cell>
          <cell r="E17">
            <v>43662.300208989996</v>
          </cell>
          <cell r="F17">
            <v>43962.275329430006</v>
          </cell>
          <cell r="G17">
            <v>40998.518674849998</v>
          </cell>
          <cell r="H17">
            <v>40531.77815328</v>
          </cell>
          <cell r="I17">
            <v>40599.900708120003</v>
          </cell>
        </row>
      </sheetData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Res etter skatt"/>
      <sheetName val="2 EK-avkastning"/>
      <sheetName val="3 Rentenetto"/>
      <sheetName val=" 4 Inntektsprofil"/>
      <sheetName val="5 Driftskostnader"/>
      <sheetName val="7 Tapsavsetninger"/>
      <sheetName val="Scenariovekting"/>
      <sheetName val="8 Utlån inkl KF"/>
      <sheetName val="9 Innskudd og -dekning"/>
      <sheetName val="10 Finansieringskilder"/>
      <sheetName val="11 Likviditetsportefølje"/>
      <sheetName val="12 Kapitaldekning"/>
      <sheetName val="13 Datterselskaper"/>
      <sheetName val="14 Volum BM"/>
      <sheetName val="15 Næringseiendom"/>
      <sheetName val="Brukes ikke Res pr EK-bevis"/>
    </sheetNames>
    <sheetDataSet>
      <sheetData sheetId="0"/>
      <sheetData sheetId="1"/>
      <sheetData sheetId="2">
        <row r="13">
          <cell r="C13">
            <v>38945.962</v>
          </cell>
          <cell r="D13">
            <v>39610.885999999999</v>
          </cell>
          <cell r="E13">
            <v>39597.455000000002</v>
          </cell>
          <cell r="F13">
            <v>40170.675000000003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til 8"/>
      <sheetName val="Note 9 Kapdekn"/>
      <sheetName val="Note 10 - 11"/>
      <sheetName val="Note 12"/>
      <sheetName val="Note 13"/>
      <sheetName val="Note 14 - 16"/>
      <sheetName val="Note 17"/>
      <sheetName val="Note 18"/>
      <sheetName val="Skilleark 5"/>
      <sheetName val="Skilleark6"/>
      <sheetName val="Egenkapitalbevis side 1"/>
      <sheetName val="Egenkapitalbevis side 2"/>
      <sheetName val="Grlag EK 1kvartal"/>
      <sheetName val="Skilleark7"/>
    </sheetNames>
    <sheetDataSet>
      <sheetData sheetId="0"/>
      <sheetData sheetId="1"/>
      <sheetData sheetId="2"/>
      <sheetData sheetId="3"/>
      <sheetData sheetId="4"/>
      <sheetData sheetId="5">
        <row r="12">
          <cell r="C12">
            <v>1870.8609899999997</v>
          </cell>
          <cell r="G12">
            <v>30693.650700000006</v>
          </cell>
        </row>
        <row r="15">
          <cell r="C15">
            <v>131382.02324999991</v>
          </cell>
          <cell r="G15">
            <v>504720.22540000052</v>
          </cell>
        </row>
        <row r="17">
          <cell r="C17">
            <v>130624.04524999991</v>
          </cell>
          <cell r="G17">
            <v>506675.5534000005</v>
          </cell>
        </row>
        <row r="68">
          <cell r="C68">
            <v>0.53586861321929946</v>
          </cell>
        </row>
      </sheetData>
      <sheetData sheetId="6">
        <row r="32">
          <cell r="P32">
            <v>201.40100000000001</v>
          </cell>
          <cell r="T32">
            <v>1359.9570000000001</v>
          </cell>
        </row>
      </sheetData>
      <sheetData sheetId="7">
        <row r="29">
          <cell r="J29">
            <v>946519.48200000008</v>
          </cell>
        </row>
        <row r="30">
          <cell r="J30">
            <v>1026427.0128200001</v>
          </cell>
        </row>
        <row r="31">
          <cell r="J31">
            <v>645065.74490000005</v>
          </cell>
        </row>
        <row r="35">
          <cell r="J35">
            <v>250000</v>
          </cell>
          <cell r="L35">
            <v>250000</v>
          </cell>
        </row>
        <row r="36">
          <cell r="J36">
            <v>377770.62391000002</v>
          </cell>
        </row>
        <row r="40">
          <cell r="J40">
            <v>5664694.2060200004</v>
          </cell>
          <cell r="L40">
            <v>5536840.7865600018</v>
          </cell>
        </row>
      </sheetData>
      <sheetData sheetId="8"/>
      <sheetData sheetId="9"/>
      <sheetData sheetId="10">
        <row r="23">
          <cell r="K23">
            <v>-2333.75</v>
          </cell>
        </row>
      </sheetData>
      <sheetData sheetId="11"/>
      <sheetData sheetId="12"/>
      <sheetData sheetId="13"/>
      <sheetData sheetId="14">
        <row r="67">
          <cell r="F67">
            <v>55103.167789999985</v>
          </cell>
          <cell r="G67">
            <v>44935.472530000006</v>
          </cell>
          <cell r="H67">
            <v>67465.476140000013</v>
          </cell>
        </row>
        <row r="69">
          <cell r="I69">
            <v>153970.89146000001</v>
          </cell>
        </row>
        <row r="200">
          <cell r="G200">
            <v>25202255</v>
          </cell>
          <cell r="H200">
            <v>24111822</v>
          </cell>
        </row>
        <row r="218">
          <cell r="G218">
            <v>12703793.073000001</v>
          </cell>
          <cell r="H218">
            <v>12601234.16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E36">
            <v>-2021.6220000000001</v>
          </cell>
        </row>
      </sheetData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til 8"/>
      <sheetName val="Note 9 Kapdekn"/>
      <sheetName val="Note 10 - 11"/>
      <sheetName val="Note 12"/>
      <sheetName val="Note 13"/>
      <sheetName val="Note 14 - 16"/>
      <sheetName val="Note 17"/>
      <sheetName val="Note 18"/>
      <sheetName val="Skilleark 5"/>
      <sheetName val="Skilleark6"/>
      <sheetName val="Egenkapitalbevis side 1"/>
      <sheetName val="Egenkapitalbevis side 2"/>
      <sheetName val="Grlag EK 1kvartal"/>
      <sheetName val="Skilleark7"/>
    </sheetNames>
    <sheetDataSet>
      <sheetData sheetId="0"/>
      <sheetData sheetId="1"/>
      <sheetData sheetId="2"/>
      <sheetData sheetId="3"/>
      <sheetData sheetId="4"/>
      <sheetData sheetId="5">
        <row r="12">
          <cell r="C12">
            <v>33261.578750000008</v>
          </cell>
        </row>
      </sheetData>
      <sheetData sheetId="6">
        <row r="30">
          <cell r="R30">
            <v>153485.95153000104</v>
          </cell>
        </row>
        <row r="32">
          <cell r="P32">
            <v>1306.6089999999999</v>
          </cell>
        </row>
        <row r="39">
          <cell r="P39">
            <v>399294.74307000049</v>
          </cell>
        </row>
      </sheetData>
      <sheetData sheetId="7">
        <row r="29">
          <cell r="J29">
            <v>946519.48200000008</v>
          </cell>
        </row>
        <row r="30">
          <cell r="J30">
            <v>1026427.0128200001</v>
          </cell>
        </row>
        <row r="31">
          <cell r="J31">
            <v>536885.41188999999</v>
          </cell>
        </row>
        <row r="35">
          <cell r="J35">
            <v>250000</v>
          </cell>
        </row>
        <row r="36">
          <cell r="J36">
            <v>173280.99877999988</v>
          </cell>
        </row>
        <row r="40">
          <cell r="J40">
            <v>5427577.1477800021</v>
          </cell>
        </row>
      </sheetData>
      <sheetData sheetId="8"/>
      <sheetData sheetId="9"/>
      <sheetData sheetId="10">
        <row r="24">
          <cell r="K24">
            <v>-9537.7219999999998</v>
          </cell>
        </row>
      </sheetData>
      <sheetData sheetId="11"/>
      <sheetData sheetId="12"/>
      <sheetData sheetId="13"/>
      <sheetData sheetId="14">
        <row r="67">
          <cell r="F67">
            <v>52711.025219999996</v>
          </cell>
          <cell r="G67">
            <v>46247.389910000005</v>
          </cell>
          <cell r="H67">
            <v>82179.80753000002</v>
          </cell>
        </row>
        <row r="69">
          <cell r="I69">
            <v>167083.79666000002</v>
          </cell>
        </row>
        <row r="198">
          <cell r="G198">
            <v>24935388.647</v>
          </cell>
        </row>
        <row r="216">
          <cell r="G216">
            <v>12680408.221999999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E36">
            <v>-2243.819</v>
          </cell>
        </row>
      </sheetData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til 8"/>
      <sheetName val="Note 9 Kapdekn"/>
      <sheetName val="Note 10 - 11"/>
      <sheetName val="Note 12"/>
      <sheetName val="Note 13"/>
      <sheetName val="Note 14 - 16"/>
      <sheetName val="Note 17"/>
      <sheetName val="Note 18"/>
      <sheetName val="Skilleark 5"/>
      <sheetName val="Skilleark6"/>
      <sheetName val="Egenkapitalbevis side 1"/>
      <sheetName val="Egenkapitalbevis side 2"/>
      <sheetName val="Grlag EK 1kvartal"/>
      <sheetName val="Skilleark7"/>
    </sheetNames>
    <sheetDataSet>
      <sheetData sheetId="0"/>
      <sheetData sheetId="1"/>
      <sheetData sheetId="2"/>
      <sheetData sheetId="3"/>
      <sheetData sheetId="4"/>
      <sheetData sheetId="5">
        <row r="12">
          <cell r="C12">
            <v>27234.536550000008</v>
          </cell>
        </row>
        <row r="15">
          <cell r="C15">
            <v>93917.721949999977</v>
          </cell>
        </row>
        <row r="77">
          <cell r="C77">
            <v>41.866420007063823</v>
          </cell>
        </row>
      </sheetData>
      <sheetData sheetId="6">
        <row r="21">
          <cell r="H21">
            <v>230816.03941999999</v>
          </cell>
        </row>
        <row r="24">
          <cell r="H24">
            <v>120594.26214000001</v>
          </cell>
        </row>
        <row r="33">
          <cell r="P33">
            <v>-138.38499999999999</v>
          </cell>
        </row>
      </sheetData>
      <sheetData sheetId="7">
        <row r="29">
          <cell r="J29">
            <v>946500.53700000001</v>
          </cell>
        </row>
        <row r="30">
          <cell r="J30">
            <v>1026427.0128200001</v>
          </cell>
        </row>
        <row r="31">
          <cell r="J31">
            <v>536885.41188999999</v>
          </cell>
        </row>
        <row r="36">
          <cell r="J36">
            <v>175705.55355999997</v>
          </cell>
        </row>
      </sheetData>
      <sheetData sheetId="8"/>
      <sheetData sheetId="9"/>
      <sheetData sheetId="10">
        <row r="23">
          <cell r="K23">
            <v>-3259.944</v>
          </cell>
        </row>
      </sheetData>
      <sheetData sheetId="11"/>
      <sheetData sheetId="12"/>
      <sheetData sheetId="13"/>
      <sheetData sheetId="14">
        <row r="67">
          <cell r="F67">
            <v>47972.987290000005</v>
          </cell>
          <cell r="G67">
            <v>48441.326840000009</v>
          </cell>
          <cell r="H67">
            <v>89538.179660000009</v>
          </cell>
        </row>
        <row r="69">
          <cell r="I69">
            <v>174489.37479000003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E36">
            <v>5927.4560000000001</v>
          </cell>
        </row>
      </sheetData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til 8"/>
      <sheetName val="Note 9 Kapdekn"/>
      <sheetName val="Note 10 - 11"/>
      <sheetName val="Note 12"/>
      <sheetName val="Note 13"/>
      <sheetName val="Note 14 - 16"/>
      <sheetName val="Note 17"/>
      <sheetName val="Note 18"/>
      <sheetName val="Skilleark 5"/>
      <sheetName val="Skilleark6"/>
      <sheetName val="Egenkapitalbevis side 1"/>
      <sheetName val="Egenkapitalbevis side 2"/>
      <sheetName val="Grlag EK 1kvartal"/>
      <sheetName val="Skilleark7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F20">
            <v>248226.08839999972</v>
          </cell>
        </row>
        <row r="23">
          <cell r="F23">
            <v>133539.49111000003</v>
          </cell>
        </row>
      </sheetData>
      <sheetData sheetId="7">
        <row r="29">
          <cell r="J29">
            <v>946519.48200000008</v>
          </cell>
        </row>
        <row r="30">
          <cell r="J30">
            <v>1026427.0128200001</v>
          </cell>
        </row>
        <row r="31">
          <cell r="J31">
            <v>536885.41188999999</v>
          </cell>
        </row>
        <row r="36">
          <cell r="J36">
            <v>173855.8032299995</v>
          </cell>
        </row>
      </sheetData>
      <sheetData sheetId="8"/>
      <sheetData sheetId="9"/>
      <sheetData sheetId="10">
        <row r="24">
          <cell r="K24">
            <v>-8932.3209999999999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6">
          <cell r="E36">
            <v>6028.35</v>
          </cell>
        </row>
      </sheetData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økkeltall siste 8 kvartaler"/>
      <sheetName val="TM"/>
      <sheetName val="BV"/>
      <sheetName val="Resultat siste 8 kvart SOON"/>
    </sheetNames>
    <sheetDataSet>
      <sheetData sheetId="0">
        <row r="21">
          <cell r="B21">
            <v>73765.356740827701</v>
          </cell>
          <cell r="C21">
            <v>70680.183312181282</v>
          </cell>
          <cell r="D21">
            <v>70154.902738719655</v>
          </cell>
          <cell r="E21">
            <v>69160.008019737143</v>
          </cell>
          <cell r="F21">
            <v>69181.356923291634</v>
          </cell>
          <cell r="G21">
            <v>66459.841018579813</v>
          </cell>
          <cell r="H21">
            <v>65074.002468564562</v>
          </cell>
          <cell r="I21">
            <v>64499.057278765162</v>
          </cell>
        </row>
        <row r="24">
          <cell r="B24">
            <v>9287.107486289402</v>
          </cell>
          <cell r="C24">
            <v>9091.8118004162534</v>
          </cell>
          <cell r="D24">
            <v>8947.1813830863794</v>
          </cell>
          <cell r="E24">
            <v>8742.2221547949648</v>
          </cell>
          <cell r="F24">
            <v>8507.7058357011701</v>
          </cell>
          <cell r="G24">
            <v>8274.4461315339613</v>
          </cell>
          <cell r="H24">
            <v>8337.8077673688294</v>
          </cell>
          <cell r="I24">
            <v>8155.6845955989465</v>
          </cell>
        </row>
        <row r="35">
          <cell r="B35">
            <v>-3.05430556</v>
          </cell>
          <cell r="C35">
            <v>-3.2616666699999999</v>
          </cell>
          <cell r="D35">
            <v>-1.1381967174999987</v>
          </cell>
          <cell r="E35">
            <v>-3.9491943350000014</v>
          </cell>
          <cell r="F35">
            <v>-3.9438336674999999</v>
          </cell>
          <cell r="G35">
            <v>-4.2289038300000001</v>
          </cell>
          <cell r="H35">
            <v>-1.4246187799999999</v>
          </cell>
          <cell r="I35">
            <v>-5.1739396650000007</v>
          </cell>
        </row>
        <row r="42">
          <cell r="F42">
            <v>74336.821259860008</v>
          </cell>
          <cell r="G42">
            <v>72799.82261722986</v>
          </cell>
          <cell r="H42">
            <v>72501.401424195603</v>
          </cell>
          <cell r="I42">
            <v>71725.721352900247</v>
          </cell>
        </row>
        <row r="43">
          <cell r="F43">
            <v>40513.854086191153</v>
          </cell>
          <cell r="G43">
            <v>38708.055671489987</v>
          </cell>
          <cell r="H43">
            <v>37191.160898915579</v>
          </cell>
          <cell r="I43">
            <v>36993.534894615077</v>
          </cell>
        </row>
      </sheetData>
      <sheetData sheetId="1"/>
      <sheetData sheetId="2">
        <row r="7">
          <cell r="S7">
            <v>44292346000</v>
          </cell>
          <cell r="T7">
            <v>43372939000</v>
          </cell>
        </row>
        <row r="8">
          <cell r="N8">
            <v>33405188000</v>
          </cell>
          <cell r="O8">
            <v>32586358000</v>
          </cell>
          <cell r="P8">
            <v>32585196000</v>
          </cell>
          <cell r="Q8">
            <v>32179822000</v>
          </cell>
          <cell r="R8">
            <v>31659677000</v>
          </cell>
        </row>
        <row r="9">
          <cell r="N9">
            <v>13359461000</v>
          </cell>
          <cell r="O9">
            <v>13412534000</v>
          </cell>
          <cell r="P9">
            <v>13396613000</v>
          </cell>
          <cell r="Q9">
            <v>13421103000</v>
          </cell>
          <cell r="R9">
            <v>13433652000</v>
          </cell>
        </row>
        <row r="12">
          <cell r="N12">
            <v>25766368000</v>
          </cell>
          <cell r="O12">
            <v>25863568000</v>
          </cell>
          <cell r="P12">
            <v>25913610000</v>
          </cell>
          <cell r="Q12">
            <v>25948098000</v>
          </cell>
          <cell r="R12">
            <v>24478042000</v>
          </cell>
        </row>
        <row r="17">
          <cell r="N17">
            <v>40889885000</v>
          </cell>
          <cell r="O17">
            <v>40455482000</v>
          </cell>
          <cell r="P17">
            <v>40075739000</v>
          </cell>
          <cell r="Q17">
            <v>40493970000</v>
          </cell>
          <cell r="R17">
            <v>39316525000</v>
          </cell>
        </row>
        <row r="39">
          <cell r="F39">
            <v>-2.9959169999999995</v>
          </cell>
        </row>
      </sheetData>
      <sheetData sheetId="3">
        <row r="8">
          <cell r="B8">
            <v>274.44775592088422</v>
          </cell>
          <cell r="C8">
            <v>265.48506474264127</v>
          </cell>
          <cell r="D8">
            <v>277.37996370388981</v>
          </cell>
          <cell r="E8">
            <v>280.76272443807767</v>
          </cell>
          <cell r="F8">
            <v>250.56807422081124</v>
          </cell>
          <cell r="G8">
            <v>293.41429141967251</v>
          </cell>
          <cell r="H8">
            <v>303.15536992647054</v>
          </cell>
          <cell r="I8">
            <v>284.17935084179044</v>
          </cell>
        </row>
        <row r="19">
          <cell r="B19">
            <v>701.24897065347591</v>
          </cell>
          <cell r="C19">
            <v>521.00539000689514</v>
          </cell>
          <cell r="D19">
            <v>508.75283440679516</v>
          </cell>
          <cell r="E19">
            <v>523.81328053730726</v>
          </cell>
          <cell r="F19">
            <v>536.28003201708657</v>
          </cell>
          <cell r="G19">
            <v>485.16247445446606</v>
          </cell>
          <cell r="H19">
            <v>502.44186791966195</v>
          </cell>
          <cell r="I19">
            <v>463.5173682814081</v>
          </cell>
        </row>
        <row r="23">
          <cell r="B23">
            <v>274.50710421012292</v>
          </cell>
          <cell r="C23">
            <v>240.50670705740995</v>
          </cell>
          <cell r="D23">
            <v>264.6158672780349</v>
          </cell>
          <cell r="E23">
            <v>215.64644235598485</v>
          </cell>
          <cell r="F23">
            <v>218.48101131104744</v>
          </cell>
          <cell r="G23">
            <v>238.64387533527756</v>
          </cell>
          <cell r="H23">
            <v>261.32711158303476</v>
          </cell>
          <cell r="I23">
            <v>208.75502572303483</v>
          </cell>
        </row>
        <row r="30">
          <cell r="B30">
            <v>293.11064689335302</v>
          </cell>
          <cell r="C30">
            <v>217.0563901494852</v>
          </cell>
          <cell r="D30">
            <v>203.92927640876024</v>
          </cell>
          <cell r="E30">
            <v>243.93734487132244</v>
          </cell>
          <cell r="F30">
            <v>231.99159043623911</v>
          </cell>
          <cell r="G30">
            <v>158.9649549771936</v>
          </cell>
          <cell r="H30">
            <v>193.82436260062718</v>
          </cell>
          <cell r="I30">
            <v>185.99937865917326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jon"/>
      <sheetName val="Skilleark1"/>
      <sheetName val="Innholdsfortegnelse"/>
      <sheetName val="Skilleark2"/>
      <sheetName val="Skilleark3"/>
      <sheetName val="Nøkkeltall"/>
      <sheetName val="Res IFRS"/>
      <sheetName val="Bal IFRS"/>
      <sheetName val="Utvidet resultatregnskap"/>
      <sheetName val="Kvartalsregnskapene"/>
      <sheetName val="Egenkapital"/>
      <sheetName val="Kontantstrøm"/>
      <sheetName val="Skilleark4"/>
      <sheetName val="Note 1"/>
      <sheetName val="Note 2 til 8"/>
      <sheetName val="Note 9 Kapdekn"/>
      <sheetName val="Note 10 - 11"/>
      <sheetName val="Note 12"/>
      <sheetName val="Note 13"/>
      <sheetName val="Note 14 - 16"/>
      <sheetName val="Note 17"/>
      <sheetName val="Note 18"/>
      <sheetName val="Skilleark 5"/>
      <sheetName val="Skilleark6"/>
      <sheetName val="Egenkapitalbevis side 1"/>
      <sheetName val="Egenkapitalbevis side 2"/>
      <sheetName val="Grlag EK 1kvartal"/>
      <sheetName val="Skilleark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C8">
            <v>85158.325789999988</v>
          </cell>
        </row>
        <row r="12">
          <cell r="C12">
            <v>43893.557910000003</v>
          </cell>
        </row>
        <row r="29">
          <cell r="G29">
            <v>31409938.320999999</v>
          </cell>
        </row>
        <row r="30">
          <cell r="G30">
            <v>44292345.515999995</v>
          </cell>
        </row>
        <row r="110">
          <cell r="C110">
            <v>4943174.002580002</v>
          </cell>
        </row>
      </sheetData>
      <sheetData sheetId="6">
        <row r="32">
          <cell r="P32">
            <v>742.32399999999996</v>
          </cell>
          <cell r="R32">
            <v>880.70899999999995</v>
          </cell>
        </row>
      </sheetData>
      <sheetData sheetId="7">
        <row r="29">
          <cell r="J29">
            <v>946500.53700000001</v>
          </cell>
        </row>
        <row r="30">
          <cell r="J30">
            <v>1026427.0128200001</v>
          </cell>
        </row>
        <row r="31">
          <cell r="J31">
            <v>536885.41188999999</v>
          </cell>
        </row>
        <row r="35">
          <cell r="J35">
            <v>350000</v>
          </cell>
        </row>
        <row r="36">
          <cell r="J36">
            <v>175985.5748899999</v>
          </cell>
        </row>
        <row r="40">
          <cell r="J40">
            <v>5380562.4013599996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6">
          <cell r="E36">
            <v>123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Res etter skatt"/>
      <sheetName val="2 EK-avkastning"/>
      <sheetName val="3 Rentenetto alt."/>
      <sheetName val=" 4 Inntektsprofil"/>
      <sheetName val="5 Driftskostnader"/>
      <sheetName val="7 Tapsavsetninger"/>
      <sheetName val="Scenariovekting"/>
      <sheetName val="8 Utlån inkl KF"/>
      <sheetName val="9 Innskudd og -dekning"/>
      <sheetName val="10 Finansieringskilder"/>
      <sheetName val="10 Finansieringskilder nr 2"/>
      <sheetName val="11 Likviditetsportefølje"/>
      <sheetName val="11 Likviditetsportefølje nr 2"/>
      <sheetName val="12 Kapitaldekning"/>
      <sheetName val="13 Datterselskaper"/>
      <sheetName val="14 Volum BM"/>
      <sheetName val="14 Volum BM ift utlånsnote"/>
      <sheetName val="15 Næringseiendom"/>
      <sheetName val="Brukes ikke Res pr EK-bevis"/>
    </sheetNames>
    <sheetDataSet>
      <sheetData sheetId="0"/>
      <sheetData sheetId="1"/>
      <sheetData sheetId="2">
        <row r="11">
          <cell r="J11">
            <v>45.182108999999997</v>
          </cell>
        </row>
        <row r="12">
          <cell r="J12">
            <v>51848</v>
          </cell>
        </row>
        <row r="14">
          <cell r="J14">
            <v>16259.401935664973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Res etter skatt"/>
      <sheetName val="2 EK-avkastning"/>
      <sheetName val="3 Rentenetto alt."/>
      <sheetName val=" 4 Inntektsprofil"/>
      <sheetName val="5 Driftskostnader"/>
      <sheetName val="7 Tapsavsetninger"/>
      <sheetName val="Scenariovekting"/>
      <sheetName val="8 Utlån inkl KF"/>
      <sheetName val="9 Innskudd og -dekning"/>
      <sheetName val="10 Finansieringskilder"/>
      <sheetName val="10 Finansieringskilder nr 2"/>
      <sheetName val="11 Likviditetsportefølje"/>
      <sheetName val="11 Likviditetsportefølje nr 2"/>
      <sheetName val="12 Kapitaldekning"/>
      <sheetName val="13 Datterselskaper"/>
      <sheetName val="14 Volum BM"/>
      <sheetName val="15 Næringseiendom"/>
      <sheetName val="Brukes ikke Res pr EK-bevis"/>
    </sheetNames>
    <sheetDataSet>
      <sheetData sheetId="0"/>
      <sheetData sheetId="1"/>
      <sheetData sheetId="2">
        <row r="11">
          <cell r="F11">
            <v>26.367999999999999</v>
          </cell>
          <cell r="G11">
            <v>21.446000000000002</v>
          </cell>
          <cell r="H11">
            <v>42.254000000000005</v>
          </cell>
          <cell r="I11">
            <v>42.635999999999996</v>
          </cell>
          <cell r="J11">
            <v>35.045000000000002</v>
          </cell>
        </row>
        <row r="12">
          <cell r="J12">
            <v>40564.084000000003</v>
          </cell>
        </row>
        <row r="14">
          <cell r="F14">
            <v>13020.218999999999</v>
          </cell>
          <cell r="G14">
            <v>13367.436373666666</v>
          </cell>
          <cell r="H14">
            <v>13395</v>
          </cell>
          <cell r="I14">
            <v>13284</v>
          </cell>
          <cell r="J14">
            <v>13365.487999999999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4:C26" totalsRowShown="0" headerRowDxfId="5" dataDxfId="3" headerRowBorderDxfId="4">
  <tableColumns count="3">
    <tableColumn id="1" xr3:uid="{00000000-0010-0000-0000-000001000000}" name="Alternative resultatmål i SpareBank 1 Sørøst-Norge" dataDxfId="2"/>
    <tableColumn id="3" xr3:uid="{00000000-0010-0000-0000-000003000000}" name="Begrunnelse for bruk av alternativt resultatmål" dataDxfId="1"/>
    <tableColumn id="2" xr3:uid="{00000000-0010-0000-0000-000002000000}" name="Definisjon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zoomScaleNormal="100" workbookViewId="0">
      <selection activeCell="E4" sqref="E4"/>
    </sheetView>
  </sheetViews>
  <sheetFormatPr baseColWidth="10" defaultRowHeight="15" x14ac:dyDescent="0.25"/>
  <cols>
    <col min="1" max="1" width="50.7109375" style="8" customWidth="1"/>
    <col min="2" max="2" width="51.5703125" style="8" customWidth="1"/>
    <col min="3" max="3" width="55.28515625" style="8" bestFit="1" customWidth="1"/>
    <col min="4" max="16384" width="11.42578125" style="8"/>
  </cols>
  <sheetData>
    <row r="1" spans="1:4" x14ac:dyDescent="0.25">
      <c r="A1" s="43" t="s">
        <v>43</v>
      </c>
      <c r="B1" s="44"/>
      <c r="C1" s="45"/>
    </row>
    <row r="2" spans="1:4" ht="84" customHeight="1" x14ac:dyDescent="0.25">
      <c r="A2" s="141" t="s">
        <v>64</v>
      </c>
      <c r="B2" s="142"/>
      <c r="C2" s="143"/>
      <c r="D2" s="42"/>
    </row>
    <row r="3" spans="1:4" ht="15.75" thickBot="1" x14ac:dyDescent="0.3">
      <c r="A3" s="46"/>
      <c r="B3" s="47"/>
      <c r="C3" s="47"/>
    </row>
    <row r="4" spans="1:4" ht="35.25" customHeight="1" thickBot="1" x14ac:dyDescent="0.3">
      <c r="A4" s="114" t="s">
        <v>63</v>
      </c>
      <c r="B4" s="48" t="s">
        <v>41</v>
      </c>
      <c r="C4" s="49" t="s">
        <v>14</v>
      </c>
    </row>
    <row r="5" spans="1:4" ht="63.75" x14ac:dyDescent="0.25">
      <c r="A5" s="50" t="s">
        <v>66</v>
      </c>
      <c r="B5" s="51" t="s">
        <v>78</v>
      </c>
      <c r="C5" s="51" t="s">
        <v>112</v>
      </c>
    </row>
    <row r="6" spans="1:4" ht="63.75" x14ac:dyDescent="0.25">
      <c r="A6" s="50" t="s">
        <v>67</v>
      </c>
      <c r="B6" s="51" t="s">
        <v>79</v>
      </c>
      <c r="C6" s="51" t="s">
        <v>80</v>
      </c>
    </row>
    <row r="7" spans="1:4" ht="38.25" x14ac:dyDescent="0.25">
      <c r="A7" s="50" t="s">
        <v>144</v>
      </c>
      <c r="B7" s="51" t="s">
        <v>182</v>
      </c>
      <c r="C7" s="51" t="s">
        <v>183</v>
      </c>
    </row>
    <row r="8" spans="1:4" ht="25.5" x14ac:dyDescent="0.25">
      <c r="A8" s="50" t="s">
        <v>11</v>
      </c>
      <c r="B8" s="51" t="s">
        <v>44</v>
      </c>
      <c r="C8" s="51" t="s">
        <v>45</v>
      </c>
    </row>
    <row r="9" spans="1:4" ht="25.5" x14ac:dyDescent="0.25">
      <c r="A9" s="50" t="s">
        <v>68</v>
      </c>
      <c r="B9" s="51" t="s">
        <v>76</v>
      </c>
      <c r="C9" s="51" t="s">
        <v>77</v>
      </c>
    </row>
    <row r="10" spans="1:4" ht="64.5" customHeight="1" x14ac:dyDescent="0.25">
      <c r="A10" s="52" t="s">
        <v>69</v>
      </c>
      <c r="B10" s="53" t="s">
        <v>40</v>
      </c>
      <c r="C10" s="53" t="s">
        <v>15</v>
      </c>
    </row>
    <row r="11" spans="1:4" ht="64.5" customHeight="1" x14ac:dyDescent="0.25">
      <c r="A11" s="52" t="s">
        <v>16</v>
      </c>
      <c r="B11" s="53" t="s">
        <v>65</v>
      </c>
      <c r="C11" s="53" t="s">
        <v>17</v>
      </c>
    </row>
    <row r="12" spans="1:4" ht="140.25" x14ac:dyDescent="0.25">
      <c r="A12" s="54" t="s">
        <v>170</v>
      </c>
      <c r="B12" s="53" t="s">
        <v>178</v>
      </c>
      <c r="C12" s="53" t="s">
        <v>179</v>
      </c>
    </row>
    <row r="13" spans="1:4" ht="38.25" x14ac:dyDescent="0.25">
      <c r="A13" s="54" t="s">
        <v>70</v>
      </c>
      <c r="B13" s="53" t="s">
        <v>177</v>
      </c>
      <c r="C13" s="53" t="s">
        <v>18</v>
      </c>
    </row>
    <row r="14" spans="1:4" ht="38.25" x14ac:dyDescent="0.25">
      <c r="A14" s="54" t="s">
        <v>153</v>
      </c>
      <c r="B14" s="53" t="s">
        <v>180</v>
      </c>
      <c r="C14" s="53" t="s">
        <v>181</v>
      </c>
    </row>
    <row r="15" spans="1:4" ht="44.25" customHeight="1" x14ac:dyDescent="0.25">
      <c r="A15" s="52" t="s">
        <v>71</v>
      </c>
      <c r="B15" s="53" t="s">
        <v>19</v>
      </c>
      <c r="C15" s="53" t="s">
        <v>20</v>
      </c>
    </row>
    <row r="16" spans="1:4" ht="44.25" customHeight="1" x14ac:dyDescent="0.25">
      <c r="A16" s="52" t="s">
        <v>171</v>
      </c>
      <c r="B16" s="53" t="s">
        <v>175</v>
      </c>
      <c r="C16" s="53" t="s">
        <v>176</v>
      </c>
    </row>
    <row r="17" spans="1:3" ht="64.5" customHeight="1" x14ac:dyDescent="0.25">
      <c r="A17" s="52" t="s">
        <v>81</v>
      </c>
      <c r="B17" s="53" t="s">
        <v>21</v>
      </c>
      <c r="C17" s="53" t="s">
        <v>22</v>
      </c>
    </row>
    <row r="18" spans="1:3" ht="51" x14ac:dyDescent="0.25">
      <c r="A18" s="52" t="s">
        <v>0</v>
      </c>
      <c r="B18" s="53" t="s">
        <v>119</v>
      </c>
      <c r="C18" s="53" t="s">
        <v>87</v>
      </c>
    </row>
    <row r="19" spans="1:3" ht="38.25" x14ac:dyDescent="0.25">
      <c r="A19" s="52" t="s">
        <v>169</v>
      </c>
      <c r="B19" s="53" t="s">
        <v>54</v>
      </c>
      <c r="C19" s="53" t="s">
        <v>174</v>
      </c>
    </row>
    <row r="20" spans="1:3" ht="38.25" x14ac:dyDescent="0.25">
      <c r="A20" s="52" t="s">
        <v>72</v>
      </c>
      <c r="B20" s="53" t="s">
        <v>54</v>
      </c>
      <c r="C20" s="53" t="s">
        <v>84</v>
      </c>
    </row>
    <row r="21" spans="1:3" ht="63.75" x14ac:dyDescent="0.25">
      <c r="A21" s="52" t="s">
        <v>82</v>
      </c>
      <c r="B21" s="53" t="s">
        <v>117</v>
      </c>
      <c r="C21" s="53" t="s">
        <v>86</v>
      </c>
    </row>
    <row r="22" spans="1:3" ht="38.25" x14ac:dyDescent="0.25">
      <c r="A22" s="52" t="s">
        <v>83</v>
      </c>
      <c r="B22" s="53" t="s">
        <v>54</v>
      </c>
      <c r="C22" s="53" t="s">
        <v>85</v>
      </c>
    </row>
    <row r="23" spans="1:3" ht="63.75" customHeight="1" x14ac:dyDescent="0.25">
      <c r="A23" s="52" t="s">
        <v>73</v>
      </c>
      <c r="B23" s="53" t="s">
        <v>35</v>
      </c>
      <c r="C23" s="53" t="s">
        <v>23</v>
      </c>
    </row>
    <row r="24" spans="1:3" ht="63.75" customHeight="1" x14ac:dyDescent="0.25">
      <c r="A24" s="52" t="s">
        <v>74</v>
      </c>
      <c r="B24" s="53" t="s">
        <v>57</v>
      </c>
      <c r="C24" s="53" t="s">
        <v>56</v>
      </c>
    </row>
    <row r="25" spans="1:3" ht="63.75" customHeight="1" x14ac:dyDescent="0.25">
      <c r="A25" s="52" t="s">
        <v>55</v>
      </c>
      <c r="B25" s="53" t="s">
        <v>37</v>
      </c>
      <c r="C25" s="53" t="s">
        <v>38</v>
      </c>
    </row>
    <row r="26" spans="1:3" ht="78.75" customHeight="1" x14ac:dyDescent="0.25">
      <c r="A26" s="52" t="s">
        <v>75</v>
      </c>
      <c r="B26" s="53" t="s">
        <v>39</v>
      </c>
      <c r="C26" s="53" t="s">
        <v>36</v>
      </c>
    </row>
    <row r="27" spans="1:3" x14ac:dyDescent="0.25">
      <c r="A27" s="55"/>
      <c r="B27" s="56"/>
      <c r="C27" s="56"/>
    </row>
    <row r="28" spans="1:3" x14ac:dyDescent="0.25">
      <c r="A28" s="57" t="s">
        <v>139</v>
      </c>
      <c r="B28" s="93"/>
      <c r="C28" s="93"/>
    </row>
    <row r="29" spans="1:3" x14ac:dyDescent="0.25">
      <c r="A29" s="58" t="s">
        <v>126</v>
      </c>
      <c r="B29" s="93"/>
      <c r="C29" s="93"/>
    </row>
    <row r="30" spans="1:3" ht="25.5" customHeight="1" x14ac:dyDescent="0.25">
      <c r="A30" s="103" t="s">
        <v>113</v>
      </c>
      <c r="B30" s="56"/>
      <c r="C30" s="56"/>
    </row>
    <row r="31" spans="1:3" x14ac:dyDescent="0.25">
      <c r="A31" s="104" t="s">
        <v>114</v>
      </c>
      <c r="B31" s="47"/>
      <c r="C31" s="47"/>
    </row>
    <row r="32" spans="1:3" x14ac:dyDescent="0.25">
      <c r="A32" s="104" t="s">
        <v>115</v>
      </c>
      <c r="B32" s="47"/>
      <c r="C32" s="47"/>
    </row>
    <row r="33" spans="1:1" x14ac:dyDescent="0.25">
      <c r="A33" s="104" t="s">
        <v>116</v>
      </c>
    </row>
    <row r="34" spans="1:1" x14ac:dyDescent="0.25">
      <c r="A34" s="104" t="s">
        <v>140</v>
      </c>
    </row>
    <row r="35" spans="1:1" x14ac:dyDescent="0.25">
      <c r="A35" s="104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>
    <oddHeader>&amp;LSparebanken Telemark&amp;RAPM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0"/>
  <sheetViews>
    <sheetView showGridLines="0" zoomScaleNormal="100" workbookViewId="0">
      <pane xSplit="1" ySplit="1" topLeftCell="B2" activePane="bottomRight" state="frozen"/>
      <selection activeCell="A11" sqref="A11"/>
      <selection pane="topRight" activeCell="A11" sqref="A11"/>
      <selection pane="bottomLeft" activeCell="A11" sqref="A11"/>
      <selection pane="bottomRight" activeCell="A111" sqref="A111"/>
    </sheetView>
  </sheetViews>
  <sheetFormatPr baseColWidth="10" defaultRowHeight="15" x14ac:dyDescent="0.25"/>
  <cols>
    <col min="1" max="1" width="81.140625" bestFit="1" customWidth="1"/>
    <col min="2" max="13" width="14.85546875" customWidth="1"/>
    <col min="14" max="14" width="15" style="31" customWidth="1"/>
  </cols>
  <sheetData>
    <row r="1" spans="1:15" s="5" customFormat="1" x14ac:dyDescent="0.25">
      <c r="A1" s="59" t="s">
        <v>110</v>
      </c>
      <c r="B1" s="60">
        <v>44377</v>
      </c>
      <c r="C1" s="60" t="s">
        <v>88</v>
      </c>
      <c r="D1" s="60">
        <v>44286</v>
      </c>
      <c r="E1" s="60" t="s">
        <v>62</v>
      </c>
      <c r="F1" s="60">
        <v>44196</v>
      </c>
      <c r="G1" s="60" t="s">
        <v>61</v>
      </c>
      <c r="H1" s="60">
        <v>44104</v>
      </c>
      <c r="I1" s="60" t="s">
        <v>60</v>
      </c>
      <c r="J1" s="60">
        <v>44012</v>
      </c>
      <c r="K1" s="60" t="s">
        <v>59</v>
      </c>
      <c r="L1" s="60">
        <v>43921</v>
      </c>
      <c r="M1" s="60" t="s">
        <v>58</v>
      </c>
      <c r="N1" s="94"/>
    </row>
    <row r="2" spans="1:15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x14ac:dyDescent="0.25">
      <c r="A3" s="2"/>
      <c r="B3" s="3"/>
      <c r="C3" s="39"/>
      <c r="D3" s="3"/>
      <c r="E3" s="39"/>
      <c r="F3" s="3"/>
      <c r="G3" s="39"/>
      <c r="H3" s="3"/>
      <c r="I3" s="39"/>
      <c r="J3" s="3"/>
      <c r="K3" s="39"/>
      <c r="L3" s="3"/>
      <c r="M3" s="39"/>
    </row>
    <row r="4" spans="1:15" x14ac:dyDescent="0.25">
      <c r="A4" s="2" t="s">
        <v>138</v>
      </c>
      <c r="B4" s="27">
        <f>C4+D4</f>
        <v>375301431.65377694</v>
      </c>
      <c r="C4" s="27">
        <f>[1]Kvartalsregnskapene!$B$31*1000000</f>
        <v>243919408.40377703</v>
      </c>
      <c r="D4" s="26">
        <f>E4</f>
        <v>131382023.24999991</v>
      </c>
      <c r="E4" s="26">
        <f>[2]Nøkkeltall!$C$15*1000</f>
        <v>131382023.24999991</v>
      </c>
      <c r="F4" s="26">
        <f>[2]Nøkkeltall!$G$15*1000</f>
        <v>504720225.40000051</v>
      </c>
      <c r="G4" s="26">
        <f>F4-H4</f>
        <v>107648743.33000004</v>
      </c>
      <c r="H4" s="26">
        <f>I4+J4</f>
        <v>397071482.07000047</v>
      </c>
      <c r="I4" s="26">
        <f>'[3]Res IFRS'!$R$30*1000</f>
        <v>153485951.53000104</v>
      </c>
      <c r="J4" s="26">
        <f>K4+L4</f>
        <v>243585530.53999943</v>
      </c>
      <c r="K4" s="26">
        <v>149667808.58999947</v>
      </c>
      <c r="L4" s="26">
        <f>M4</f>
        <v>93917721.949999973</v>
      </c>
      <c r="M4" s="26">
        <f>[4]Nøkkeltall!$C$15*1000</f>
        <v>93917721.949999973</v>
      </c>
      <c r="N4" s="84"/>
    </row>
    <row r="5" spans="1:15" x14ac:dyDescent="0.25">
      <c r="A5" s="4" t="s">
        <v>1</v>
      </c>
      <c r="B5" s="30">
        <f>[1]Egenkapital!$K$39*-1000000</f>
        <v>4762806</v>
      </c>
      <c r="C5" s="30">
        <f>B5-D5</f>
        <v>2429056</v>
      </c>
      <c r="D5" s="30">
        <f>E5</f>
        <v>2333750</v>
      </c>
      <c r="E5" s="30">
        <f>[2]Egenkapital!$K$23*-1000</f>
        <v>2333750</v>
      </c>
      <c r="F5" s="30">
        <f>[5]Egenkapital!$K$24*-1000</f>
        <v>8932321</v>
      </c>
      <c r="G5" s="30">
        <f>F5-H5</f>
        <v>-605401</v>
      </c>
      <c r="H5" s="30">
        <f>[3]Egenkapital!$K$24*-1000</f>
        <v>9537722</v>
      </c>
      <c r="I5" s="30">
        <f>H5-J5</f>
        <v>3281861</v>
      </c>
      <c r="J5" s="30">
        <f>K5+L5</f>
        <v>6255861</v>
      </c>
      <c r="K5" s="30">
        <f>[6]BV!$F$39*-1000000</f>
        <v>2995916.9999999995</v>
      </c>
      <c r="L5" s="30">
        <f>M5</f>
        <v>3259944</v>
      </c>
      <c r="M5" s="30">
        <f>[4]Egenkapital!$K$23*-1000</f>
        <v>3259944</v>
      </c>
      <c r="N5" s="84"/>
    </row>
    <row r="6" spans="1:15" x14ac:dyDescent="0.25">
      <c r="A6" s="2" t="s">
        <v>2</v>
      </c>
      <c r="B6" s="22">
        <f t="shared" ref="B6:G6" si="0">B4-B5</f>
        <v>370538625.65377694</v>
      </c>
      <c r="C6" s="22">
        <f t="shared" si="0"/>
        <v>241490352.40377703</v>
      </c>
      <c r="D6" s="22">
        <f t="shared" si="0"/>
        <v>129048273.24999991</v>
      </c>
      <c r="E6" s="22">
        <f t="shared" si="0"/>
        <v>129048273.24999991</v>
      </c>
      <c r="F6" s="22">
        <f t="shared" si="0"/>
        <v>495787904.40000051</v>
      </c>
      <c r="G6" s="22">
        <f t="shared" si="0"/>
        <v>108254144.33000004</v>
      </c>
      <c r="H6" s="22">
        <f t="shared" ref="H6:I6" si="1">H4-H5</f>
        <v>387533760.07000047</v>
      </c>
      <c r="I6" s="22">
        <f t="shared" si="1"/>
        <v>150204090.53000104</v>
      </c>
      <c r="J6" s="22">
        <f t="shared" ref="J6:M6" si="2">J4-J5</f>
        <v>237329669.53999943</v>
      </c>
      <c r="K6" s="22">
        <f t="shared" si="2"/>
        <v>146671891.58999947</v>
      </c>
      <c r="L6" s="22">
        <f t="shared" si="2"/>
        <v>90657777.949999973</v>
      </c>
      <c r="M6" s="22">
        <f t="shared" si="2"/>
        <v>90657777.949999973</v>
      </c>
      <c r="N6" s="84"/>
    </row>
    <row r="7" spans="1:15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4"/>
    </row>
    <row r="8" spans="1:15" x14ac:dyDescent="0.25">
      <c r="A8" s="2" t="s">
        <v>90</v>
      </c>
      <c r="B8" s="27">
        <f>C8+D8</f>
        <v>376159426.65377694</v>
      </c>
      <c r="C8" s="27">
        <f>'[1]Res IFRS'!$R$38*1000000</f>
        <v>245535381.40377703</v>
      </c>
      <c r="D8" s="27">
        <v>130624045.24999991</v>
      </c>
      <c r="E8" s="27">
        <f>[2]Nøkkeltall!$C$17*1000</f>
        <v>130624045.24999991</v>
      </c>
      <c r="F8" s="27">
        <f>[2]Nøkkeltall!$G$17*1000</f>
        <v>506675553.40000051</v>
      </c>
      <c r="G8" s="27">
        <f>F8-H8</f>
        <v>107380810.33000004</v>
      </c>
      <c r="H8" s="27">
        <f>'[3]Res IFRS'!$P$39*1000</f>
        <v>399294743.07000047</v>
      </c>
      <c r="I8" s="27">
        <f>H8-J8</f>
        <v>152982239.53000101</v>
      </c>
      <c r="J8" s="27">
        <v>246312503.53999946</v>
      </c>
      <c r="K8" s="27">
        <v>152115000.58999947</v>
      </c>
      <c r="L8" s="27">
        <v>94197502.949999988</v>
      </c>
      <c r="M8" s="27">
        <v>94197502.949999988</v>
      </c>
      <c r="N8" s="84"/>
    </row>
    <row r="9" spans="1:15" x14ac:dyDescent="0.25">
      <c r="A9" s="4" t="s">
        <v>1</v>
      </c>
      <c r="B9" s="30">
        <f t="shared" ref="B9:K9" si="3">B5</f>
        <v>4762806</v>
      </c>
      <c r="C9" s="30">
        <f t="shared" si="3"/>
        <v>2429056</v>
      </c>
      <c r="D9" s="30">
        <f t="shared" si="3"/>
        <v>2333750</v>
      </c>
      <c r="E9" s="30">
        <f t="shared" si="3"/>
        <v>2333750</v>
      </c>
      <c r="F9" s="30">
        <f t="shared" si="3"/>
        <v>8932321</v>
      </c>
      <c r="G9" s="30">
        <f t="shared" si="3"/>
        <v>-605401</v>
      </c>
      <c r="H9" s="30">
        <f t="shared" si="3"/>
        <v>9537722</v>
      </c>
      <c r="I9" s="30">
        <f t="shared" si="3"/>
        <v>3281861</v>
      </c>
      <c r="J9" s="30">
        <f t="shared" si="3"/>
        <v>6255861</v>
      </c>
      <c r="K9" s="30">
        <f t="shared" si="3"/>
        <v>2995916.9999999995</v>
      </c>
      <c r="L9" s="30">
        <f>L5</f>
        <v>3259944</v>
      </c>
      <c r="M9" s="30">
        <f>M5</f>
        <v>3259944</v>
      </c>
      <c r="N9" s="84"/>
    </row>
    <row r="10" spans="1:15" x14ac:dyDescent="0.25">
      <c r="A10" s="2" t="s">
        <v>91</v>
      </c>
      <c r="B10" s="22">
        <f t="shared" ref="B10:M10" si="4">B8-B9</f>
        <v>371396620.65377694</v>
      </c>
      <c r="C10" s="22">
        <f t="shared" si="4"/>
        <v>243106325.40377703</v>
      </c>
      <c r="D10" s="22">
        <f t="shared" si="4"/>
        <v>128290295.24999991</v>
      </c>
      <c r="E10" s="22">
        <f t="shared" si="4"/>
        <v>128290295.24999991</v>
      </c>
      <c r="F10" s="22">
        <f t="shared" si="4"/>
        <v>497743232.40000051</v>
      </c>
      <c r="G10" s="22">
        <f t="shared" si="4"/>
        <v>107986211.33000004</v>
      </c>
      <c r="H10" s="22">
        <f t="shared" si="4"/>
        <v>389757021.07000047</v>
      </c>
      <c r="I10" s="22">
        <f t="shared" si="4"/>
        <v>149700378.53000101</v>
      </c>
      <c r="J10" s="22">
        <f t="shared" si="4"/>
        <v>240056642.53999946</v>
      </c>
      <c r="K10" s="22">
        <f t="shared" si="4"/>
        <v>149119083.58999947</v>
      </c>
      <c r="L10" s="22">
        <f t="shared" si="4"/>
        <v>90937558.949999988</v>
      </c>
      <c r="M10" s="22">
        <f t="shared" si="4"/>
        <v>90937558.949999988</v>
      </c>
      <c r="N10" s="84"/>
    </row>
    <row r="11" spans="1:15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84"/>
    </row>
    <row r="12" spans="1:15" x14ac:dyDescent="0.25">
      <c r="A12" s="2" t="s">
        <v>3</v>
      </c>
      <c r="B12" s="22">
        <f>C12</f>
        <v>9637107486.289402</v>
      </c>
      <c r="C12" s="22">
        <f>'[1]Bal IFRS'!$J$40*1000000</f>
        <v>9637107486.289402</v>
      </c>
      <c r="D12" s="22">
        <f>'[2]Bal IFRS'!$J$40*1000</f>
        <v>5664694206.0200005</v>
      </c>
      <c r="E12" s="22">
        <f>D12</f>
        <v>5664694206.0200005</v>
      </c>
      <c r="F12" s="22">
        <f>'[2]Bal IFRS'!$L$40*1000</f>
        <v>5536840786.5600014</v>
      </c>
      <c r="G12" s="22">
        <f>F12</f>
        <v>5536840786.5600014</v>
      </c>
      <c r="H12" s="22">
        <f>'[3]Bal IFRS'!$J$40*1000</f>
        <v>5427577147.7800016</v>
      </c>
      <c r="I12" s="22">
        <f>H12</f>
        <v>5427577147.7800016</v>
      </c>
      <c r="J12" s="22">
        <f>'[7]Bal IFRS'!$J$40*1000</f>
        <v>5380562401.3599997</v>
      </c>
      <c r="K12" s="22">
        <f>J12</f>
        <v>5380562401.3599997</v>
      </c>
      <c r="L12" s="22">
        <v>5131164284</v>
      </c>
      <c r="M12" s="22">
        <f>L12</f>
        <v>5131164284</v>
      </c>
      <c r="N12" s="77"/>
    </row>
    <row r="13" spans="1:15" x14ac:dyDescent="0.25">
      <c r="A13" s="4" t="s">
        <v>4</v>
      </c>
      <c r="B13" s="21">
        <f>C13</f>
        <v>350000000</v>
      </c>
      <c r="C13" s="21">
        <f>'[1]Bal IFRS'!$J$35*1000000</f>
        <v>350000000</v>
      </c>
      <c r="D13" s="21">
        <f>'[2]Bal IFRS'!$J$35*1000</f>
        <v>250000000</v>
      </c>
      <c r="E13" s="21">
        <f t="shared" ref="E13:L13" si="5">F13</f>
        <v>250000000</v>
      </c>
      <c r="F13" s="21">
        <f>'[2]Bal IFRS'!$L$35*1000</f>
        <v>250000000</v>
      </c>
      <c r="G13" s="21">
        <f t="shared" si="5"/>
        <v>250000000</v>
      </c>
      <c r="H13" s="21">
        <f>'[3]Bal IFRS'!$J$35*1000</f>
        <v>250000000</v>
      </c>
      <c r="I13" s="21">
        <f>H13</f>
        <v>250000000</v>
      </c>
      <c r="J13" s="21">
        <f>'[7]Bal IFRS'!$J$35*1000</f>
        <v>350000000</v>
      </c>
      <c r="K13" s="21">
        <f>J13</f>
        <v>350000000</v>
      </c>
      <c r="L13" s="21">
        <f t="shared" si="5"/>
        <v>250000000</v>
      </c>
      <c r="M13" s="21">
        <v>250000000</v>
      </c>
      <c r="N13" s="77"/>
    </row>
    <row r="14" spans="1:15" x14ac:dyDescent="0.25">
      <c r="A14" s="2" t="s">
        <v>5</v>
      </c>
      <c r="B14" s="22">
        <f>B12-B13</f>
        <v>9287107486.289402</v>
      </c>
      <c r="C14" s="22">
        <f>C12-C13</f>
        <v>9287107486.289402</v>
      </c>
      <c r="D14" s="22">
        <f t="shared" ref="D14:G14" si="6">D12-D13</f>
        <v>5414694206.0200005</v>
      </c>
      <c r="E14" s="22">
        <f t="shared" si="6"/>
        <v>5414694206.0200005</v>
      </c>
      <c r="F14" s="22">
        <f t="shared" si="6"/>
        <v>5286840786.5600014</v>
      </c>
      <c r="G14" s="22">
        <f t="shared" si="6"/>
        <v>5286840786.5600014</v>
      </c>
      <c r="H14" s="22">
        <f t="shared" ref="H14:I14" si="7">H12-H13</f>
        <v>5177577147.7800016</v>
      </c>
      <c r="I14" s="22">
        <f t="shared" si="7"/>
        <v>5177577147.7800016</v>
      </c>
      <c r="J14" s="22">
        <f t="shared" ref="J14:L14" si="8">J12-J13</f>
        <v>5030562401.3599997</v>
      </c>
      <c r="K14" s="22">
        <f t="shared" si="8"/>
        <v>5030562401.3599997</v>
      </c>
      <c r="L14" s="22">
        <f t="shared" si="8"/>
        <v>4881164284</v>
      </c>
      <c r="M14" s="22">
        <f>M12-M13</f>
        <v>4881164284</v>
      </c>
      <c r="N14" s="77"/>
    </row>
    <row r="15" spans="1:15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84"/>
    </row>
    <row r="16" spans="1:15" x14ac:dyDescent="0.25">
      <c r="A16" s="2" t="s">
        <v>157</v>
      </c>
      <c r="B16" s="22">
        <f>(B14+F14)/2</f>
        <v>7286974136.4247017</v>
      </c>
      <c r="C16" s="22">
        <f>(C14+E14)/2</f>
        <v>7350900846.1547012</v>
      </c>
      <c r="D16" s="22">
        <f>(D14+F14)/2</f>
        <v>5350767496.2900009</v>
      </c>
      <c r="E16" s="22">
        <f>(E14+G14)/2</f>
        <v>5350767496.2900009</v>
      </c>
      <c r="F16" s="22">
        <f>(F14+N16)/2</f>
        <v>5115007394.5700016</v>
      </c>
      <c r="G16" s="22">
        <f>(G14+I14)/2</f>
        <v>5232208967.170002</v>
      </c>
      <c r="H16" s="22">
        <f>(H14+N16)/2</f>
        <v>5060375575.1800022</v>
      </c>
      <c r="I16" s="22">
        <f>(I14+K14)/2</f>
        <v>5104069774.5700006</v>
      </c>
      <c r="J16" s="22">
        <f>(J14+N16)/2</f>
        <v>4986868201.9700012</v>
      </c>
      <c r="K16" s="22">
        <f>(K14+M14)/2</f>
        <v>4955863342.6800003</v>
      </c>
      <c r="L16" s="22">
        <f>M16</f>
        <v>4912169143.2900009</v>
      </c>
      <c r="M16" s="22">
        <f>(M14+N16)/2</f>
        <v>4912169143.2900009</v>
      </c>
      <c r="N16" s="22">
        <f>[7]Nøkkeltall!$C$110*1000</f>
        <v>4943174002.5800018</v>
      </c>
      <c r="O16" t="s">
        <v>111</v>
      </c>
    </row>
    <row r="17" spans="1:14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84"/>
    </row>
    <row r="18" spans="1:14" x14ac:dyDescent="0.25">
      <c r="A18" s="2" t="s">
        <v>31</v>
      </c>
      <c r="B18" s="3">
        <f>C18+D18</f>
        <v>181</v>
      </c>
      <c r="C18" s="3">
        <v>91</v>
      </c>
      <c r="D18" s="3">
        <f>E18</f>
        <v>90</v>
      </c>
      <c r="E18" s="3">
        <v>90</v>
      </c>
      <c r="F18" s="3">
        <f>G18+H18</f>
        <v>366</v>
      </c>
      <c r="G18" s="3">
        <v>92</v>
      </c>
      <c r="H18" s="3">
        <f>I18+J18</f>
        <v>274</v>
      </c>
      <c r="I18" s="3">
        <v>92</v>
      </c>
      <c r="J18" s="3">
        <f>K18+L18</f>
        <v>182</v>
      </c>
      <c r="K18" s="3">
        <v>91</v>
      </c>
      <c r="L18" s="3">
        <f>M18</f>
        <v>91</v>
      </c>
      <c r="M18" s="3">
        <v>91</v>
      </c>
      <c r="N18" s="84"/>
    </row>
    <row r="19" spans="1:14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84"/>
    </row>
    <row r="20" spans="1:14" x14ac:dyDescent="0.25">
      <c r="A20" s="2" t="s">
        <v>24</v>
      </c>
      <c r="B20" s="22">
        <f t="shared" ref="B20:C20" si="9">B6/B18*365</f>
        <v>747218775.48966074</v>
      </c>
      <c r="C20" s="22">
        <f t="shared" si="9"/>
        <v>968615149.75141346</v>
      </c>
      <c r="D20" s="22">
        <f>D6/D18*365</f>
        <v>523362441.51388854</v>
      </c>
      <c r="E20" s="22">
        <f>E6/E18*365</f>
        <v>523362441.51388854</v>
      </c>
      <c r="F20" s="22">
        <f t="shared" ref="F20:M20" si="10">F6/F18*366</f>
        <v>495787904.40000051</v>
      </c>
      <c r="G20" s="22">
        <f t="shared" si="10"/>
        <v>430663226.35630453</v>
      </c>
      <c r="H20" s="22">
        <f t="shared" si="10"/>
        <v>517654584.61905175</v>
      </c>
      <c r="I20" s="22">
        <f t="shared" si="10"/>
        <v>597551055.80413461</v>
      </c>
      <c r="J20" s="22">
        <f t="shared" si="10"/>
        <v>477267357.42659229</v>
      </c>
      <c r="K20" s="22">
        <f t="shared" si="10"/>
        <v>589911124.4169209</v>
      </c>
      <c r="L20" s="22">
        <f t="shared" si="10"/>
        <v>364623590.43626362</v>
      </c>
      <c r="M20" s="22">
        <f t="shared" si="10"/>
        <v>364623590.43626362</v>
      </c>
      <c r="N20" s="84"/>
    </row>
    <row r="21" spans="1:14" x14ac:dyDescent="0.25">
      <c r="A21" s="4" t="s">
        <v>7</v>
      </c>
      <c r="B21" s="21">
        <f t="shared" ref="B21:C21" si="11">B16</f>
        <v>7286974136.4247017</v>
      </c>
      <c r="C21" s="21">
        <f t="shared" si="11"/>
        <v>7350900846.1547012</v>
      </c>
      <c r="D21" s="21">
        <f t="shared" ref="D21:F21" si="12">D16</f>
        <v>5350767496.2900009</v>
      </c>
      <c r="E21" s="21">
        <f t="shared" si="12"/>
        <v>5350767496.2900009</v>
      </c>
      <c r="F21" s="21">
        <f t="shared" si="12"/>
        <v>5115007394.5700016</v>
      </c>
      <c r="G21" s="21">
        <f>G16</f>
        <v>5232208967.170002</v>
      </c>
      <c r="H21" s="21">
        <f t="shared" ref="H21:M21" si="13">H16</f>
        <v>5060375575.1800022</v>
      </c>
      <c r="I21" s="21">
        <f t="shared" si="13"/>
        <v>5104069774.5700006</v>
      </c>
      <c r="J21" s="21">
        <f>J16</f>
        <v>4986868201.9700012</v>
      </c>
      <c r="K21" s="21">
        <f t="shared" si="13"/>
        <v>4955863342.6800003</v>
      </c>
      <c r="L21" s="21">
        <f t="shared" si="13"/>
        <v>4912169143.2900009</v>
      </c>
      <c r="M21" s="21">
        <f t="shared" si="13"/>
        <v>4912169143.2900009</v>
      </c>
      <c r="N21" s="84"/>
    </row>
    <row r="22" spans="1:14" ht="15.75" thickBot="1" x14ac:dyDescent="0.3">
      <c r="A22" s="10" t="s">
        <v>66</v>
      </c>
      <c r="B22" s="9">
        <f t="shared" ref="B22:C22" si="14">B20/B21</f>
        <v>0.10254170819059308</v>
      </c>
      <c r="C22" s="9">
        <f t="shared" si="14"/>
        <v>0.13176822406169464</v>
      </c>
      <c r="D22" s="9">
        <f>D20/D21</f>
        <v>9.781072376565908E-2</v>
      </c>
      <c r="E22" s="9">
        <f t="shared" ref="E22" si="15">E20/E21</f>
        <v>9.781072376565908E-2</v>
      </c>
      <c r="F22" s="9">
        <f>F20/F21</f>
        <v>9.6928091428825677E-2</v>
      </c>
      <c r="G22" s="9">
        <f>G20/G21</f>
        <v>8.231002031045441E-2</v>
      </c>
      <c r="H22" s="9">
        <f>H20/H21</f>
        <v>0.10229568476261533</v>
      </c>
      <c r="I22" s="9">
        <f>I20/I21</f>
        <v>0.11707344965801846</v>
      </c>
      <c r="J22" s="9">
        <f t="shared" ref="J22:M22" si="16">J20/J21</f>
        <v>9.5704826776463359E-2</v>
      </c>
      <c r="K22" s="9">
        <f t="shared" si="16"/>
        <v>0.11903296835015481</v>
      </c>
      <c r="L22" s="9">
        <f t="shared" si="16"/>
        <v>7.4228630936770096E-2</v>
      </c>
      <c r="M22" s="9">
        <f t="shared" si="16"/>
        <v>7.4228630936770096E-2</v>
      </c>
      <c r="N22" s="36"/>
    </row>
    <row r="23" spans="1:14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95"/>
    </row>
    <row r="24" spans="1:14" x14ac:dyDescent="0.25">
      <c r="A24" s="2" t="s">
        <v>89</v>
      </c>
      <c r="B24" s="22">
        <f t="shared" ref="B24:C24" si="17">B10/B18*365</f>
        <v>748948986.40126288</v>
      </c>
      <c r="C24" s="22">
        <f t="shared" si="17"/>
        <v>975096799.69646835</v>
      </c>
      <c r="D24" s="22">
        <f>D10/D18*365</f>
        <v>520288419.62499958</v>
      </c>
      <c r="E24" s="22">
        <f t="shared" ref="E24:M24" si="18">E10/E18*365</f>
        <v>520288419.62499958</v>
      </c>
      <c r="F24" s="22">
        <f t="shared" si="18"/>
        <v>496383278.21311522</v>
      </c>
      <c r="G24" s="22">
        <f t="shared" si="18"/>
        <v>428423555.82010889</v>
      </c>
      <c r="H24" s="22">
        <f t="shared" si="18"/>
        <v>519201871.13339484</v>
      </c>
      <c r="I24" s="22">
        <f t="shared" si="18"/>
        <v>593919980.03750408</v>
      </c>
      <c r="J24" s="22">
        <f t="shared" si="18"/>
        <v>481432277.62142754</v>
      </c>
      <c r="K24" s="22">
        <f t="shared" si="18"/>
        <v>598115005.60823965</v>
      </c>
      <c r="L24" s="22">
        <f t="shared" si="18"/>
        <v>364749549.6346153</v>
      </c>
      <c r="M24" s="22">
        <f t="shared" si="18"/>
        <v>364749549.6346153</v>
      </c>
      <c r="N24" s="95"/>
    </row>
    <row r="25" spans="1:14" x14ac:dyDescent="0.25">
      <c r="A25" s="4" t="s">
        <v>7</v>
      </c>
      <c r="B25" s="21">
        <f t="shared" ref="B25:L25" si="19">B16</f>
        <v>7286974136.4247017</v>
      </c>
      <c r="C25" s="21">
        <f t="shared" si="19"/>
        <v>7350900846.1547012</v>
      </c>
      <c r="D25" s="21">
        <f t="shared" si="19"/>
        <v>5350767496.2900009</v>
      </c>
      <c r="E25" s="21">
        <f t="shared" si="19"/>
        <v>5350767496.2900009</v>
      </c>
      <c r="F25" s="21">
        <f t="shared" si="19"/>
        <v>5115007394.5700016</v>
      </c>
      <c r="G25" s="21">
        <f t="shared" si="19"/>
        <v>5232208967.170002</v>
      </c>
      <c r="H25" s="21">
        <f t="shared" si="19"/>
        <v>5060375575.1800022</v>
      </c>
      <c r="I25" s="21">
        <f t="shared" si="19"/>
        <v>5104069774.5700006</v>
      </c>
      <c r="J25" s="21">
        <f t="shared" si="19"/>
        <v>4986868201.9700012</v>
      </c>
      <c r="K25" s="21">
        <f t="shared" si="19"/>
        <v>4955863342.6800003</v>
      </c>
      <c r="L25" s="21">
        <f t="shared" si="19"/>
        <v>4912169143.2900009</v>
      </c>
      <c r="M25" s="21">
        <f>M16</f>
        <v>4912169143.2900009</v>
      </c>
      <c r="N25" s="95"/>
    </row>
    <row r="26" spans="1:14" ht="15.75" thickBot="1" x14ac:dyDescent="0.3">
      <c r="A26" s="10" t="s">
        <v>67</v>
      </c>
      <c r="B26" s="9">
        <f t="shared" ref="B26:M26" si="20">B24/B25</f>
        <v>0.10277914706154412</v>
      </c>
      <c r="C26" s="9">
        <f t="shared" si="20"/>
        <v>0.13264997312629337</v>
      </c>
      <c r="D26" s="9">
        <f t="shared" si="20"/>
        <v>9.7236222651375881E-2</v>
      </c>
      <c r="E26" s="9">
        <f t="shared" si="20"/>
        <v>9.7236222651375881E-2</v>
      </c>
      <c r="F26" s="9">
        <f t="shared" si="20"/>
        <v>9.7044488877976329E-2</v>
      </c>
      <c r="G26" s="9">
        <f t="shared" si="20"/>
        <v>8.188196582137558E-2</v>
      </c>
      <c r="H26" s="9">
        <f t="shared" si="20"/>
        <v>0.10260144991608185</v>
      </c>
      <c r="I26" s="9">
        <f t="shared" si="20"/>
        <v>0.11636204171749194</v>
      </c>
      <c r="J26" s="9">
        <f t="shared" si="20"/>
        <v>9.6540004291920847E-2</v>
      </c>
      <c r="K26" s="9">
        <f t="shared" si="20"/>
        <v>0.12068835725498331</v>
      </c>
      <c r="L26" s="9">
        <f t="shared" si="20"/>
        <v>7.425427321305933E-2</v>
      </c>
      <c r="M26" s="9">
        <f t="shared" si="20"/>
        <v>7.425427321305933E-2</v>
      </c>
      <c r="N26" s="95"/>
    </row>
    <row r="27" spans="1:14" x14ac:dyDescent="0.25">
      <c r="A27" s="7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95"/>
    </row>
    <row r="28" spans="1:14" x14ac:dyDescent="0.25">
      <c r="A28" s="2" t="s">
        <v>156</v>
      </c>
      <c r="B28" s="68">
        <f>(C28+E28)/2</f>
        <v>46206042000</v>
      </c>
      <c r="C28" s="68">
        <f>'[8]3 Rentenetto alt.'!$J$12*1000000</f>
        <v>51848000000</v>
      </c>
      <c r="D28" s="68">
        <f>E28</f>
        <v>40564084000</v>
      </c>
      <c r="E28" s="68">
        <f>'[9]3 Rentenetto alt.'!$J$12*1000000</f>
        <v>40564084000</v>
      </c>
      <c r="F28" s="68">
        <f>(G28+I28+K28+M28)/4</f>
        <v>39581244500</v>
      </c>
      <c r="G28" s="68">
        <f>'[10]3 Rentenetto'!$F$13*1000000</f>
        <v>40170675000</v>
      </c>
      <c r="H28" s="68">
        <f>(I28+K28+M28)/3</f>
        <v>39384767666.666664</v>
      </c>
      <c r="I28" s="68">
        <f>'[10]3 Rentenetto'!$E$13*1000000</f>
        <v>39597455000</v>
      </c>
      <c r="J28" s="68">
        <f>(K28+M28)/2</f>
        <v>39278424000</v>
      </c>
      <c r="K28" s="68">
        <f>'[10]3 Rentenetto'!$D$13*1000000</f>
        <v>39610886000</v>
      </c>
      <c r="L28" s="68">
        <f>M28</f>
        <v>38945962000</v>
      </c>
      <c r="M28" s="68">
        <f>'[10]3 Rentenetto'!$C$13*1000000</f>
        <v>38945962000</v>
      </c>
      <c r="N28" s="95"/>
    </row>
    <row r="29" spans="1:14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5"/>
    </row>
    <row r="30" spans="1:14" x14ac:dyDescent="0.25">
      <c r="A30" s="61" t="s">
        <v>131</v>
      </c>
      <c r="B30" s="22">
        <f>C30+E30</f>
        <v>343313276.17614895</v>
      </c>
      <c r="C30" s="22">
        <f>'[1]Res IFRS'!$R$10*1000000</f>
        <v>194163417.746149</v>
      </c>
      <c r="D30" s="22">
        <f>E30</f>
        <v>149149858.42999995</v>
      </c>
      <c r="E30" s="22">
        <f>[1]Kvartalsregnskapene!$C$9*1000000</f>
        <v>149149858.42999995</v>
      </c>
      <c r="F30" s="22">
        <f>G30+I30+K30+M30</f>
        <v>649075450.01000023</v>
      </c>
      <c r="G30" s="22">
        <f>[1]Kvartalsregnskapene!$D$9*1000000</f>
        <v>157168619.76999977</v>
      </c>
      <c r="H30" s="22">
        <f>I30+K30+M30</f>
        <v>491906830.24000049</v>
      </c>
      <c r="I30" s="22">
        <f>[1]Kvartalsregnskapene!$E$9*1000000</f>
        <v>160583728.22000092</v>
      </c>
      <c r="J30" s="22">
        <f>K30+M30</f>
        <v>331323102.0199995</v>
      </c>
      <c r="K30" s="22">
        <f>[1]Kvartalsregnskapene!$F$9*1000000</f>
        <v>151778048.81999949</v>
      </c>
      <c r="L30" s="22">
        <f>M30</f>
        <v>179545053.20000002</v>
      </c>
      <c r="M30" s="22">
        <f>[1]Kvartalsregnskapene!$G$9*1000000</f>
        <v>179545053.20000002</v>
      </c>
      <c r="N30" s="95"/>
    </row>
    <row r="31" spans="1:14" x14ac:dyDescent="0.25">
      <c r="A31" s="133" t="s">
        <v>132</v>
      </c>
      <c r="B31" s="21">
        <f>B28</f>
        <v>46206042000</v>
      </c>
      <c r="C31" s="21">
        <f t="shared" ref="C31" si="21">C28</f>
        <v>51848000000</v>
      </c>
      <c r="D31" s="21">
        <f>D28</f>
        <v>40564084000</v>
      </c>
      <c r="E31" s="21">
        <f t="shared" ref="E31:K31" si="22">E28</f>
        <v>40564084000</v>
      </c>
      <c r="F31" s="21">
        <f>F28</f>
        <v>39581244500</v>
      </c>
      <c r="G31" s="21">
        <f t="shared" si="22"/>
        <v>40170675000</v>
      </c>
      <c r="H31" s="21">
        <f>H28</f>
        <v>39384767666.666664</v>
      </c>
      <c r="I31" s="21">
        <f t="shared" si="22"/>
        <v>39597455000</v>
      </c>
      <c r="J31" s="21">
        <f>J28</f>
        <v>39278424000</v>
      </c>
      <c r="K31" s="21">
        <f t="shared" si="22"/>
        <v>39610886000</v>
      </c>
      <c r="L31" s="21">
        <f>L28</f>
        <v>38945962000</v>
      </c>
      <c r="M31" s="21">
        <f>M28</f>
        <v>38945962000</v>
      </c>
      <c r="N31" s="95"/>
    </row>
    <row r="32" spans="1:14" ht="15.75" thickBot="1" x14ac:dyDescent="0.3">
      <c r="A32" s="134" t="s">
        <v>144</v>
      </c>
      <c r="B32" s="17">
        <f>B30/B31/B18*365</f>
        <v>1.4983253221473399E-2</v>
      </c>
      <c r="C32" s="17">
        <f>C30/C31/C18*369</f>
        <v>1.5185195005419259E-2</v>
      </c>
      <c r="D32" s="17">
        <f>D30/D31/D18*365</f>
        <v>1.4911850023930305E-2</v>
      </c>
      <c r="E32" s="17">
        <f>E30/E31/E18*365</f>
        <v>1.4911850023930305E-2</v>
      </c>
      <c r="F32" s="17">
        <f>F30/F31/F18*366</f>
        <v>1.6398560939891626E-2</v>
      </c>
      <c r="G32" s="17">
        <f>G30/G31/G18*365</f>
        <v>1.552250280563737E-2</v>
      </c>
      <c r="H32" s="17">
        <f>H30/H31/H18*365</f>
        <v>1.6637837054124607E-2</v>
      </c>
      <c r="I32" s="17">
        <f>I30/I31/I18*365</f>
        <v>1.6089379657348846E-2</v>
      </c>
      <c r="J32" s="17">
        <f>J30/J31/J18*366</f>
        <v>1.6963183585191964E-2</v>
      </c>
      <c r="K32" s="17">
        <f>K30/K31/K18*365</f>
        <v>1.5369009567884232E-2</v>
      </c>
      <c r="L32" s="17">
        <f>L30/L31/L18*365</f>
        <v>1.8491088636163038E-2</v>
      </c>
      <c r="M32" s="17">
        <f>M30/M31/M18*365</f>
        <v>1.8491088636163038E-2</v>
      </c>
      <c r="N32" s="95"/>
    </row>
    <row r="33" spans="1:14" x14ac:dyDescent="0.25">
      <c r="A33" s="13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5"/>
    </row>
    <row r="34" spans="1:14" x14ac:dyDescent="0.25">
      <c r="A34" s="61" t="s">
        <v>131</v>
      </c>
      <c r="B34" s="40"/>
      <c r="C34" s="22">
        <f>C30</f>
        <v>194163417.746149</v>
      </c>
      <c r="D34" s="40"/>
      <c r="E34" s="22">
        <f t="shared" ref="E34:M34" si="23">E30</f>
        <v>149149858.42999995</v>
      </c>
      <c r="F34" s="40"/>
      <c r="G34" s="22">
        <f t="shared" si="23"/>
        <v>157168619.76999977</v>
      </c>
      <c r="H34" s="40"/>
      <c r="I34" s="22">
        <f t="shared" si="23"/>
        <v>160583728.22000092</v>
      </c>
      <c r="J34" s="40"/>
      <c r="K34" s="22">
        <f t="shared" si="23"/>
        <v>151778048.81999949</v>
      </c>
      <c r="L34" s="40"/>
      <c r="M34" s="22">
        <f t="shared" si="23"/>
        <v>179545053.20000002</v>
      </c>
      <c r="N34" s="95"/>
    </row>
    <row r="35" spans="1:14" x14ac:dyDescent="0.25">
      <c r="A35" s="61" t="s">
        <v>142</v>
      </c>
      <c r="B35" s="40"/>
      <c r="C35" s="22">
        <f>'[8]3 Rentenetto alt.'!$J$11*1000000</f>
        <v>45182109</v>
      </c>
      <c r="D35" s="40"/>
      <c r="E35" s="22">
        <f>'[9]3 Rentenetto alt.'!$J$11*1000000</f>
        <v>35045000</v>
      </c>
      <c r="F35" s="40"/>
      <c r="G35" s="22">
        <f>'[9]3 Rentenetto alt.'!$I$11*1000000</f>
        <v>42635999.999999993</v>
      </c>
      <c r="H35" s="40"/>
      <c r="I35" s="22">
        <f>'[9]3 Rentenetto alt.'!$H$11*1000000</f>
        <v>42254000.000000007</v>
      </c>
      <c r="J35" s="40"/>
      <c r="K35" s="22">
        <f>'[9]3 Rentenetto alt.'!$G$11*1000000</f>
        <v>21446000</v>
      </c>
      <c r="L35" s="40"/>
      <c r="M35" s="22">
        <f>'[9]3 Rentenetto alt.'!$F$11*1000000</f>
        <v>26368000</v>
      </c>
      <c r="N35" s="95"/>
    </row>
    <row r="36" spans="1:14" x14ac:dyDescent="0.25">
      <c r="A36" s="133" t="s">
        <v>143</v>
      </c>
      <c r="B36" s="40"/>
      <c r="C36" s="21">
        <f>'[8]3 Rentenetto alt.'!$J$14*1000000+C31</f>
        <v>68107401935.664978</v>
      </c>
      <c r="D36" s="40"/>
      <c r="E36" s="21">
        <f>'[9]3 Rentenetto alt.'!$J$14*1000000+E31</f>
        <v>53929572000</v>
      </c>
      <c r="F36" s="40"/>
      <c r="G36" s="21">
        <f>'[9]3 Rentenetto alt.'!$I$14*1000000+G31</f>
        <v>53454675000</v>
      </c>
      <c r="H36" s="40"/>
      <c r="I36" s="21">
        <f>'[9]3 Rentenetto alt.'!$H$14*1000000+I31</f>
        <v>52992455000</v>
      </c>
      <c r="J36" s="40"/>
      <c r="K36" s="21">
        <f>'[9]3 Rentenetto alt.'!$G$14*1000000+K31</f>
        <v>52978322373.666664</v>
      </c>
      <c r="L36" s="40"/>
      <c r="M36" s="21">
        <f>'[9]3 Rentenetto alt.'!$F$14*1000000+M31</f>
        <v>51966181000</v>
      </c>
      <c r="N36" s="95"/>
    </row>
    <row r="37" spans="1:14" ht="15.75" thickBot="1" x14ac:dyDescent="0.3">
      <c r="A37" s="10" t="s">
        <v>145</v>
      </c>
      <c r="B37" s="25"/>
      <c r="C37" s="131">
        <f>(C34+C35)/C36/C18*369</f>
        <v>1.4250036450065923E-2</v>
      </c>
      <c r="D37" s="25"/>
      <c r="E37" s="131">
        <f>(E34+E35)/E36/E18*365</f>
        <v>1.3851630074322774E-2</v>
      </c>
      <c r="F37" s="25"/>
      <c r="G37" s="131">
        <f>(G34+G35)/G36/G18*365</f>
        <v>1.4829444029806949E-2</v>
      </c>
      <c r="H37" s="25"/>
      <c r="I37" s="131">
        <f>(I34+I35)/I36/I18*365</f>
        <v>1.5185872010151244E-2</v>
      </c>
      <c r="J37" s="25"/>
      <c r="K37" s="131">
        <f>(K34+K35)/K36/K18*365</f>
        <v>1.3114793468835815E-2</v>
      </c>
      <c r="L37" s="25"/>
      <c r="M37" s="131">
        <f>(M34+M35)/M36/M18*365</f>
        <v>1.5893317109533133E-2</v>
      </c>
      <c r="N37" s="95"/>
    </row>
    <row r="38" spans="1:14" x14ac:dyDescent="0.25">
      <c r="A38" s="7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5"/>
    </row>
    <row r="39" spans="1:14" x14ac:dyDescent="0.25">
      <c r="A39" s="2" t="s">
        <v>30</v>
      </c>
      <c r="B39" s="22">
        <f>C39+D39</f>
        <v>351821301.2085163</v>
      </c>
      <c r="C39" s="22">
        <f>[1]Kvartalsregnskapene!$B$24*1000000</f>
        <v>197510110.42851627</v>
      </c>
      <c r="D39" s="22">
        <f>E39</f>
        <v>154311190.78000003</v>
      </c>
      <c r="E39" s="22">
        <f>[1]Kvartalsregnskapene!$C$24*1000000</f>
        <v>154311190.78000003</v>
      </c>
      <c r="F39" s="22">
        <f>G39+H39</f>
        <v>599076849.29999995</v>
      </c>
      <c r="G39" s="22">
        <f>[1]Kvartalsregnskapene!$D$24*1000000</f>
        <v>169608904.10999995</v>
      </c>
      <c r="H39" s="22">
        <f>I39+J39</f>
        <v>429467945.19000006</v>
      </c>
      <c r="I39" s="22">
        <f>[1]Kvartalsregnskapene!$E$24*1000000</f>
        <v>136356335.67999998</v>
      </c>
      <c r="J39" s="22">
        <f>K39+L39</f>
        <v>293111609.51000005</v>
      </c>
      <c r="K39" s="22">
        <f>[1]Kvartalsregnskapene!$F$24*1000000</f>
        <v>139590843.37</v>
      </c>
      <c r="L39" s="22">
        <f>M39</f>
        <v>153520766.14000005</v>
      </c>
      <c r="M39" s="22">
        <f>[1]Kvartalsregnskapene!$G$24*1000000</f>
        <v>153520766.14000005</v>
      </c>
      <c r="N39" s="84"/>
    </row>
    <row r="40" spans="1:14" x14ac:dyDescent="0.25">
      <c r="A40" s="4" t="s">
        <v>42</v>
      </c>
      <c r="B40" s="21">
        <f>C40+D40</f>
        <v>881635874.5522933</v>
      </c>
      <c r="C40" s="21">
        <f>'[1]Res IFRS'!$R$19*1000000</f>
        <v>565096657.33229327</v>
      </c>
      <c r="D40" s="21">
        <f>E40</f>
        <v>316539217.21999997</v>
      </c>
      <c r="E40" s="21">
        <f>[1]Kvartalsregnskapene!$C$20*1000000</f>
        <v>316539217.21999997</v>
      </c>
      <c r="F40" s="21">
        <f>G40+H40</f>
        <v>1259786373.4000001</v>
      </c>
      <c r="G40" s="21">
        <f>[1]Kvartalsregnskapene!$D$20*1000000</f>
        <v>302373797.42999971</v>
      </c>
      <c r="H40" s="21">
        <f>I40+J40</f>
        <v>957412575.97000039</v>
      </c>
      <c r="I40" s="21">
        <f>[1]Kvartalsregnskapene!$E$20*1000000</f>
        <v>319961650.35000098</v>
      </c>
      <c r="J40" s="21">
        <f>K40+L40</f>
        <v>637450925.61999941</v>
      </c>
      <c r="K40" s="21">
        <f>[1]Kvartalsregnskapene!$F$20*1000000</f>
        <v>340924808.69999945</v>
      </c>
      <c r="L40" s="21">
        <f>M40</f>
        <v>296526116.92000002</v>
      </c>
      <c r="M40" s="21">
        <f>[1]Kvartalsregnskapene!$G$20*1000000</f>
        <v>296526116.92000002</v>
      </c>
      <c r="N40" s="84"/>
    </row>
    <row r="41" spans="1:14" s="1" customFormat="1" ht="15.75" thickBot="1" x14ac:dyDescent="0.3">
      <c r="A41" s="63" t="s">
        <v>46</v>
      </c>
      <c r="B41" s="16">
        <f t="shared" ref="B41:G41" si="24">B39/B40</f>
        <v>0.39905511035060359</v>
      </c>
      <c r="C41" s="16">
        <f t="shared" si="24"/>
        <v>0.34951562332879732</v>
      </c>
      <c r="D41" s="16">
        <f t="shared" si="24"/>
        <v>0.48749470013616419</v>
      </c>
      <c r="E41" s="16">
        <f t="shared" si="24"/>
        <v>0.48749470013616419</v>
      </c>
      <c r="F41" s="16">
        <f t="shared" si="24"/>
        <v>0.47553844203217505</v>
      </c>
      <c r="G41" s="16">
        <f t="shared" si="24"/>
        <v>0.56092460904872166</v>
      </c>
      <c r="H41" s="16">
        <f t="shared" ref="H41:I41" si="25">H39/H40</f>
        <v>0.44857144763832413</v>
      </c>
      <c r="I41" s="16">
        <f t="shared" si="25"/>
        <v>0.42616462170026298</v>
      </c>
      <c r="J41" s="16">
        <f t="shared" ref="J41:M41" si="26">J39/J40</f>
        <v>0.45981831342532442</v>
      </c>
      <c r="K41" s="16">
        <f t="shared" si="26"/>
        <v>0.40944759609100351</v>
      </c>
      <c r="L41" s="16">
        <f t="shared" si="26"/>
        <v>0.51773101045739767</v>
      </c>
      <c r="M41" s="16">
        <f t="shared" si="26"/>
        <v>0.51773101045739767</v>
      </c>
      <c r="N41" s="13"/>
    </row>
    <row r="43" spans="1:14" x14ac:dyDescent="0.25">
      <c r="A43" s="61" t="s">
        <v>154</v>
      </c>
      <c r="B43" s="22">
        <f>'[1]Res IFRS'!$H$22*1000000</f>
        <v>267542338.75</v>
      </c>
      <c r="C43" s="22">
        <f>'[1]Res IFRS'!$F$22*1000000</f>
        <v>151082930.47</v>
      </c>
      <c r="D43" s="22">
        <f>B43-C43</f>
        <v>116459408.28</v>
      </c>
      <c r="E43" s="22">
        <f>D43</f>
        <v>116459408.28</v>
      </c>
      <c r="F43" s="22">
        <f>'[1]Res IFRS'!$D$22*1000000</f>
        <v>462634371.30000001</v>
      </c>
      <c r="G43" s="22">
        <f>'[5]Res IFRS'!$F$23*1000</f>
        <v>133539491.11000003</v>
      </c>
      <c r="H43" s="22">
        <f>F43-G43</f>
        <v>329094880.19</v>
      </c>
      <c r="I43" s="22">
        <f>H43-J43</f>
        <v>102492402.68000001</v>
      </c>
      <c r="J43" s="22">
        <f>'[1]Res IFRS'!$G$22*1000000</f>
        <v>226602477.50999999</v>
      </c>
      <c r="K43" s="22">
        <f>'[1]Res IFRS'!$E$22*1000000</f>
        <v>106008215.37</v>
      </c>
      <c r="L43" s="22">
        <f>'[4]Res IFRS'!$H$24*1000</f>
        <v>120594262.14</v>
      </c>
      <c r="M43" s="22">
        <f>L43</f>
        <v>120594262.14</v>
      </c>
    </row>
    <row r="44" spans="1:14" x14ac:dyDescent="0.25">
      <c r="A44" s="133" t="s">
        <v>155</v>
      </c>
      <c r="B44" s="21">
        <f>'[1]Res IFRS'!$H$19*1000000</f>
        <v>834953168.42000031</v>
      </c>
      <c r="C44" s="21">
        <f>'[1]Res IFRS'!$F$19*1000000</f>
        <v>577458886.20000029</v>
      </c>
      <c r="D44" s="21">
        <f>B44-C44</f>
        <v>257494282.22000003</v>
      </c>
      <c r="E44" s="21">
        <f>D44</f>
        <v>257494282.22000003</v>
      </c>
      <c r="F44" s="21">
        <f>'[1]Res IFRS'!$D$19*1000000</f>
        <v>1038909477.4000002</v>
      </c>
      <c r="G44" s="21">
        <f>'[5]Res IFRS'!$F$20*1000</f>
        <v>248226088.39999971</v>
      </c>
      <c r="H44" s="22">
        <f>F44-G44</f>
        <v>790683389.00000048</v>
      </c>
      <c r="I44" s="22">
        <f>H44-J44</f>
        <v>252917310.38000107</v>
      </c>
      <c r="J44" s="21">
        <f>'[1]Res IFRS'!$G$19*1000000</f>
        <v>537766078.61999941</v>
      </c>
      <c r="K44" s="21">
        <f>'[1]Res IFRS'!$E$19*1000000</f>
        <v>306950039.19999945</v>
      </c>
      <c r="L44" s="21">
        <f>'[4]Res IFRS'!$H$21*1000</f>
        <v>230816039.41999999</v>
      </c>
      <c r="M44" s="21">
        <f>L44</f>
        <v>230816039.41999999</v>
      </c>
    </row>
    <row r="45" spans="1:14" ht="15.75" thickBot="1" x14ac:dyDescent="0.3">
      <c r="A45" s="63" t="s">
        <v>141</v>
      </c>
      <c r="B45" s="16">
        <f t="shared" ref="B45:F45" si="27">B43/B44</f>
        <v>0.3204279579611346</v>
      </c>
      <c r="C45" s="16">
        <f t="shared" si="27"/>
        <v>0.26163409046176339</v>
      </c>
      <c r="D45" s="16">
        <f t="shared" si="27"/>
        <v>0.45227958957355985</v>
      </c>
      <c r="E45" s="16">
        <f t="shared" si="27"/>
        <v>0.45227958957355985</v>
      </c>
      <c r="F45" s="16">
        <f t="shared" si="27"/>
        <v>0.44530768210701077</v>
      </c>
      <c r="G45" s="16">
        <f>G43/G44</f>
        <v>0.53797524656155438</v>
      </c>
      <c r="H45" s="9">
        <f t="shared" ref="H45:M45" si="28">H43/H44</f>
        <v>0.41621575053728593</v>
      </c>
      <c r="I45" s="9">
        <f t="shared" si="28"/>
        <v>0.40524075843605994</v>
      </c>
      <c r="J45" s="16">
        <f t="shared" si="28"/>
        <v>0.4213774102143093</v>
      </c>
      <c r="K45" s="16">
        <f t="shared" si="28"/>
        <v>0.34535983655935693</v>
      </c>
      <c r="L45" s="16">
        <f t="shared" si="28"/>
        <v>0.52246915960880413</v>
      </c>
      <c r="M45" s="16">
        <f t="shared" si="28"/>
        <v>0.52246915960880413</v>
      </c>
    </row>
    <row r="46" spans="1:14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x14ac:dyDescent="0.25">
      <c r="A47" s="2" t="s">
        <v>106</v>
      </c>
      <c r="B47" s="68">
        <f t="shared" ref="B47:M47" si="29">B40</f>
        <v>881635874.5522933</v>
      </c>
      <c r="C47" s="68">
        <f t="shared" si="29"/>
        <v>565096657.33229327</v>
      </c>
      <c r="D47" s="68">
        <f t="shared" si="29"/>
        <v>316539217.21999997</v>
      </c>
      <c r="E47" s="68">
        <f t="shared" si="29"/>
        <v>316539217.21999997</v>
      </c>
      <c r="F47" s="68">
        <f t="shared" si="29"/>
        <v>1259786373.4000001</v>
      </c>
      <c r="G47" s="68">
        <f t="shared" si="29"/>
        <v>302373797.42999971</v>
      </c>
      <c r="H47" s="68">
        <f t="shared" si="29"/>
        <v>957412575.97000039</v>
      </c>
      <c r="I47" s="68">
        <f t="shared" si="29"/>
        <v>319961650.35000098</v>
      </c>
      <c r="J47" s="68">
        <f t="shared" si="29"/>
        <v>637450925.61999941</v>
      </c>
      <c r="K47" s="68">
        <f t="shared" si="29"/>
        <v>340924808.69999945</v>
      </c>
      <c r="L47" s="68">
        <f t="shared" si="29"/>
        <v>296526116.92000002</v>
      </c>
      <c r="M47" s="68">
        <f t="shared" si="29"/>
        <v>296526116.92000002</v>
      </c>
    </row>
    <row r="48" spans="1:14" x14ac:dyDescent="0.25">
      <c r="A48" s="4" t="s">
        <v>107</v>
      </c>
      <c r="B48" s="21">
        <f>C48+D48</f>
        <v>248734158.77614421</v>
      </c>
      <c r="C48" s="21">
        <f>'[1]Res IFRS'!$R$18*1000000</f>
        <v>206444894.47614422</v>
      </c>
      <c r="D48" s="21">
        <f>E48</f>
        <v>42289264.29999999</v>
      </c>
      <c r="E48" s="21">
        <f>[1]Kvartalsregnskapene!$C$19*1000000</f>
        <v>42289264.29999999</v>
      </c>
      <c r="F48" s="21">
        <f>G48+H48</f>
        <v>133817499.45000002</v>
      </c>
      <c r="G48" s="21">
        <f>[1]Kvartalsregnskapene!$D$19*1000000</f>
        <v>21935716.140000023</v>
      </c>
      <c r="H48" s="21">
        <f>I48+J48</f>
        <v>111881783.30999999</v>
      </c>
      <c r="I48" s="21">
        <f>[1]Kvartalsregnskapene!$E$19*1000000</f>
        <v>26723457.519999996</v>
      </c>
      <c r="J48" s="21">
        <f>[7]Nøkkeltall!$C$8*1000</f>
        <v>85158325.789999992</v>
      </c>
      <c r="K48" s="21">
        <f>[1]Kvartalsregnskapene!$F$19*1000000</f>
        <v>77919387.959999964</v>
      </c>
      <c r="L48" s="21">
        <f>M48</f>
        <v>7238937.8300000243</v>
      </c>
      <c r="M48" s="21">
        <f>[1]Kvartalsregnskapene!$G$19*1000000</f>
        <v>7238937.8300000243</v>
      </c>
    </row>
    <row r="49" spans="1:14" x14ac:dyDescent="0.25">
      <c r="A49" s="2" t="s">
        <v>108</v>
      </c>
      <c r="B49" s="22">
        <f t="shared" ref="B49:L49" si="30">B47-B48</f>
        <v>632901715.77614903</v>
      </c>
      <c r="C49" s="22">
        <f t="shared" si="30"/>
        <v>358651762.85614908</v>
      </c>
      <c r="D49" s="22">
        <f t="shared" si="30"/>
        <v>274249952.91999996</v>
      </c>
      <c r="E49" s="22">
        <f t="shared" si="30"/>
        <v>274249952.91999996</v>
      </c>
      <c r="F49" s="22">
        <f t="shared" si="30"/>
        <v>1125968873.95</v>
      </c>
      <c r="G49" s="22">
        <f t="shared" si="30"/>
        <v>280438081.28999966</v>
      </c>
      <c r="H49" s="22">
        <f t="shared" si="30"/>
        <v>845530792.66000044</v>
      </c>
      <c r="I49" s="22">
        <f t="shared" si="30"/>
        <v>293238192.830001</v>
      </c>
      <c r="J49" s="22">
        <f t="shared" si="30"/>
        <v>552292599.82999945</v>
      </c>
      <c r="K49" s="22">
        <f t="shared" si="30"/>
        <v>263005420.73999947</v>
      </c>
      <c r="L49" s="22">
        <f t="shared" si="30"/>
        <v>289287179.08999997</v>
      </c>
      <c r="M49" s="22">
        <f>M47-M48</f>
        <v>289287179.08999997</v>
      </c>
      <c r="N49" s="84"/>
    </row>
    <row r="50" spans="1:14" ht="18.75" customHeight="1" x14ac:dyDescent="0.25">
      <c r="A50" s="2" t="str">
        <f t="shared" ref="A50:M50" si="31">A39</f>
        <v>Sum kostnader</v>
      </c>
      <c r="B50" s="22">
        <f t="shared" si="31"/>
        <v>351821301.2085163</v>
      </c>
      <c r="C50" s="22">
        <f t="shared" si="31"/>
        <v>197510110.42851627</v>
      </c>
      <c r="D50" s="22">
        <f t="shared" si="31"/>
        <v>154311190.78000003</v>
      </c>
      <c r="E50" s="22">
        <f t="shared" si="31"/>
        <v>154311190.78000003</v>
      </c>
      <c r="F50" s="22">
        <f t="shared" si="31"/>
        <v>599076849.29999995</v>
      </c>
      <c r="G50" s="22">
        <f t="shared" si="31"/>
        <v>169608904.10999995</v>
      </c>
      <c r="H50" s="22">
        <f t="shared" si="31"/>
        <v>429467945.19000006</v>
      </c>
      <c r="I50" s="22">
        <f t="shared" si="31"/>
        <v>136356335.67999998</v>
      </c>
      <c r="J50" s="22">
        <f t="shared" si="31"/>
        <v>293111609.51000005</v>
      </c>
      <c r="K50" s="22">
        <f t="shared" si="31"/>
        <v>139590843.37</v>
      </c>
      <c r="L50" s="22">
        <f t="shared" si="31"/>
        <v>153520766.14000005</v>
      </c>
      <c r="M50" s="22">
        <f t="shared" si="31"/>
        <v>153520766.14000005</v>
      </c>
      <c r="N50" s="84"/>
    </row>
    <row r="51" spans="1:14" x14ac:dyDescent="0.25">
      <c r="A51" s="4" t="s">
        <v>109</v>
      </c>
      <c r="B51" s="22">
        <f t="shared" ref="B51:L51" si="32">B49</f>
        <v>632901715.77614903</v>
      </c>
      <c r="C51" s="22">
        <f t="shared" si="32"/>
        <v>358651762.85614908</v>
      </c>
      <c r="D51" s="22">
        <f t="shared" si="32"/>
        <v>274249952.91999996</v>
      </c>
      <c r="E51" s="22">
        <f t="shared" si="32"/>
        <v>274249952.91999996</v>
      </c>
      <c r="F51" s="22">
        <f t="shared" si="32"/>
        <v>1125968873.95</v>
      </c>
      <c r="G51" s="22">
        <f t="shared" si="32"/>
        <v>280438081.28999966</v>
      </c>
      <c r="H51" s="22">
        <f t="shared" si="32"/>
        <v>845530792.66000044</v>
      </c>
      <c r="I51" s="22">
        <f t="shared" si="32"/>
        <v>293238192.830001</v>
      </c>
      <c r="J51" s="22">
        <f t="shared" si="32"/>
        <v>552292599.82999945</v>
      </c>
      <c r="K51" s="22">
        <f t="shared" si="32"/>
        <v>263005420.73999947</v>
      </c>
      <c r="L51" s="22">
        <f t="shared" si="32"/>
        <v>289287179.08999997</v>
      </c>
      <c r="M51" s="22">
        <f>M49</f>
        <v>289287179.08999997</v>
      </c>
      <c r="N51" s="84"/>
    </row>
    <row r="52" spans="1:14" s="1" customFormat="1" ht="15.75" thickBot="1" x14ac:dyDescent="0.3">
      <c r="A52" s="63" t="s">
        <v>68</v>
      </c>
      <c r="B52" s="9">
        <f t="shared" ref="B52:L52" si="33">B50/B51</f>
        <v>0.55588615489383808</v>
      </c>
      <c r="C52" s="9">
        <f t="shared" si="33"/>
        <v>0.55070163005928174</v>
      </c>
      <c r="D52" s="9">
        <f t="shared" si="33"/>
        <v>0.56266624346518435</v>
      </c>
      <c r="E52" s="9">
        <f t="shared" si="33"/>
        <v>0.56266624346518435</v>
      </c>
      <c r="F52" s="9">
        <f t="shared" si="33"/>
        <v>0.53205453823815263</v>
      </c>
      <c r="G52" s="9">
        <f t="shared" si="33"/>
        <v>0.60479983078549238</v>
      </c>
      <c r="H52" s="9">
        <f t="shared" si="33"/>
        <v>0.50792703106520098</v>
      </c>
      <c r="I52" s="9">
        <f t="shared" si="33"/>
        <v>0.46500196432137286</v>
      </c>
      <c r="J52" s="9">
        <f t="shared" si="33"/>
        <v>0.53071797377010377</v>
      </c>
      <c r="K52" s="9">
        <f t="shared" si="33"/>
        <v>0.5307527235645686</v>
      </c>
      <c r="L52" s="9">
        <f t="shared" si="33"/>
        <v>0.53068638099664378</v>
      </c>
      <c r="M52" s="9">
        <f>M50/M51</f>
        <v>0.53068638099664378</v>
      </c>
      <c r="N52" s="13"/>
    </row>
    <row r="53" spans="1:14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x14ac:dyDescent="0.25">
      <c r="A54" s="2" t="s">
        <v>26</v>
      </c>
      <c r="B54" s="22">
        <f>[1]Nøkkeltall!$C$27*1000000</f>
        <v>61051000000</v>
      </c>
      <c r="C54" s="40"/>
      <c r="D54" s="22">
        <f>[6]BV!$N$8</f>
        <v>33405188000</v>
      </c>
      <c r="E54" s="40"/>
      <c r="F54" s="22">
        <f>[6]BV!$O$8</f>
        <v>32586358000</v>
      </c>
      <c r="G54" s="40"/>
      <c r="H54" s="22">
        <f>[6]BV!$P$8</f>
        <v>32585196000</v>
      </c>
      <c r="I54" s="40"/>
      <c r="J54" s="22">
        <f>[6]BV!$Q$8</f>
        <v>32179822000</v>
      </c>
      <c r="K54" s="40"/>
      <c r="L54" s="22">
        <f>[6]BV!$R$8</f>
        <v>31659677000</v>
      </c>
      <c r="M54" s="40"/>
      <c r="N54" s="22">
        <f>[7]Nøkkeltall!$G$29*1000</f>
        <v>31409938321</v>
      </c>
    </row>
    <row r="55" spans="1:14" x14ac:dyDescent="0.25">
      <c r="A55" s="64" t="s">
        <v>94</v>
      </c>
      <c r="B55" s="22">
        <f>('[1]Note 9 Utlån sektor næring'!$G$28+'[1]Note 9 Utlån sektor næring'!$G$29)*1000000</f>
        <v>25122502742.66</v>
      </c>
      <c r="C55" s="40"/>
      <c r="D55" s="22">
        <f>[6]BV!$N$9</f>
        <v>13359461000</v>
      </c>
      <c r="E55" s="40"/>
      <c r="F55" s="22">
        <f>[6]BV!$O$9</f>
        <v>13412534000</v>
      </c>
      <c r="G55" s="40"/>
      <c r="H55" s="22">
        <f>[6]BV!$P$9</f>
        <v>13396613000</v>
      </c>
      <c r="I55" s="40"/>
      <c r="J55" s="22">
        <f>[6]BV!$Q$9</f>
        <v>13421103000</v>
      </c>
      <c r="K55" s="40"/>
      <c r="L55" s="22">
        <f>[6]BV!$R$9</f>
        <v>13433652000</v>
      </c>
      <c r="M55" s="40"/>
      <c r="N55" s="22">
        <f>([7]Nøkkeltall!$G$30-[7]Nøkkeltall!$G$29)*1000</f>
        <v>12882407194.999996</v>
      </c>
    </row>
    <row r="56" spans="1:14" ht="15.75" thickBot="1" x14ac:dyDescent="0.3">
      <c r="A56" s="63" t="s">
        <v>69</v>
      </c>
      <c r="B56" s="24">
        <f>B54+B55</f>
        <v>86173502742.660004</v>
      </c>
      <c r="C56" s="25"/>
      <c r="D56" s="24">
        <f>D54+D55</f>
        <v>46764649000</v>
      </c>
      <c r="E56" s="25"/>
      <c r="F56" s="24">
        <f>F54+F55</f>
        <v>45998892000</v>
      </c>
      <c r="G56" s="25"/>
      <c r="H56" s="24">
        <f>H54+H55</f>
        <v>45981809000</v>
      </c>
      <c r="I56" s="25"/>
      <c r="J56" s="24">
        <f>J54+J55</f>
        <v>45600925000</v>
      </c>
      <c r="K56" s="25"/>
      <c r="L56" s="24">
        <f>L54+L55</f>
        <v>45093329000</v>
      </c>
      <c r="M56" s="25"/>
      <c r="N56" s="24">
        <f>N54+N55</f>
        <v>44292345516</v>
      </c>
    </row>
    <row r="57" spans="1:14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4" x14ac:dyDescent="0.25">
      <c r="A58" s="2" t="s">
        <v>25</v>
      </c>
      <c r="B58" s="22">
        <f>'[1]Bal IFRS'!$J$21*1000000</f>
        <v>46871648307.599998</v>
      </c>
      <c r="C58" s="40"/>
      <c r="D58" s="22">
        <f>[6]BV!$N$12</f>
        <v>25766368000</v>
      </c>
      <c r="E58" s="40"/>
      <c r="F58" s="22">
        <f>[6]BV!$O$12</f>
        <v>25863568000</v>
      </c>
      <c r="G58" s="40"/>
      <c r="H58" s="22">
        <f>[6]BV!$P$12</f>
        <v>25913610000</v>
      </c>
      <c r="I58" s="40"/>
      <c r="J58" s="22">
        <f>[6]BV!$Q$12</f>
        <v>25948098000</v>
      </c>
      <c r="K58" s="40"/>
      <c r="L58" s="22">
        <f>[6]BV!$R$12</f>
        <v>24478042000</v>
      </c>
      <c r="M58" s="40"/>
    </row>
    <row r="59" spans="1:14" x14ac:dyDescent="0.25">
      <c r="A59" s="70" t="s">
        <v>47</v>
      </c>
      <c r="B59" s="22">
        <f>B54</f>
        <v>61051000000</v>
      </c>
      <c r="C59" s="40"/>
      <c r="D59" s="22">
        <f>D54</f>
        <v>33405188000</v>
      </c>
      <c r="E59" s="40"/>
      <c r="F59" s="22">
        <f>F54</f>
        <v>32586358000</v>
      </c>
      <c r="G59" s="40"/>
      <c r="H59" s="22">
        <f>H54</f>
        <v>32585196000</v>
      </c>
      <c r="I59" s="40"/>
      <c r="J59" s="22">
        <f>J54</f>
        <v>32179822000</v>
      </c>
      <c r="K59" s="40"/>
      <c r="L59" s="22">
        <f>L54</f>
        <v>31659677000</v>
      </c>
      <c r="M59" s="40"/>
    </row>
    <row r="60" spans="1:14" ht="15.75" thickBot="1" x14ac:dyDescent="0.3">
      <c r="A60" s="63" t="s">
        <v>16</v>
      </c>
      <c r="B60" s="9">
        <f>B58/B59</f>
        <v>0.76774579134821708</v>
      </c>
      <c r="C60" s="15"/>
      <c r="D60" s="9">
        <f>D58/D59</f>
        <v>0.77132833379054777</v>
      </c>
      <c r="E60" s="15"/>
      <c r="F60" s="9">
        <f>F58/F59</f>
        <v>0.79369311538282372</v>
      </c>
      <c r="G60" s="15"/>
      <c r="H60" s="9">
        <f>H58/H59</f>
        <v>0.79525714683440907</v>
      </c>
      <c r="I60" s="15"/>
      <c r="J60" s="9">
        <f>J58/J59</f>
        <v>0.80634684679113511</v>
      </c>
      <c r="K60" s="15"/>
      <c r="L60" s="9">
        <f>L58/L59</f>
        <v>0.77316145707993167</v>
      </c>
      <c r="M60" s="15"/>
    </row>
    <row r="61" spans="1:14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4" x14ac:dyDescent="0.25">
      <c r="A62" s="136" t="s">
        <v>166</v>
      </c>
      <c r="B62" s="66">
        <f>B56</f>
        <v>86173502742.660004</v>
      </c>
      <c r="C62" s="67"/>
      <c r="D62" s="66">
        <f>D56</f>
        <v>46764649000</v>
      </c>
      <c r="E62" s="67"/>
      <c r="F62" s="66">
        <f>F56</f>
        <v>45998892000</v>
      </c>
      <c r="G62" s="67"/>
      <c r="H62" s="66">
        <f>H56</f>
        <v>45981809000</v>
      </c>
      <c r="I62" s="67"/>
      <c r="J62" s="66">
        <f>J56</f>
        <v>45600925000</v>
      </c>
      <c r="K62" s="67"/>
      <c r="L62" s="66">
        <f>L56</f>
        <v>45093329000</v>
      </c>
      <c r="M62" s="67"/>
    </row>
    <row r="63" spans="1:14" x14ac:dyDescent="0.25">
      <c r="A63" s="137" t="s">
        <v>159</v>
      </c>
      <c r="B63" s="18">
        <f>F56</f>
        <v>45998892000</v>
      </c>
      <c r="C63" s="23"/>
      <c r="D63" s="18">
        <f>F56</f>
        <v>45998892000</v>
      </c>
      <c r="E63" s="23"/>
      <c r="F63" s="18">
        <f>N56</f>
        <v>44292345516</v>
      </c>
      <c r="G63" s="23"/>
      <c r="H63" s="18">
        <f>N56</f>
        <v>44292345516</v>
      </c>
      <c r="I63" s="23"/>
      <c r="J63" s="18">
        <f>N56</f>
        <v>44292345516</v>
      </c>
      <c r="K63" s="23"/>
      <c r="L63" s="18">
        <f>N56</f>
        <v>44292345516</v>
      </c>
      <c r="M63" s="23"/>
    </row>
    <row r="64" spans="1:14" x14ac:dyDescent="0.25">
      <c r="A64" s="61" t="s">
        <v>146</v>
      </c>
      <c r="B64" s="69">
        <f>B62-B63</f>
        <v>40174610742.660004</v>
      </c>
      <c r="C64" s="67"/>
      <c r="D64" s="69">
        <f>D62-D63</f>
        <v>765757000</v>
      </c>
      <c r="E64" s="67"/>
      <c r="F64" s="69">
        <f>F62-F63</f>
        <v>1706546484</v>
      </c>
      <c r="G64" s="67"/>
      <c r="H64" s="69">
        <f>H62-H63</f>
        <v>1689463484</v>
      </c>
      <c r="I64" s="67"/>
      <c r="J64" s="69">
        <f>J62-J63</f>
        <v>1308579484</v>
      </c>
      <c r="K64" s="67"/>
      <c r="L64" s="69">
        <f>L62-L63</f>
        <v>800983484</v>
      </c>
      <c r="M64" s="67"/>
    </row>
    <row r="65" spans="1:13" x14ac:dyDescent="0.25">
      <c r="A65" s="138" t="s">
        <v>160</v>
      </c>
      <c r="B65" s="18">
        <f>B63</f>
        <v>45998892000</v>
      </c>
      <c r="C65" s="23"/>
      <c r="D65" s="18">
        <f>D63</f>
        <v>45998892000</v>
      </c>
      <c r="E65" s="23"/>
      <c r="F65" s="18">
        <f>F63</f>
        <v>44292345516</v>
      </c>
      <c r="G65" s="23"/>
      <c r="H65" s="18">
        <f>H63</f>
        <v>44292345516</v>
      </c>
      <c r="I65" s="23"/>
      <c r="J65" s="18">
        <f>J63</f>
        <v>44292345516</v>
      </c>
      <c r="K65" s="23"/>
      <c r="L65" s="18">
        <f>L63</f>
        <v>44292345516</v>
      </c>
      <c r="M65" s="23"/>
    </row>
    <row r="66" spans="1:13" ht="15.75" thickBot="1" x14ac:dyDescent="0.3">
      <c r="A66" s="78" t="s">
        <v>146</v>
      </c>
      <c r="B66" s="9">
        <f>B64/B65</f>
        <v>0.87338214021894278</v>
      </c>
      <c r="C66" s="15"/>
      <c r="D66" s="9">
        <f>D64/D65</f>
        <v>1.6647292286953348E-2</v>
      </c>
      <c r="E66" s="15"/>
      <c r="F66" s="9">
        <f>F64/F65</f>
        <v>3.8529151349267189E-2</v>
      </c>
      <c r="G66" s="15"/>
      <c r="H66" s="9">
        <f>H64/H65</f>
        <v>3.8143463939829161E-2</v>
      </c>
      <c r="I66" s="15"/>
      <c r="J66" s="9">
        <f>J64/J65</f>
        <v>2.9544145128356177E-2</v>
      </c>
      <c r="K66" s="15"/>
      <c r="L66" s="9">
        <f>L64/L65</f>
        <v>1.8084015977673968E-2</v>
      </c>
      <c r="M66" s="15"/>
    </row>
    <row r="67" spans="1:13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65" t="s">
        <v>167</v>
      </c>
      <c r="B68" s="66">
        <f>B56</f>
        <v>86173502742.660004</v>
      </c>
      <c r="C68" s="67"/>
      <c r="D68" s="66">
        <f>D56</f>
        <v>46764649000</v>
      </c>
      <c r="E68" s="67"/>
      <c r="F68" s="66">
        <f>F56</f>
        <v>45998892000</v>
      </c>
      <c r="G68" s="67"/>
      <c r="H68" s="66">
        <f>H56</f>
        <v>45981809000</v>
      </c>
      <c r="I68" s="67"/>
      <c r="J68" s="66">
        <f>J56</f>
        <v>45600925000</v>
      </c>
      <c r="K68" s="67"/>
      <c r="L68" s="66">
        <f>L56</f>
        <v>45093329000</v>
      </c>
      <c r="M68" s="67"/>
    </row>
    <row r="69" spans="1:13" ht="30" x14ac:dyDescent="0.25">
      <c r="A69" s="64" t="s">
        <v>93</v>
      </c>
      <c r="B69" s="18">
        <f>J68</f>
        <v>45600925000</v>
      </c>
      <c r="C69" s="23"/>
      <c r="D69" s="18">
        <f>L68</f>
        <v>45093329000</v>
      </c>
      <c r="E69" s="23"/>
      <c r="F69" s="18">
        <f>[6]BV!$S$7</f>
        <v>44292346000</v>
      </c>
      <c r="G69" s="23"/>
      <c r="H69" s="18">
        <f>[6]BV!$T$7</f>
        <v>43372939000</v>
      </c>
      <c r="I69" s="23"/>
      <c r="J69" s="18">
        <v>42868495000</v>
      </c>
      <c r="K69" s="23"/>
      <c r="L69" s="18">
        <v>41961237728.629875</v>
      </c>
      <c r="M69" s="23"/>
    </row>
    <row r="70" spans="1:13" x14ac:dyDescent="0.25">
      <c r="A70" s="2" t="s">
        <v>95</v>
      </c>
      <c r="B70" s="69">
        <f>B68-B69</f>
        <v>40572577742.660004</v>
      </c>
      <c r="C70" s="67"/>
      <c r="D70" s="69">
        <f>D68-D69</f>
        <v>1671320000</v>
      </c>
      <c r="E70" s="67"/>
      <c r="F70" s="69">
        <f>F68-F69</f>
        <v>1706546000</v>
      </c>
      <c r="G70" s="67"/>
      <c r="H70" s="69">
        <f>H68-H69</f>
        <v>2608870000</v>
      </c>
      <c r="I70" s="67"/>
      <c r="J70" s="69">
        <f>J68-J69</f>
        <v>2732430000</v>
      </c>
      <c r="K70" s="67"/>
      <c r="L70" s="69">
        <f>L68-L69</f>
        <v>3132091271.3701248</v>
      </c>
      <c r="M70" s="67"/>
    </row>
    <row r="71" spans="1:13" ht="30" x14ac:dyDescent="0.25">
      <c r="A71" s="70" t="s">
        <v>96</v>
      </c>
      <c r="B71" s="18">
        <f>B69</f>
        <v>45600925000</v>
      </c>
      <c r="C71" s="23"/>
      <c r="D71" s="18">
        <f>D69</f>
        <v>45093329000</v>
      </c>
      <c r="E71" s="23"/>
      <c r="F71" s="18">
        <f>F69</f>
        <v>44292346000</v>
      </c>
      <c r="G71" s="23"/>
      <c r="H71" s="18">
        <f>H69</f>
        <v>43372939000</v>
      </c>
      <c r="I71" s="23"/>
      <c r="J71" s="18">
        <f>J69</f>
        <v>42868495000</v>
      </c>
      <c r="K71" s="23"/>
      <c r="L71" s="18">
        <f>L69</f>
        <v>41961237728.629875</v>
      </c>
      <c r="M71" s="23"/>
    </row>
    <row r="72" spans="1:13" ht="15.75" thickBot="1" x14ac:dyDescent="0.3">
      <c r="A72" s="78" t="s">
        <v>97</v>
      </c>
      <c r="B72" s="9">
        <f>B70/B71</f>
        <v>0.8897314636196525</v>
      </c>
      <c r="C72" s="15"/>
      <c r="D72" s="9">
        <f>D70/D71</f>
        <v>3.706357541267357E-2</v>
      </c>
      <c r="E72" s="15"/>
      <c r="F72" s="9">
        <f>F70/F71</f>
        <v>3.8529140000847999E-2</v>
      </c>
      <c r="G72" s="15"/>
      <c r="H72" s="9">
        <f>H70/H71</f>
        <v>6.0149716854557632E-2</v>
      </c>
      <c r="I72" s="15"/>
      <c r="J72" s="9">
        <f>J70/J71</f>
        <v>6.3739816384969894E-2</v>
      </c>
      <c r="K72" s="15"/>
      <c r="L72" s="9">
        <f>L70/L71</f>
        <v>7.4642490091113775E-2</v>
      </c>
      <c r="M72" s="15"/>
    </row>
    <row r="73" spans="1:13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139" t="s">
        <v>172</v>
      </c>
      <c r="B74" s="27">
        <f>('[1]Note 9 Utlån sektor næring'!$G$9+'[1]Note 9 Utlån sektor næring'!$G$28)*1000000</f>
        <v>66673659974.759995</v>
      </c>
      <c r="C74" s="71"/>
      <c r="D74" s="27">
        <f>('[2]Note 2 til 8'!$G$200+'[2]Note 2 til 8'!$G$218)*1000</f>
        <v>37906048073</v>
      </c>
      <c r="E74" s="71"/>
      <c r="F74" s="27">
        <f>('[1]Note 9 Utlån sektor næring'!$I$9+'[1]Note 9 Utlån sektor næring'!$I$28)*1000000</f>
        <v>37627006676.000008</v>
      </c>
      <c r="G74" s="71"/>
      <c r="H74" s="27">
        <f>('[3]Note 2 til 8'!$G$198+'[3]Note 2 til 8'!$G$216)*1000</f>
        <v>37615796869</v>
      </c>
      <c r="I74" s="71"/>
      <c r="J74" s="27">
        <f>('[1]Note 9 Utlån sektor næring'!$H$9+'[1]Note 9 Utlån sektor næring'!$H$28)*1000000</f>
        <v>37254908884</v>
      </c>
      <c r="K74" s="71"/>
      <c r="L74" s="75">
        <f>('[2]Note 2 til 8'!$H$200+'[2]Note 2 til 8'!$H$218)*1000</f>
        <v>36713056160</v>
      </c>
      <c r="M74" s="71"/>
    </row>
    <row r="75" spans="1:13" x14ac:dyDescent="0.25">
      <c r="A75" s="138" t="s">
        <v>152</v>
      </c>
      <c r="B75" s="21">
        <f>B68</f>
        <v>86173502742.660004</v>
      </c>
      <c r="C75" s="14"/>
      <c r="D75" s="21">
        <f>D68</f>
        <v>46764649000</v>
      </c>
      <c r="E75" s="14"/>
      <c r="F75" s="21">
        <f>F68</f>
        <v>45998892000</v>
      </c>
      <c r="G75" s="14"/>
      <c r="H75" s="21">
        <f>H68</f>
        <v>45981809000</v>
      </c>
      <c r="I75" s="14"/>
      <c r="J75" s="21">
        <f>J68</f>
        <v>45600925000</v>
      </c>
      <c r="K75" s="14"/>
      <c r="L75" s="21">
        <f>L68</f>
        <v>45093329000</v>
      </c>
      <c r="M75" s="14"/>
    </row>
    <row r="76" spans="1:13" ht="15.75" thickBot="1" x14ac:dyDescent="0.3">
      <c r="A76" s="78" t="s">
        <v>153</v>
      </c>
      <c r="B76" s="132">
        <f>B74/B75</f>
        <v>0.77371416796027892</v>
      </c>
      <c r="C76" s="15"/>
      <c r="D76" s="132">
        <f>D74/D75</f>
        <v>0.81057056737451405</v>
      </c>
      <c r="E76" s="15"/>
      <c r="F76" s="132">
        <f>F74/F75</f>
        <v>0.81799810908488857</v>
      </c>
      <c r="G76" s="15"/>
      <c r="H76" s="132">
        <f>H74/H75</f>
        <v>0.81805822100213588</v>
      </c>
      <c r="I76" s="15"/>
      <c r="J76" s="132">
        <f>J74/J75</f>
        <v>0.81697704342620248</v>
      </c>
      <c r="K76" s="15"/>
      <c r="L76" s="132">
        <f>L74/L75</f>
        <v>0.81415714861060717</v>
      </c>
      <c r="M76" s="15"/>
    </row>
    <row r="77" spans="1:13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2" t="s">
        <v>164</v>
      </c>
      <c r="B78" s="66">
        <f>B58</f>
        <v>46871648307.599998</v>
      </c>
      <c r="C78" s="71"/>
      <c r="D78" s="66">
        <f>D58</f>
        <v>25766368000</v>
      </c>
      <c r="E78" s="71"/>
      <c r="F78" s="66">
        <f>F58</f>
        <v>25863568000</v>
      </c>
      <c r="G78" s="71"/>
      <c r="H78" s="66">
        <f>H58</f>
        <v>25913610000</v>
      </c>
      <c r="I78" s="71"/>
      <c r="J78" s="66">
        <f>J58</f>
        <v>25948098000</v>
      </c>
      <c r="K78" s="71"/>
      <c r="L78" s="66">
        <f>L58</f>
        <v>24478042000</v>
      </c>
      <c r="M78" s="71"/>
    </row>
    <row r="79" spans="1:13" x14ac:dyDescent="0.25">
      <c r="A79" s="2" t="s">
        <v>48</v>
      </c>
      <c r="B79" s="18">
        <f>J58</f>
        <v>25948098000</v>
      </c>
      <c r="C79" s="14"/>
      <c r="D79" s="18">
        <f>L78</f>
        <v>24478042000</v>
      </c>
      <c r="E79" s="14"/>
      <c r="F79" s="18">
        <v>24443290000</v>
      </c>
      <c r="G79" s="14"/>
      <c r="H79" s="18">
        <v>24480954000</v>
      </c>
      <c r="I79" s="14"/>
      <c r="J79" s="18">
        <v>24689448841.381145</v>
      </c>
      <c r="K79" s="14"/>
      <c r="L79" s="18">
        <v>23697672428.459991</v>
      </c>
      <c r="M79" s="14"/>
    </row>
    <row r="80" spans="1:13" x14ac:dyDescent="0.25">
      <c r="A80" s="72" t="s">
        <v>28</v>
      </c>
      <c r="B80" s="66">
        <f>B78-B79</f>
        <v>20923550307.599998</v>
      </c>
      <c r="C80" s="71"/>
      <c r="D80" s="66">
        <f>D78-D79</f>
        <v>1288326000</v>
      </c>
      <c r="E80" s="71"/>
      <c r="F80" s="66">
        <f>F78-F79</f>
        <v>1420278000</v>
      </c>
      <c r="G80" s="71"/>
      <c r="H80" s="66">
        <f>H78-H79</f>
        <v>1432656000</v>
      </c>
      <c r="I80" s="71"/>
      <c r="J80" s="66">
        <f>J78-J79</f>
        <v>1258649158.6188545</v>
      </c>
      <c r="K80" s="71"/>
      <c r="L80" s="66">
        <f>L78-L79</f>
        <v>780369571.54000854</v>
      </c>
      <c r="M80" s="71"/>
    </row>
    <row r="81" spans="1:14" x14ac:dyDescent="0.25">
      <c r="A81" s="70" t="s">
        <v>49</v>
      </c>
      <c r="B81" s="18">
        <f>B79</f>
        <v>25948098000</v>
      </c>
      <c r="C81" s="14"/>
      <c r="D81" s="18">
        <f>D79</f>
        <v>24478042000</v>
      </c>
      <c r="E81" s="14"/>
      <c r="F81" s="18">
        <f>F79</f>
        <v>24443290000</v>
      </c>
      <c r="G81" s="14"/>
      <c r="H81" s="18">
        <f>H79</f>
        <v>24480954000</v>
      </c>
      <c r="I81" s="14"/>
      <c r="J81" s="18">
        <f>J79</f>
        <v>24689448841.381145</v>
      </c>
      <c r="K81" s="14"/>
      <c r="L81" s="18">
        <f>L79</f>
        <v>23697672428.459991</v>
      </c>
      <c r="M81" s="14"/>
    </row>
    <row r="82" spans="1:14" ht="15.75" thickBot="1" x14ac:dyDescent="0.3">
      <c r="A82" s="63" t="s">
        <v>27</v>
      </c>
      <c r="B82" s="9">
        <f>B80/B81</f>
        <v>0.80636161878223211</v>
      </c>
      <c r="C82" s="15"/>
      <c r="D82" s="9">
        <f>D80/D81</f>
        <v>5.2631905770894584E-2</v>
      </c>
      <c r="E82" s="15"/>
      <c r="F82" s="9">
        <f>F80/F81</f>
        <v>5.8105025960089658E-2</v>
      </c>
      <c r="G82" s="15"/>
      <c r="H82" s="9">
        <f>H80/H81</f>
        <v>5.8521248804274541E-2</v>
      </c>
      <c r="I82" s="15"/>
      <c r="J82" s="9">
        <f>J80/J81</f>
        <v>5.0979232736426072E-2</v>
      </c>
      <c r="K82" s="15"/>
      <c r="L82" s="9">
        <f>L80/L81</f>
        <v>3.2930220210269034E-2</v>
      </c>
      <c r="M82" s="15"/>
    </row>
    <row r="83" spans="1:14" s="38" customFormat="1" x14ac:dyDescent="0.25">
      <c r="A83" s="73"/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1"/>
    </row>
    <row r="84" spans="1:14" x14ac:dyDescent="0.25">
      <c r="A84" s="2" t="s">
        <v>158</v>
      </c>
      <c r="B84" s="66">
        <f>'[1]Bal IFRS'!$J$18*1000000</f>
        <v>73765356740.827698</v>
      </c>
      <c r="C84" s="74"/>
      <c r="D84" s="66">
        <f>[6]BV!$N$17</f>
        <v>40889885000</v>
      </c>
      <c r="E84" s="74"/>
      <c r="F84" s="66">
        <f>[6]BV!$O$17</f>
        <v>40455482000</v>
      </c>
      <c r="G84" s="74"/>
      <c r="H84" s="66">
        <f>[6]BV!$P$17</f>
        <v>40075739000</v>
      </c>
      <c r="I84" s="74"/>
      <c r="J84" s="66">
        <f>[6]BV!$Q$17</f>
        <v>40493970000</v>
      </c>
      <c r="K84" s="74"/>
      <c r="L84" s="66">
        <f>[6]BV!$R$17</f>
        <v>39316525000</v>
      </c>
      <c r="M84" s="74"/>
    </row>
    <row r="85" spans="1:14" x14ac:dyDescent="0.25">
      <c r="A85" s="64" t="s">
        <v>98</v>
      </c>
      <c r="B85" s="18">
        <f>B55</f>
        <v>25122502742.66</v>
      </c>
      <c r="C85" s="74"/>
      <c r="D85" s="18">
        <f>D55</f>
        <v>13359461000</v>
      </c>
      <c r="E85" s="74"/>
      <c r="F85" s="18">
        <f>F55</f>
        <v>13412534000</v>
      </c>
      <c r="G85" s="74"/>
      <c r="H85" s="18">
        <f>H55</f>
        <v>13396613000</v>
      </c>
      <c r="I85" s="74"/>
      <c r="J85" s="18">
        <f>J55</f>
        <v>13421103000</v>
      </c>
      <c r="K85" s="74"/>
      <c r="L85" s="18">
        <f>L55</f>
        <v>13433652000</v>
      </c>
      <c r="M85" s="74"/>
    </row>
    <row r="86" spans="1:14" ht="15.75" thickBot="1" x14ac:dyDescent="0.3">
      <c r="A86" s="63" t="s">
        <v>99</v>
      </c>
      <c r="B86" s="19">
        <f>B84+B85</f>
        <v>98887859483.487701</v>
      </c>
      <c r="C86" s="20"/>
      <c r="D86" s="19">
        <f>D84+D85</f>
        <v>54249346000</v>
      </c>
      <c r="E86" s="20"/>
      <c r="F86" s="19">
        <f>F84+F85</f>
        <v>53868016000</v>
      </c>
      <c r="G86" s="20"/>
      <c r="H86" s="19">
        <f>H84+H85</f>
        <v>53472352000</v>
      </c>
      <c r="I86" s="20"/>
      <c r="J86" s="19">
        <f>J84+J85</f>
        <v>53915073000</v>
      </c>
      <c r="K86" s="20"/>
      <c r="L86" s="19">
        <f>L84+L85</f>
        <v>52750177000</v>
      </c>
      <c r="M86" s="20"/>
    </row>
    <row r="87" spans="1:14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4" x14ac:dyDescent="0.25">
      <c r="A88" s="2" t="s">
        <v>29</v>
      </c>
      <c r="B88" s="75">
        <f>'[1]Res IFRS'!$P$24*1000000</f>
        <v>113010301.70999999</v>
      </c>
      <c r="C88" s="75">
        <f>B88-D88</f>
        <v>111139440.72</v>
      </c>
      <c r="D88" s="75">
        <f>[2]Nøkkeltall!$C$12*1000</f>
        <v>1870860.9899999998</v>
      </c>
      <c r="E88" s="75">
        <f>D88</f>
        <v>1870860.9899999998</v>
      </c>
      <c r="F88" s="75">
        <f>[2]Nøkkeltall!$G$12*1000</f>
        <v>30693650.700000007</v>
      </c>
      <c r="G88" s="75">
        <f>F88-H88</f>
        <v>-2567928.0500000007</v>
      </c>
      <c r="H88" s="75">
        <f>[3]Nøkkeltall!$C$12*1000</f>
        <v>33261578.750000007</v>
      </c>
      <c r="I88" s="75">
        <f>H88-J88</f>
        <v>-10631979.159999996</v>
      </c>
      <c r="J88" s="75">
        <f>[7]Nøkkeltall!$C$12*1000</f>
        <v>43893557.910000004</v>
      </c>
      <c r="K88" s="75">
        <f>J88-L88</f>
        <v>16659021.359999996</v>
      </c>
      <c r="L88" s="75">
        <f>M88</f>
        <v>27234536.550000008</v>
      </c>
      <c r="M88" s="75">
        <f>[4]Nøkkeltall!$C$12*1000</f>
        <v>27234536.550000008</v>
      </c>
      <c r="N88" s="84"/>
    </row>
    <row r="89" spans="1:14" x14ac:dyDescent="0.25">
      <c r="A89" s="70" t="s">
        <v>118</v>
      </c>
      <c r="B89" s="21">
        <f>(B54+F54)/2</f>
        <v>46818679000</v>
      </c>
      <c r="C89" s="21">
        <f>(B54+D54)/2</f>
        <v>47228094000</v>
      </c>
      <c r="D89" s="21">
        <f>(D54+F54)/2</f>
        <v>32995773000</v>
      </c>
      <c r="E89" s="21">
        <f>(D54+F54)/2</f>
        <v>32995773000</v>
      </c>
      <c r="F89" s="21">
        <f>(F54+N54)/2</f>
        <v>31998148160.5</v>
      </c>
      <c r="G89" s="21">
        <f>(F54+H54)/2</f>
        <v>32585777000</v>
      </c>
      <c r="H89" s="21">
        <f>(H54+N54)/2</f>
        <v>31997567160.5</v>
      </c>
      <c r="I89" s="21">
        <f>(H54+J54)/2</f>
        <v>32382509000</v>
      </c>
      <c r="J89" s="21">
        <f>(J54+N54)/2</f>
        <v>31794880160.5</v>
      </c>
      <c r="K89" s="21">
        <f>(J54+L54)/2</f>
        <v>31919749500</v>
      </c>
      <c r="L89" s="21">
        <f>(L54+N54)/2</f>
        <v>31534807660.5</v>
      </c>
      <c r="M89" s="21">
        <f>L89</f>
        <v>31534807660.5</v>
      </c>
      <c r="N89" s="84"/>
    </row>
    <row r="90" spans="1:14" s="1" customFormat="1" ht="15.75" thickBot="1" x14ac:dyDescent="0.3">
      <c r="A90" s="10" t="s">
        <v>0</v>
      </c>
      <c r="B90" s="17">
        <f t="shared" ref="B90:E90" si="34">B88/B89</f>
        <v>2.4137866365259897E-3</v>
      </c>
      <c r="C90" s="17">
        <f t="shared" si="34"/>
        <v>2.353248486377621E-3</v>
      </c>
      <c r="D90" s="17">
        <f t="shared" si="34"/>
        <v>5.6700020029838359E-5</v>
      </c>
      <c r="E90" s="17">
        <f t="shared" si="34"/>
        <v>5.6700020029838359E-5</v>
      </c>
      <c r="F90" s="17">
        <f t="shared" ref="F90:G90" si="35">F88/F89</f>
        <v>9.5923209512135683E-4</v>
      </c>
      <c r="G90" s="17">
        <f t="shared" si="35"/>
        <v>-7.8805180861576531E-5</v>
      </c>
      <c r="H90" s="17">
        <f t="shared" ref="H90:I90" si="36">H88/H89</f>
        <v>1.0395033654639965E-3</v>
      </c>
      <c r="I90" s="17">
        <f t="shared" si="36"/>
        <v>-3.283247496356751E-4</v>
      </c>
      <c r="J90" s="17">
        <f>J88/J89</f>
        <v>1.3805228290978324E-3</v>
      </c>
      <c r="K90" s="17">
        <f t="shared" ref="K90:M90" si="37">K88/K89</f>
        <v>5.2190326117690854E-4</v>
      </c>
      <c r="L90" s="17">
        <f t="shared" si="37"/>
        <v>8.6363414177767625E-4</v>
      </c>
      <c r="M90" s="17">
        <f t="shared" si="37"/>
        <v>8.6363414177767625E-4</v>
      </c>
      <c r="N90" s="96"/>
    </row>
    <row r="91" spans="1:14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4" x14ac:dyDescent="0.25">
      <c r="A92" s="61" t="s">
        <v>147</v>
      </c>
      <c r="B92" s="27">
        <f>'[1]Note 7 Tapsavsetning på utlån '!$I$55*1000000</f>
        <v>290966999.44867593</v>
      </c>
      <c r="C92" s="74"/>
      <c r="D92" s="27">
        <f>'[2]Note 2 til 8'!$I$69*1000</f>
        <v>153970891.46000001</v>
      </c>
      <c r="E92" s="74"/>
      <c r="F92" s="27">
        <f>'[1]Note 7 Tapsavsetning på utlån '!$I$192*1000000</f>
        <v>157072684.96000004</v>
      </c>
      <c r="G92" s="74"/>
      <c r="H92" s="27">
        <f>'[3]Note 2 til 8'!$I$69*1000</f>
        <v>167083796.66000003</v>
      </c>
      <c r="I92" s="74"/>
      <c r="J92" s="27">
        <f>'[1]Note 7 Tapsavsetning på utlån '!$I$138*1000000</f>
        <v>184779993.37000003</v>
      </c>
      <c r="K92" s="74"/>
      <c r="L92" s="27">
        <f>'[4]Note 2 til 8'!$I$69*1000</f>
        <v>174489374.79000002</v>
      </c>
      <c r="M92" s="74"/>
      <c r="N92" s="84"/>
    </row>
    <row r="93" spans="1:14" x14ac:dyDescent="0.25">
      <c r="A93" s="138" t="s">
        <v>53</v>
      </c>
      <c r="B93" s="21">
        <f>B54</f>
        <v>61051000000</v>
      </c>
      <c r="C93" s="74"/>
      <c r="D93" s="21">
        <f>D54</f>
        <v>33405188000</v>
      </c>
      <c r="E93" s="74"/>
      <c r="F93" s="21">
        <f>F54</f>
        <v>32586358000</v>
      </c>
      <c r="G93" s="74"/>
      <c r="H93" s="21">
        <f>H54</f>
        <v>32585196000</v>
      </c>
      <c r="I93" s="74"/>
      <c r="J93" s="21">
        <f>J54</f>
        <v>32179822000</v>
      </c>
      <c r="K93" s="74"/>
      <c r="L93" s="21">
        <f>L54</f>
        <v>31659677000</v>
      </c>
      <c r="M93" s="74"/>
      <c r="N93" s="77"/>
    </row>
    <row r="94" spans="1:14" ht="15.75" thickBot="1" x14ac:dyDescent="0.3">
      <c r="A94" s="76" t="s">
        <v>168</v>
      </c>
      <c r="B94" s="17">
        <f>B92/B93</f>
        <v>4.7659661504099188E-3</v>
      </c>
      <c r="C94" s="20"/>
      <c r="D94" s="17">
        <f>D92/D93</f>
        <v>4.6091909873400509E-3</v>
      </c>
      <c r="E94" s="20"/>
      <c r="F94" s="17">
        <f>F92/F93</f>
        <v>4.8201976103006061E-3</v>
      </c>
      <c r="G94" s="20"/>
      <c r="H94" s="17">
        <f>H92/H93</f>
        <v>5.1275983320769351E-3</v>
      </c>
      <c r="I94" s="20"/>
      <c r="J94" s="17">
        <f>J92/J93</f>
        <v>5.7421073792763688E-3</v>
      </c>
      <c r="K94" s="20"/>
      <c r="L94" s="17">
        <f>L92/L93</f>
        <v>5.51140729546925E-3</v>
      </c>
      <c r="M94" s="20"/>
      <c r="N94" s="96"/>
    </row>
    <row r="95" spans="1:14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4" x14ac:dyDescent="0.25">
      <c r="A96" s="61" t="s">
        <v>148</v>
      </c>
      <c r="B96" s="75">
        <f>'[1]Note 7 Tapsavsetning på utlån '!$F$53*1000000</f>
        <v>141941964.71413547</v>
      </c>
      <c r="C96" s="74"/>
      <c r="D96" s="75">
        <f>'[2]Note 2 til 8'!$F$67*1000</f>
        <v>55103167.789999984</v>
      </c>
      <c r="E96" s="74"/>
      <c r="F96" s="75">
        <f>'[1]Note 7 Tapsavsetning på utlån '!$F$190*1000000</f>
        <v>52392512.839999989</v>
      </c>
      <c r="G96" s="74"/>
      <c r="H96" s="75">
        <f>'[3]Note 2 til 8'!$F$67*1000</f>
        <v>52711025.219999999</v>
      </c>
      <c r="I96" s="74"/>
      <c r="J96" s="75">
        <f>'[1]Note 7 Tapsavsetning på utlån '!$F$136*1000000</f>
        <v>51325686.949999988</v>
      </c>
      <c r="K96" s="74"/>
      <c r="L96" s="75">
        <f>'[4]Note 2 til 8'!$F$67*1000</f>
        <v>47972987.290000007</v>
      </c>
      <c r="M96" s="74"/>
    </row>
    <row r="97" spans="1:14" x14ac:dyDescent="0.25">
      <c r="A97" s="61" t="s">
        <v>150</v>
      </c>
      <c r="B97" s="75">
        <f>'[1]Note 7 Tapsavsetning på utlån '!$G$53*1000000</f>
        <v>101010138.99853355</v>
      </c>
      <c r="C97" s="74"/>
      <c r="D97" s="75">
        <f>'[2]Note 2 til 8'!$G$67*1000</f>
        <v>44935472.530000009</v>
      </c>
      <c r="E97" s="74"/>
      <c r="F97" s="75">
        <f>'[1]Note 7 Tapsavsetning på utlån '!$G$190*1000000</f>
        <v>49970317.259999998</v>
      </c>
      <c r="G97" s="74"/>
      <c r="H97" s="75">
        <f>'[3]Note 2 til 8'!$G$67*1000</f>
        <v>46247389.910000004</v>
      </c>
      <c r="I97" s="74"/>
      <c r="J97" s="75">
        <f>'[1]Note 7 Tapsavsetning på utlån '!$G$136*1000000</f>
        <v>55993558.290000014</v>
      </c>
      <c r="K97" s="74"/>
      <c r="L97" s="75">
        <f>'[4]Note 2 til 8'!$G$67*1000</f>
        <v>48441326.840000011</v>
      </c>
      <c r="M97" s="74"/>
    </row>
    <row r="98" spans="1:14" x14ac:dyDescent="0.25">
      <c r="A98" s="61" t="s">
        <v>151</v>
      </c>
      <c r="B98" s="75">
        <f>'[1]Note 7 Tapsavsetning på utlån '!$H$53*1000000</f>
        <v>72260965.73600693</v>
      </c>
      <c r="C98" s="74"/>
      <c r="D98" s="75">
        <f>'[2]Note 2 til 8'!$H$67*1000</f>
        <v>67465476.140000015</v>
      </c>
      <c r="E98" s="74"/>
      <c r="F98" s="75">
        <f>'[1]Note 7 Tapsavsetning på utlån '!$H$190*1000000</f>
        <v>69253716.860000029</v>
      </c>
      <c r="G98" s="74"/>
      <c r="H98" s="75">
        <f>'[3]Note 2 til 8'!$H$67*1000</f>
        <v>82179807.530000016</v>
      </c>
      <c r="I98" s="74"/>
      <c r="J98" s="75">
        <f>'[1]Note 7 Tapsavsetning på utlån '!$H$136*1000000</f>
        <v>92186791.130000025</v>
      </c>
      <c r="K98" s="74"/>
      <c r="L98" s="75">
        <f>'[4]Note 2 til 8'!$H$67*1000</f>
        <v>89538179.660000011</v>
      </c>
      <c r="M98" s="74"/>
    </row>
    <row r="99" spans="1:14" x14ac:dyDescent="0.25">
      <c r="A99" s="140" t="s">
        <v>149</v>
      </c>
      <c r="B99" s="124">
        <f t="shared" ref="B99:F99" si="38">SUM(B96:B98)</f>
        <v>315213069.44867593</v>
      </c>
      <c r="C99" s="130"/>
      <c r="D99" s="124">
        <f t="shared" si="38"/>
        <v>167504116.46000001</v>
      </c>
      <c r="E99" s="130"/>
      <c r="F99" s="124">
        <f t="shared" si="38"/>
        <v>171616546.96000004</v>
      </c>
      <c r="G99" s="130"/>
      <c r="H99" s="124">
        <f>SUM(H96:H98)</f>
        <v>181138222.66000003</v>
      </c>
      <c r="I99" s="130"/>
      <c r="J99" s="124">
        <f t="shared" ref="J99:L99" si="39">SUM(J96:J98)</f>
        <v>199506036.37000003</v>
      </c>
      <c r="K99" s="130"/>
      <c r="L99" s="124">
        <f t="shared" si="39"/>
        <v>185952493.79000002</v>
      </c>
      <c r="M99" s="130"/>
    </row>
    <row r="100" spans="1:14" x14ac:dyDescent="0.25">
      <c r="A100" s="133" t="s">
        <v>53</v>
      </c>
      <c r="B100" s="27">
        <f>B54</f>
        <v>61051000000</v>
      </c>
      <c r="C100" s="74"/>
      <c r="D100" s="27">
        <f>D54</f>
        <v>33405188000</v>
      </c>
      <c r="E100" s="74"/>
      <c r="F100" s="27">
        <f>F54</f>
        <v>32586358000</v>
      </c>
      <c r="G100" s="74"/>
      <c r="H100" s="27">
        <f>H54</f>
        <v>32585196000</v>
      </c>
      <c r="I100" s="74"/>
      <c r="J100" s="27">
        <f>J54</f>
        <v>32179822000</v>
      </c>
      <c r="K100" s="74"/>
      <c r="L100" s="27">
        <f>L54</f>
        <v>31659677000</v>
      </c>
      <c r="M100" s="74"/>
    </row>
    <row r="101" spans="1:14" ht="15.75" thickBot="1" x14ac:dyDescent="0.3">
      <c r="A101" s="76" t="s">
        <v>169</v>
      </c>
      <c r="B101" s="17">
        <f>B99/B100</f>
        <v>5.1631106689272238E-3</v>
      </c>
      <c r="C101" s="20"/>
      <c r="D101" s="17">
        <f>D99/D100</f>
        <v>5.0143144370269673E-3</v>
      </c>
      <c r="E101" s="20"/>
      <c r="F101" s="17">
        <f>F99/F100</f>
        <v>5.2665151153129799E-3</v>
      </c>
      <c r="G101" s="20"/>
      <c r="H101" s="17">
        <f>H99/H100</f>
        <v>5.5589115578743194E-3</v>
      </c>
      <c r="I101" s="20"/>
      <c r="J101" s="17">
        <f>J99/J100</f>
        <v>6.1997246712551749E-3</v>
      </c>
      <c r="K101" s="20"/>
      <c r="L101" s="17">
        <f>L99/L100</f>
        <v>5.8734804461207874E-3</v>
      </c>
      <c r="M101" s="20"/>
    </row>
    <row r="102" spans="1:14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4" x14ac:dyDescent="0.25">
      <c r="A103" s="2" t="s">
        <v>100</v>
      </c>
      <c r="B103" s="27">
        <f>'[1]Note 8 Utlån kunder pr trinn'!$G$36*1000000</f>
        <v>282394055.61497724</v>
      </c>
      <c r="C103" s="74"/>
      <c r="D103" s="27">
        <v>180395466.45000002</v>
      </c>
      <c r="E103" s="74"/>
      <c r="F103" s="27">
        <v>198392887.80000001</v>
      </c>
      <c r="G103" s="74"/>
      <c r="H103" s="27">
        <v>214564640.69000003</v>
      </c>
      <c r="I103" s="74"/>
      <c r="J103" s="27">
        <v>247448574.22</v>
      </c>
      <c r="K103" s="74"/>
      <c r="L103" s="27">
        <v>271795571.30999994</v>
      </c>
      <c r="M103" s="74"/>
      <c r="N103" s="84"/>
    </row>
    <row r="104" spans="1:14" x14ac:dyDescent="0.25">
      <c r="A104" s="4" t="s">
        <v>53</v>
      </c>
      <c r="B104" s="21">
        <f>B54</f>
        <v>61051000000</v>
      </c>
      <c r="C104" s="74"/>
      <c r="D104" s="21">
        <f>D54</f>
        <v>33405188000</v>
      </c>
      <c r="E104" s="74"/>
      <c r="F104" s="21">
        <f>F54</f>
        <v>32586358000</v>
      </c>
      <c r="G104" s="74"/>
      <c r="H104" s="21">
        <f>H54</f>
        <v>32585196000</v>
      </c>
      <c r="I104" s="74"/>
      <c r="J104" s="21">
        <f>J54</f>
        <v>32179822000</v>
      </c>
      <c r="K104" s="74"/>
      <c r="L104" s="21">
        <f>L54</f>
        <v>31659677000</v>
      </c>
      <c r="M104" s="74"/>
      <c r="N104" s="77"/>
    </row>
    <row r="105" spans="1:14" ht="15.75" thickBot="1" x14ac:dyDescent="0.3">
      <c r="A105" s="76" t="s">
        <v>72</v>
      </c>
      <c r="B105" s="17">
        <f>B103/B104</f>
        <v>4.6255434901144492E-3</v>
      </c>
      <c r="C105" s="20"/>
      <c r="D105" s="17">
        <f>D103/D104</f>
        <v>5.40022305667012E-3</v>
      </c>
      <c r="E105" s="20"/>
      <c r="F105" s="17">
        <f>F103/F104</f>
        <v>6.0882191191786459E-3</v>
      </c>
      <c r="G105" s="20"/>
      <c r="H105" s="17">
        <f>H103/H104</f>
        <v>6.5847276379740064E-3</v>
      </c>
      <c r="I105" s="20"/>
      <c r="J105" s="17">
        <f>J103/J104</f>
        <v>7.6895569596376265E-3</v>
      </c>
      <c r="K105" s="20"/>
      <c r="L105" s="17">
        <f>L103/L104</f>
        <v>8.5849129575769189E-3</v>
      </c>
      <c r="M105" s="20"/>
      <c r="N105" s="96"/>
    </row>
    <row r="106" spans="1:14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4" x14ac:dyDescent="0.25">
      <c r="A107" s="2" t="s">
        <v>29</v>
      </c>
      <c r="B107" s="75">
        <f t="shared" ref="B107:C107" si="40">B88</f>
        <v>113010301.70999999</v>
      </c>
      <c r="C107" s="75">
        <f t="shared" si="40"/>
        <v>111139440.72</v>
      </c>
      <c r="D107" s="75">
        <f>D88</f>
        <v>1870860.9899999998</v>
      </c>
      <c r="E107" s="75">
        <f t="shared" ref="E107:M107" si="41">E88</f>
        <v>1870860.9899999998</v>
      </c>
      <c r="F107" s="75">
        <f t="shared" si="41"/>
        <v>30693650.700000007</v>
      </c>
      <c r="G107" s="75">
        <f t="shared" si="41"/>
        <v>-2567928.0500000007</v>
      </c>
      <c r="H107" s="75">
        <f>H88</f>
        <v>33261578.750000007</v>
      </c>
      <c r="I107" s="75">
        <f t="shared" si="41"/>
        <v>-10631979.159999996</v>
      </c>
      <c r="J107" s="75">
        <f t="shared" si="41"/>
        <v>43893557.910000004</v>
      </c>
      <c r="K107" s="75">
        <f t="shared" si="41"/>
        <v>16659021.359999996</v>
      </c>
      <c r="L107" s="75">
        <f t="shared" si="41"/>
        <v>27234536.550000008</v>
      </c>
      <c r="M107" s="75">
        <f t="shared" si="41"/>
        <v>27234536.550000008</v>
      </c>
      <c r="N107" s="84"/>
    </row>
    <row r="108" spans="1:14" s="3" customFormat="1" x14ac:dyDescent="0.25">
      <c r="A108" s="70" t="s">
        <v>120</v>
      </c>
      <c r="B108" s="21">
        <f>(B56+F56)/2</f>
        <v>66086197371.330002</v>
      </c>
      <c r="C108" s="21">
        <f>(B56+D56)/2</f>
        <v>66469075871.330002</v>
      </c>
      <c r="D108" s="21">
        <f>(D56+F56)/2</f>
        <v>46381770500</v>
      </c>
      <c r="E108" s="21">
        <f>D108</f>
        <v>46381770500</v>
      </c>
      <c r="F108" s="21">
        <f>(F56+N56)/2</f>
        <v>45145618758</v>
      </c>
      <c r="G108" s="21">
        <f>(F56+H56)/2</f>
        <v>45990350500</v>
      </c>
      <c r="H108" s="21">
        <f>(H56+N56)/2</f>
        <v>45137077258</v>
      </c>
      <c r="I108" s="21">
        <f>(H56+J56)/2</f>
        <v>45791367000</v>
      </c>
      <c r="J108" s="21">
        <f>(J56+N56)/2</f>
        <v>44946635258</v>
      </c>
      <c r="K108" s="21">
        <f>(J56+L56)/2</f>
        <v>45347127000</v>
      </c>
      <c r="L108" s="21">
        <f>(L56+N56)/2</f>
        <v>44692837258</v>
      </c>
      <c r="M108" s="21">
        <f>L108</f>
        <v>44692837258</v>
      </c>
      <c r="N108" s="84"/>
    </row>
    <row r="109" spans="1:14" s="7" customFormat="1" ht="15.75" thickBot="1" x14ac:dyDescent="0.3">
      <c r="A109" s="10" t="s">
        <v>82</v>
      </c>
      <c r="B109" s="17">
        <f t="shared" ref="B109:C109" si="42">B107/B108</f>
        <v>1.7100439457124364E-3</v>
      </c>
      <c r="C109" s="17">
        <f t="shared" si="42"/>
        <v>1.6720473282213571E-3</v>
      </c>
      <c r="D109" s="17">
        <f>D107/D108</f>
        <v>4.0336127099762174E-5</v>
      </c>
      <c r="E109" s="17">
        <f t="shared" ref="E109:M109" si="43">E107/E108</f>
        <v>4.0336127099762174E-5</v>
      </c>
      <c r="F109" s="17">
        <f t="shared" si="43"/>
        <v>6.7988105035244326E-4</v>
      </c>
      <c r="G109" s="17">
        <f t="shared" si="43"/>
        <v>-5.5836235690354236E-5</v>
      </c>
      <c r="H109" s="17">
        <f t="shared" si="43"/>
        <v>7.3690147370152981E-4</v>
      </c>
      <c r="I109" s="17">
        <f t="shared" si="43"/>
        <v>-2.3218304795312173E-4</v>
      </c>
      <c r="J109" s="17">
        <f t="shared" si="43"/>
        <v>9.7657049650201437E-4</v>
      </c>
      <c r="K109" s="17">
        <f t="shared" si="43"/>
        <v>3.6736663295118993E-4</v>
      </c>
      <c r="L109" s="17">
        <f t="shared" si="43"/>
        <v>6.0937139418520666E-4</v>
      </c>
      <c r="M109" s="17">
        <f t="shared" si="43"/>
        <v>6.0937139418520666E-4</v>
      </c>
      <c r="N109" s="96"/>
    </row>
    <row r="110" spans="1:14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4" x14ac:dyDescent="0.25">
      <c r="A111" s="2" t="s">
        <v>100</v>
      </c>
      <c r="B111" s="27">
        <f>B103</f>
        <v>282394055.61497724</v>
      </c>
      <c r="C111" s="74"/>
      <c r="D111" s="27">
        <f>D103</f>
        <v>180395466.45000002</v>
      </c>
      <c r="E111" s="74"/>
      <c r="F111" s="27">
        <f>F103</f>
        <v>198392887.80000001</v>
      </c>
      <c r="G111" s="74"/>
      <c r="H111" s="27">
        <f>H103</f>
        <v>214564640.69000003</v>
      </c>
      <c r="I111" s="74"/>
      <c r="J111" s="27">
        <f>J103</f>
        <v>247448574.22</v>
      </c>
      <c r="K111" s="74"/>
      <c r="L111" s="27">
        <f>L103</f>
        <v>271795571.30999994</v>
      </c>
      <c r="M111" s="74"/>
      <c r="N111" s="84"/>
    </row>
    <row r="112" spans="1:14" x14ac:dyDescent="0.25">
      <c r="A112" s="4" t="s">
        <v>101</v>
      </c>
      <c r="B112" s="21">
        <f>B56</f>
        <v>86173502742.660004</v>
      </c>
      <c r="C112" s="74"/>
      <c r="D112" s="21">
        <f>D56</f>
        <v>46764649000</v>
      </c>
      <c r="E112" s="74"/>
      <c r="F112" s="21">
        <f>F56</f>
        <v>45998892000</v>
      </c>
      <c r="G112" s="74"/>
      <c r="H112" s="21">
        <f>H56</f>
        <v>45981809000</v>
      </c>
      <c r="I112" s="74"/>
      <c r="J112" s="21">
        <f>J56</f>
        <v>45600925000</v>
      </c>
      <c r="K112" s="74"/>
      <c r="L112" s="21">
        <f>L56</f>
        <v>45093329000</v>
      </c>
      <c r="M112" s="74"/>
      <c r="N112" s="77"/>
    </row>
    <row r="113" spans="1:14" ht="15.75" thickBot="1" x14ac:dyDescent="0.3">
      <c r="A113" s="76" t="s">
        <v>83</v>
      </c>
      <c r="B113" s="17">
        <f>B111/B112</f>
        <v>3.2770404663518301E-3</v>
      </c>
      <c r="C113" s="20"/>
      <c r="D113" s="17">
        <f>D111/D112</f>
        <v>3.8575178111568851E-3</v>
      </c>
      <c r="E113" s="20"/>
      <c r="F113" s="17">
        <f>F111/F112</f>
        <v>4.3129927520862898E-3</v>
      </c>
      <c r="G113" s="20"/>
      <c r="H113" s="17">
        <f>H111/H112</f>
        <v>4.6662940270575269E-3</v>
      </c>
      <c r="I113" s="20"/>
      <c r="J113" s="17">
        <f>J111/J112</f>
        <v>5.4263937457409029E-3</v>
      </c>
      <c r="K113" s="20"/>
      <c r="L113" s="17">
        <f>L111/L112</f>
        <v>6.0274008891647796E-3</v>
      </c>
      <c r="M113" s="20"/>
      <c r="N113" s="96"/>
    </row>
    <row r="114" spans="1:14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4" x14ac:dyDescent="0.25">
      <c r="A115" s="2" t="s">
        <v>8</v>
      </c>
      <c r="B115" s="81">
        <v>0.60273896499615209</v>
      </c>
      <c r="C115" s="81">
        <v>0.60273896499615209</v>
      </c>
      <c r="D115" s="101">
        <f>[2]Nøkkeltall!$C$68</f>
        <v>0.53586861321929946</v>
      </c>
      <c r="E115" s="101">
        <v>0.53586861321929946</v>
      </c>
      <c r="F115" s="101">
        <f>G115</f>
        <v>0.54694974522338691</v>
      </c>
      <c r="G115" s="101">
        <f>H115</f>
        <v>0.54694974522338691</v>
      </c>
      <c r="H115" s="101">
        <f>I115</f>
        <v>0.54694974522338691</v>
      </c>
      <c r="I115" s="101">
        <f>J115</f>
        <v>0.54694974522338691</v>
      </c>
      <c r="J115" s="81">
        <v>0.54694974522338691</v>
      </c>
      <c r="K115" s="101">
        <f>J115</f>
        <v>0.54694974522338691</v>
      </c>
      <c r="L115" s="101">
        <v>0.54694974522338691</v>
      </c>
      <c r="M115" s="101">
        <v>0.54694974522338691</v>
      </c>
      <c r="N115" s="97"/>
    </row>
    <row r="116" spans="1:14" x14ac:dyDescent="0.25">
      <c r="A116" s="82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4"/>
    </row>
    <row r="117" spans="1:14" x14ac:dyDescent="0.25">
      <c r="A117" s="2" t="s">
        <v>32</v>
      </c>
      <c r="B117" s="27">
        <f>C117</f>
        <v>1777516376.9999998</v>
      </c>
      <c r="C117" s="27">
        <f>'[1]Bal IFRS'!$J$29*1000000</f>
        <v>1777516376.9999998</v>
      </c>
      <c r="D117" s="27">
        <f>'[2]Bal IFRS'!$J$29*1000</f>
        <v>946519482.00000012</v>
      </c>
      <c r="E117" s="27">
        <f>D117</f>
        <v>946519482.00000012</v>
      </c>
      <c r="F117" s="27">
        <f>'[5]Bal IFRS'!$J$29*1000</f>
        <v>946519482.00000012</v>
      </c>
      <c r="G117" s="27">
        <f>F117</f>
        <v>946519482.00000012</v>
      </c>
      <c r="H117" s="27">
        <f>'[3]Bal IFRS'!$J$29*1000</f>
        <v>946519482.00000012</v>
      </c>
      <c r="I117" s="27">
        <f>H117</f>
        <v>946519482.00000012</v>
      </c>
      <c r="J117" s="27">
        <f>'[7]Bal IFRS'!$J$29*1000</f>
        <v>946500537</v>
      </c>
      <c r="K117" s="27">
        <f>J117</f>
        <v>946500537</v>
      </c>
      <c r="L117" s="27">
        <f>'[4]Bal IFRS'!$J$29*1000</f>
        <v>946500537</v>
      </c>
      <c r="M117" s="27">
        <f>L117</f>
        <v>946500537</v>
      </c>
      <c r="N117" s="84"/>
    </row>
    <row r="118" spans="1:14" x14ac:dyDescent="0.25">
      <c r="A118" s="2" t="s">
        <v>33</v>
      </c>
      <c r="B118" s="27">
        <f>C118</f>
        <v>2777366609.6300001</v>
      </c>
      <c r="C118" s="27">
        <f>'[1]Bal IFRS'!$J$30*1000000</f>
        <v>2777366609.6300001</v>
      </c>
      <c r="D118" s="27">
        <f>'[2]Bal IFRS'!$J$30*1000</f>
        <v>1026427012.8200001</v>
      </c>
      <c r="E118" s="27">
        <f>D118</f>
        <v>1026427012.8200001</v>
      </c>
      <c r="F118" s="27">
        <f>'[5]Bal IFRS'!$J$30*1000</f>
        <v>1026427012.8200001</v>
      </c>
      <c r="G118" s="27">
        <f>F118</f>
        <v>1026427012.8200001</v>
      </c>
      <c r="H118" s="27">
        <f>'[3]Bal IFRS'!$J$30*1000</f>
        <v>1026427012.8200001</v>
      </c>
      <c r="I118" s="27">
        <f>H118</f>
        <v>1026427012.8200001</v>
      </c>
      <c r="J118" s="27">
        <f>'[7]Bal IFRS'!$J$30*1000</f>
        <v>1026427012.8200001</v>
      </c>
      <c r="K118" s="27">
        <f>J118</f>
        <v>1026427012.8200001</v>
      </c>
      <c r="L118" s="27">
        <f>'[4]Bal IFRS'!$J$30*1000</f>
        <v>1026427012.8200001</v>
      </c>
      <c r="M118" s="27">
        <f>L118</f>
        <v>1026427012.8200001</v>
      </c>
      <c r="N118" s="84"/>
    </row>
    <row r="119" spans="1:14" x14ac:dyDescent="0.25">
      <c r="A119" s="2" t="s">
        <v>123</v>
      </c>
      <c r="B119" s="27">
        <f>C119</f>
        <v>645065744.89999998</v>
      </c>
      <c r="C119" s="27">
        <f>'[1]Bal IFRS'!$J$31*1000000</f>
        <v>645065744.89999998</v>
      </c>
      <c r="D119" s="27">
        <f>'[2]Bal IFRS'!$J$31*1000+119892571</f>
        <v>764958315.9000001</v>
      </c>
      <c r="E119" s="27">
        <f>D119</f>
        <v>764958315.9000001</v>
      </c>
      <c r="F119" s="27">
        <f>'[5]Bal IFRS'!$J$31*1000</f>
        <v>536885411.88999999</v>
      </c>
      <c r="G119" s="27">
        <f>F119</f>
        <v>536885411.88999999</v>
      </c>
      <c r="H119" s="27">
        <f>'[3]Bal IFRS'!$J$31*1000</f>
        <v>536885411.88999999</v>
      </c>
      <c r="I119" s="27">
        <f>H119</f>
        <v>536885411.88999999</v>
      </c>
      <c r="J119" s="27">
        <f>'[7]Bal IFRS'!$J$31*1000</f>
        <v>536885411.88999999</v>
      </c>
      <c r="K119" s="27">
        <f>J119</f>
        <v>536885411.88999999</v>
      </c>
      <c r="L119" s="27">
        <f>'[4]Bal IFRS'!$J$31*1000</f>
        <v>536885411.88999999</v>
      </c>
      <c r="M119" s="27">
        <f>L119</f>
        <v>536885411.88999999</v>
      </c>
      <c r="N119" s="84"/>
    </row>
    <row r="120" spans="1:14" x14ac:dyDescent="0.25">
      <c r="A120" s="2" t="s">
        <v>125</v>
      </c>
      <c r="B120" s="108">
        <f>'[1]Bal IFRS'!$J$36*1000000*B115</f>
        <v>155685044.82692698</v>
      </c>
      <c r="C120" s="108">
        <f>B120</f>
        <v>155685044.82692698</v>
      </c>
      <c r="D120" s="108">
        <f>('[2]Bal IFRS'!$J$36*1000-119892571)*D115</f>
        <v>138188754.59257483</v>
      </c>
      <c r="E120" s="108">
        <f>D120</f>
        <v>138188754.59257483</v>
      </c>
      <c r="F120" s="108">
        <f>'[5]Bal IFRS'!$J$36*1000*F115</f>
        <v>95090387.282255501</v>
      </c>
      <c r="G120" s="108">
        <f>F120</f>
        <v>95090387.282255501</v>
      </c>
      <c r="H120" s="108">
        <f>'[3]Bal IFRS'!$J$36*1000*H115</f>
        <v>94775998.134774953</v>
      </c>
      <c r="I120" s="108">
        <f>H120</f>
        <v>94775998.134774953</v>
      </c>
      <c r="J120" s="108">
        <f>'[7]Bal IFRS'!$J$36*1000*J115</f>
        <v>96255265.349076718</v>
      </c>
      <c r="K120" s="108">
        <f>J120</f>
        <v>96255265.349076718</v>
      </c>
      <c r="L120" s="108">
        <f>'[4]Bal IFRS'!$J$36*1000*L115</f>
        <v>96102107.753976151</v>
      </c>
      <c r="M120" s="108">
        <f>L120</f>
        <v>96102107.753976151</v>
      </c>
      <c r="N120" s="84"/>
    </row>
    <row r="121" spans="1:14" x14ac:dyDescent="0.25">
      <c r="A121" s="72" t="s">
        <v>34</v>
      </c>
      <c r="B121" s="77">
        <f t="shared" ref="B121:J121" si="44">SUM(B117:B120)</f>
        <v>5355633776.3569269</v>
      </c>
      <c r="C121" s="77">
        <f t="shared" si="44"/>
        <v>5355633776.3569269</v>
      </c>
      <c r="D121" s="77">
        <f>SUM(D117:D120)</f>
        <v>2876093565.3125753</v>
      </c>
      <c r="E121" s="77">
        <f t="shared" si="44"/>
        <v>2876093565.3125753</v>
      </c>
      <c r="F121" s="77">
        <f t="shared" si="44"/>
        <v>2604922293.9922557</v>
      </c>
      <c r="G121" s="77">
        <f t="shared" si="44"/>
        <v>2604922293.9922557</v>
      </c>
      <c r="H121" s="77">
        <f t="shared" si="44"/>
        <v>2604607904.8447752</v>
      </c>
      <c r="I121" s="77">
        <f t="shared" si="44"/>
        <v>2604607904.8447752</v>
      </c>
      <c r="J121" s="107">
        <f t="shared" si="44"/>
        <v>2606068227.0590768</v>
      </c>
      <c r="K121" s="77">
        <f>SUM(K117:K120)</f>
        <v>2606068227.0590768</v>
      </c>
      <c r="L121" s="77">
        <f>SUM(L117:L120)</f>
        <v>2605915069.4639764</v>
      </c>
      <c r="M121" s="77">
        <f t="shared" ref="M121" si="45">SUM(M117:M120)</f>
        <v>2605915069.4639764</v>
      </c>
      <c r="N121" s="84"/>
    </row>
    <row r="122" spans="1:14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84"/>
    </row>
    <row r="123" spans="1:14" x14ac:dyDescent="0.25">
      <c r="A123" s="2" t="s">
        <v>2</v>
      </c>
      <c r="B123" s="35">
        <f t="shared" ref="B123:M123" si="46">+B6</f>
        <v>370538625.65377694</v>
      </c>
      <c r="C123" s="35">
        <f t="shared" si="46"/>
        <v>241490352.40377703</v>
      </c>
      <c r="D123" s="35">
        <f t="shared" si="46"/>
        <v>129048273.24999991</v>
      </c>
      <c r="E123" s="35">
        <f t="shared" si="46"/>
        <v>129048273.24999991</v>
      </c>
      <c r="F123" s="35">
        <f t="shared" si="46"/>
        <v>495787904.40000051</v>
      </c>
      <c r="G123" s="35">
        <f t="shared" si="46"/>
        <v>108254144.33000004</v>
      </c>
      <c r="H123" s="35">
        <f t="shared" si="46"/>
        <v>387533760.07000047</v>
      </c>
      <c r="I123" s="35">
        <f t="shared" si="46"/>
        <v>150204090.53000104</v>
      </c>
      <c r="J123" s="35">
        <f t="shared" si="46"/>
        <v>237329669.53999943</v>
      </c>
      <c r="K123" s="35">
        <f t="shared" si="46"/>
        <v>146671891.58999947</v>
      </c>
      <c r="L123" s="35">
        <f t="shared" si="46"/>
        <v>90657777.949999973</v>
      </c>
      <c r="M123" s="35">
        <f t="shared" si="46"/>
        <v>90657777.949999973</v>
      </c>
    </row>
    <row r="124" spans="1:14" x14ac:dyDescent="0.25">
      <c r="A124" s="2" t="s">
        <v>122</v>
      </c>
      <c r="B124" s="35">
        <f>'[1]Res IFRS'!$P$40*1000000</f>
        <v>1842505.4934</v>
      </c>
      <c r="C124" s="35">
        <f>B124-D124</f>
        <v>1641104.4934</v>
      </c>
      <c r="D124" s="35">
        <f>'[2]Res IFRS'!$P$32*1000</f>
        <v>201401</v>
      </c>
      <c r="E124" s="35">
        <f>D124</f>
        <v>201401</v>
      </c>
      <c r="F124" s="35">
        <f>'[2]Res IFRS'!$T$32*1000</f>
        <v>1359957</v>
      </c>
      <c r="G124" s="35">
        <f>F124-H124</f>
        <v>53348</v>
      </c>
      <c r="H124" s="35">
        <f>'[3]Res IFRS'!$P$32*1000</f>
        <v>1306609</v>
      </c>
      <c r="I124" s="35">
        <f>H124-J124</f>
        <v>564285</v>
      </c>
      <c r="J124" s="35">
        <f>'[7]Res IFRS'!$P$32*1000</f>
        <v>742324</v>
      </c>
      <c r="K124" s="35">
        <f>'[7]Res IFRS'!$R$32*1000</f>
        <v>880709</v>
      </c>
      <c r="L124" s="113">
        <f>'[4]Res IFRS'!$P$33*1000</f>
        <v>-138385</v>
      </c>
      <c r="M124" s="113">
        <f>L124</f>
        <v>-138385</v>
      </c>
    </row>
    <row r="125" spans="1:14" x14ac:dyDescent="0.25">
      <c r="A125" s="2" t="s">
        <v>121</v>
      </c>
      <c r="B125" s="109">
        <f>'[1]Note 21 Egenkapitalbevis '!$E$50*1000000</f>
        <v>-2733935</v>
      </c>
      <c r="C125" s="109">
        <f>B125-D125</f>
        <v>-712313</v>
      </c>
      <c r="D125" s="109">
        <f>'[2]Egenkapitalbevis side 1'!$E$36*1000</f>
        <v>-2021622</v>
      </c>
      <c r="E125" s="109">
        <f>D125</f>
        <v>-2021622</v>
      </c>
      <c r="F125" s="105">
        <f>'[5]Egenkapitalbevis side 1'!$E$36*1000</f>
        <v>6028350</v>
      </c>
      <c r="G125" s="105">
        <f>F125-H125</f>
        <v>8272169</v>
      </c>
      <c r="H125" s="109">
        <f>'[3]Egenkapitalbevis side 1'!$E$36*1000</f>
        <v>-2243819</v>
      </c>
      <c r="I125" s="109">
        <f>H125-J125</f>
        <v>-2366819</v>
      </c>
      <c r="J125" s="105">
        <f>'[7]Egenkapitalbevis side 1'!$E$36*1000</f>
        <v>123000</v>
      </c>
      <c r="K125" s="109">
        <f>J125-L125</f>
        <v>-5804456</v>
      </c>
      <c r="L125" s="109">
        <f>'[4]Egenkapitalbevis side 1'!$E$36*1000</f>
        <v>5927456</v>
      </c>
      <c r="M125" s="109">
        <f>L125</f>
        <v>5927456</v>
      </c>
    </row>
    <row r="126" spans="1:14" x14ac:dyDescent="0.25">
      <c r="A126" s="72" t="s">
        <v>50</v>
      </c>
      <c r="B126" s="77">
        <f t="shared" ref="B126:I126" si="47">+B123-B124+B125</f>
        <v>365962185.16037697</v>
      </c>
      <c r="C126" s="77">
        <f t="shared" si="47"/>
        <v>239136934.91037703</v>
      </c>
      <c r="D126" s="77">
        <f>+D123-D124+D125</f>
        <v>126825250.24999991</v>
      </c>
      <c r="E126" s="77">
        <f t="shared" si="47"/>
        <v>126825250.24999991</v>
      </c>
      <c r="F126" s="77">
        <f t="shared" si="47"/>
        <v>500456297.40000051</v>
      </c>
      <c r="G126" s="77">
        <f t="shared" si="47"/>
        <v>116472965.33000004</v>
      </c>
      <c r="H126" s="77">
        <f t="shared" si="47"/>
        <v>383983332.07000047</v>
      </c>
      <c r="I126" s="77">
        <f t="shared" si="47"/>
        <v>147272986.53000104</v>
      </c>
      <c r="J126" s="77">
        <f>+J123-J124+J125</f>
        <v>236710345.53999943</v>
      </c>
      <c r="K126" s="77">
        <f t="shared" ref="K126:M126" si="48">+K123-K124+K125</f>
        <v>139986726.58999947</v>
      </c>
      <c r="L126" s="77">
        <f t="shared" si="48"/>
        <v>96723618.949999973</v>
      </c>
      <c r="M126" s="77">
        <f t="shared" si="48"/>
        <v>96723618.949999973</v>
      </c>
    </row>
    <row r="127" spans="1:14" x14ac:dyDescent="0.25">
      <c r="A127" s="2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</row>
    <row r="128" spans="1:14" x14ac:dyDescent="0.25">
      <c r="A128" s="80" t="s">
        <v>102</v>
      </c>
      <c r="B128" s="84">
        <v>118689917</v>
      </c>
      <c r="C128" s="84">
        <v>118689917</v>
      </c>
      <c r="D128" s="84">
        <f>E128</f>
        <v>63101353</v>
      </c>
      <c r="E128" s="84">
        <f>F128</f>
        <v>63101353</v>
      </c>
      <c r="F128" s="84">
        <f t="shared" ref="F128:I128" si="49">G128</f>
        <v>63101353</v>
      </c>
      <c r="G128" s="84">
        <f t="shared" si="49"/>
        <v>63101353</v>
      </c>
      <c r="H128" s="84">
        <f t="shared" si="49"/>
        <v>63101353</v>
      </c>
      <c r="I128" s="84">
        <f t="shared" si="49"/>
        <v>63101353</v>
      </c>
      <c r="J128" s="84">
        <v>63101353</v>
      </c>
      <c r="K128" s="84">
        <f>J128</f>
        <v>63101353</v>
      </c>
      <c r="L128" s="84">
        <v>63101353</v>
      </c>
      <c r="M128" s="84">
        <v>63101353</v>
      </c>
      <c r="N128" s="84"/>
    </row>
    <row r="129" spans="1:14" x14ac:dyDescent="0.25">
      <c r="A129" s="80" t="s">
        <v>127</v>
      </c>
      <c r="B129" s="84">
        <v>72334596.833333328</v>
      </c>
      <c r="C129" s="84">
        <f>'[1]Note 21 Egenkapitalbevis '!$L$45</f>
        <v>81567895.666666657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4"/>
    </row>
    <row r="130" spans="1:14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84"/>
    </row>
    <row r="131" spans="1:14" x14ac:dyDescent="0.25">
      <c r="A131" s="2" t="s">
        <v>9</v>
      </c>
      <c r="B131" s="27">
        <f>B121</f>
        <v>5355633776.3569269</v>
      </c>
      <c r="C131" s="40"/>
      <c r="D131" s="27">
        <f>D121</f>
        <v>2876093565.3125753</v>
      </c>
      <c r="E131" s="40"/>
      <c r="F131" s="27">
        <f>F121</f>
        <v>2604922293.9922557</v>
      </c>
      <c r="G131" s="40"/>
      <c r="H131" s="27">
        <f>H121</f>
        <v>2604607904.8447752</v>
      </c>
      <c r="I131" s="40"/>
      <c r="J131" s="27">
        <f>J121</f>
        <v>2606068227.0590768</v>
      </c>
      <c r="K131" s="40"/>
      <c r="L131" s="27">
        <f>L121</f>
        <v>2605915069.4639764</v>
      </c>
      <c r="M131" s="40"/>
      <c r="N131" s="84"/>
    </row>
    <row r="132" spans="1:14" x14ac:dyDescent="0.25">
      <c r="A132" s="2" t="s">
        <v>124</v>
      </c>
      <c r="B132" s="27">
        <f>B126*B115</f>
        <v>220579668.71129578</v>
      </c>
      <c r="C132" s="40"/>
      <c r="D132" s="27">
        <f>D126*D115</f>
        <v>67961670.972658068</v>
      </c>
      <c r="E132" s="40"/>
      <c r="F132" s="27">
        <f>F126*F115</f>
        <v>273724444.35836983</v>
      </c>
      <c r="G132" s="40"/>
      <c r="H132" s="27">
        <f>H126*H115</f>
        <v>210019585.64571393</v>
      </c>
      <c r="I132" s="40"/>
      <c r="J132" s="27">
        <f>J126*J115</f>
        <v>129468663.18484257</v>
      </c>
      <c r="K132" s="40"/>
      <c r="L132" s="27">
        <f>L126*L115</f>
        <v>52902958.741786443</v>
      </c>
      <c r="M132" s="40"/>
      <c r="N132" s="84"/>
    </row>
    <row r="133" spans="1:14" x14ac:dyDescent="0.25">
      <c r="A133" s="106" t="s">
        <v>13</v>
      </c>
      <c r="B133" s="28">
        <f>B128</f>
        <v>118689917</v>
      </c>
      <c r="C133" s="79"/>
      <c r="D133" s="28">
        <f>D128</f>
        <v>63101353</v>
      </c>
      <c r="E133" s="79"/>
      <c r="F133" s="28">
        <f>F128</f>
        <v>63101353</v>
      </c>
      <c r="G133" s="79"/>
      <c r="H133" s="28">
        <f>H128</f>
        <v>63101353</v>
      </c>
      <c r="I133" s="79"/>
      <c r="J133" s="28">
        <f>J128</f>
        <v>63101353</v>
      </c>
      <c r="K133" s="79"/>
      <c r="L133" s="28">
        <f>J133</f>
        <v>63101353</v>
      </c>
      <c r="M133" s="79"/>
      <c r="N133" s="84"/>
    </row>
    <row r="134" spans="1:14" ht="15.75" thickBot="1" x14ac:dyDescent="0.3">
      <c r="A134" s="63" t="s">
        <v>73</v>
      </c>
      <c r="B134" s="11">
        <f>(B131+B132)/B133</f>
        <v>46.981357692483876</v>
      </c>
      <c r="C134" s="20"/>
      <c r="D134" s="11">
        <f>(D131+D132)/D133</f>
        <v>46.655976398560476</v>
      </c>
      <c r="E134" s="20"/>
      <c r="F134" s="11">
        <f>(F131+F132)/F133</f>
        <v>45.619413871373339</v>
      </c>
      <c r="G134" s="20"/>
      <c r="H134" s="11">
        <f>(H131+H132)/H133</f>
        <v>44.604867513545848</v>
      </c>
      <c r="I134" s="20"/>
      <c r="J134" s="11">
        <f>(J131+J132)/J133</f>
        <v>43.351477586287558</v>
      </c>
      <c r="K134" s="20"/>
      <c r="L134" s="11">
        <f>(L131+L132)/L133</f>
        <v>42.135673829462306</v>
      </c>
      <c r="M134" s="20"/>
      <c r="N134" s="98"/>
    </row>
    <row r="135" spans="1:14" x14ac:dyDescent="0.25">
      <c r="A135" s="2"/>
      <c r="B135" s="3"/>
      <c r="C135" s="3"/>
      <c r="D135" s="88"/>
      <c r="E135" s="3"/>
      <c r="F135" s="88"/>
      <c r="G135" s="3"/>
      <c r="H135" s="3"/>
      <c r="I135" s="3"/>
      <c r="J135" s="3"/>
      <c r="K135" s="3"/>
      <c r="L135" s="102">
        <f>[4]Nøkkeltall!$C$77</f>
        <v>41.866420007063823</v>
      </c>
      <c r="M135" s="3"/>
    </row>
    <row r="136" spans="1:14" ht="24" customHeight="1" x14ac:dyDescent="0.25">
      <c r="A136" s="80" t="s">
        <v>51</v>
      </c>
      <c r="B136" s="34">
        <f t="shared" ref="B136:M136" si="50">+B126*B115</f>
        <v>220579668.71129578</v>
      </c>
      <c r="C136" s="34">
        <f t="shared" si="50"/>
        <v>144137148.64023283</v>
      </c>
      <c r="D136" s="34">
        <f t="shared" si="50"/>
        <v>67961670.972658068</v>
      </c>
      <c r="E136" s="34">
        <f t="shared" si="50"/>
        <v>67961670.972658068</v>
      </c>
      <c r="F136" s="34">
        <f t="shared" si="50"/>
        <v>273724444.35836983</v>
      </c>
      <c r="G136" s="34">
        <f t="shared" si="50"/>
        <v>63704858.712655902</v>
      </c>
      <c r="H136" s="34">
        <f t="shared" si="50"/>
        <v>210019585.64571393</v>
      </c>
      <c r="I136" s="34">
        <f t="shared" si="50"/>
        <v>80550922.460871369</v>
      </c>
      <c r="J136" s="34">
        <f t="shared" si="50"/>
        <v>129468663.18484257</v>
      </c>
      <c r="K136" s="34">
        <f t="shared" si="50"/>
        <v>76565704.443056136</v>
      </c>
      <c r="L136" s="34">
        <f t="shared" si="50"/>
        <v>52902958.741786443</v>
      </c>
      <c r="M136" s="34">
        <f t="shared" si="50"/>
        <v>52902958.741786443</v>
      </c>
      <c r="N136" s="84"/>
    </row>
    <row r="137" spans="1:14" x14ac:dyDescent="0.25">
      <c r="A137" s="86" t="s">
        <v>103</v>
      </c>
      <c r="B137" s="29">
        <f>B129</f>
        <v>72334596.833333328</v>
      </c>
      <c r="C137" s="29">
        <f>C129</f>
        <v>81567895.666666657</v>
      </c>
      <c r="D137" s="29">
        <f t="shared" ref="D137:M137" si="51">D128</f>
        <v>63101353</v>
      </c>
      <c r="E137" s="29">
        <f t="shared" si="51"/>
        <v>63101353</v>
      </c>
      <c r="F137" s="29">
        <f t="shared" si="51"/>
        <v>63101353</v>
      </c>
      <c r="G137" s="29">
        <f t="shared" si="51"/>
        <v>63101353</v>
      </c>
      <c r="H137" s="29">
        <f t="shared" si="51"/>
        <v>63101353</v>
      </c>
      <c r="I137" s="29">
        <f t="shared" si="51"/>
        <v>63101353</v>
      </c>
      <c r="J137" s="29">
        <f t="shared" si="51"/>
        <v>63101353</v>
      </c>
      <c r="K137" s="29">
        <f t="shared" si="51"/>
        <v>63101353</v>
      </c>
      <c r="L137" s="29">
        <f t="shared" si="51"/>
        <v>63101353</v>
      </c>
      <c r="M137" s="29">
        <f t="shared" si="51"/>
        <v>63101353</v>
      </c>
      <c r="N137" s="99"/>
    </row>
    <row r="138" spans="1:14" s="6" customFormat="1" ht="15.75" thickBot="1" x14ac:dyDescent="0.3">
      <c r="A138" s="10" t="s">
        <v>74</v>
      </c>
      <c r="B138" s="12">
        <f t="shared" ref="B138:C138" si="52">B136/B137</f>
        <v>3.0494352407815999</v>
      </c>
      <c r="C138" s="12">
        <f t="shared" si="52"/>
        <v>1.7670818581523806</v>
      </c>
      <c r="D138" s="12">
        <f t="shared" ref="D138:F138" si="53">D136/D137</f>
        <v>1.0770239898446878</v>
      </c>
      <c r="E138" s="12">
        <f t="shared" si="53"/>
        <v>1.0770239898446878</v>
      </c>
      <c r="F138" s="12">
        <f t="shared" si="53"/>
        <v>4.3378538073243824</v>
      </c>
      <c r="G138" s="12">
        <f>G136/G137</f>
        <v>1.0095640692942971</v>
      </c>
      <c r="H138" s="12">
        <f t="shared" ref="H138" si="54">H136/H137</f>
        <v>3.3282897380300853</v>
      </c>
      <c r="I138" s="12">
        <f>I136/I137</f>
        <v>1.2765324138275034</v>
      </c>
      <c r="J138" s="12">
        <f>J136/J137</f>
        <v>2.0517573242025819</v>
      </c>
      <c r="K138" s="12">
        <f>K136/K137</f>
        <v>1.2133765886613579</v>
      </c>
      <c r="L138" s="12">
        <f t="shared" ref="L138:M138" si="55">L136/L137</f>
        <v>0.83838073554122439</v>
      </c>
      <c r="M138" s="12">
        <f t="shared" si="55"/>
        <v>0.83838073554122439</v>
      </c>
      <c r="N138" s="41"/>
    </row>
    <row r="139" spans="1:14" s="3" customFormat="1" x14ac:dyDescent="0.25">
      <c r="A139" s="2"/>
      <c r="E139" s="88"/>
      <c r="H139" s="88"/>
      <c r="L139" s="102"/>
      <c r="N139" s="31"/>
    </row>
    <row r="140" spans="1:14" x14ac:dyDescent="0.25">
      <c r="A140" s="2" t="s">
        <v>52</v>
      </c>
      <c r="B140" s="89">
        <f>B144</f>
        <v>50</v>
      </c>
      <c r="C140" s="40"/>
      <c r="D140" s="89">
        <f>D144</f>
        <v>47.9</v>
      </c>
      <c r="E140" s="40"/>
      <c r="F140" s="89">
        <f>F144</f>
        <v>41.3</v>
      </c>
      <c r="G140" s="40"/>
      <c r="H140" s="89">
        <f>H144</f>
        <v>35.299999999999997</v>
      </c>
      <c r="I140" s="40"/>
      <c r="J140" s="89">
        <f>J144</f>
        <v>36.4</v>
      </c>
      <c r="K140" s="40"/>
      <c r="L140" s="89">
        <f>L144</f>
        <v>35.1</v>
      </c>
      <c r="M140" s="40"/>
      <c r="N140" s="89"/>
    </row>
    <row r="141" spans="1:14" x14ac:dyDescent="0.25">
      <c r="A141" s="4" t="s">
        <v>10</v>
      </c>
      <c r="B141" s="32">
        <f>B134</f>
        <v>46.981357692483876</v>
      </c>
      <c r="C141" s="79"/>
      <c r="D141" s="32">
        <f>D134</f>
        <v>46.655976398560476</v>
      </c>
      <c r="E141" s="79"/>
      <c r="F141" s="32">
        <f>F134</f>
        <v>45.619413871373339</v>
      </c>
      <c r="G141" s="79"/>
      <c r="H141" s="32">
        <f>H134</f>
        <v>44.604867513545848</v>
      </c>
      <c r="I141" s="79"/>
      <c r="J141" s="32">
        <f>J134</f>
        <v>43.351477586287558</v>
      </c>
      <c r="K141" s="79"/>
      <c r="L141" s="32">
        <f>L134</f>
        <v>42.135673829462306</v>
      </c>
      <c r="M141" s="79"/>
      <c r="N141" s="41"/>
    </row>
    <row r="142" spans="1:14" s="1" customFormat="1" x14ac:dyDescent="0.25">
      <c r="A142" s="90" t="s">
        <v>105</v>
      </c>
      <c r="B142" s="91">
        <f>B140/B141</f>
        <v>1.0642519172663043</v>
      </c>
      <c r="C142" s="92"/>
      <c r="D142" s="91">
        <f>D140/D141</f>
        <v>1.0266637566602916</v>
      </c>
      <c r="E142" s="92"/>
      <c r="F142" s="91">
        <f>F140/F141</f>
        <v>0.90531632248603222</v>
      </c>
      <c r="G142" s="92"/>
      <c r="H142" s="91">
        <f>H140/H141</f>
        <v>0.79139345026145191</v>
      </c>
      <c r="I142" s="92"/>
      <c r="J142" s="91">
        <f>J140/J141</f>
        <v>0.83964842784305993</v>
      </c>
      <c r="K142" s="92"/>
      <c r="L142" s="91">
        <f>L140/L141</f>
        <v>0.83302334601463557</v>
      </c>
      <c r="M142" s="92"/>
      <c r="N142" s="100"/>
    </row>
    <row r="144" spans="1:14" x14ac:dyDescent="0.25">
      <c r="A144" s="2" t="s">
        <v>52</v>
      </c>
      <c r="B144" s="110">
        <v>50</v>
      </c>
      <c r="C144" s="110">
        <v>50</v>
      </c>
      <c r="D144" s="110">
        <v>47.9</v>
      </c>
      <c r="E144" s="110">
        <v>47.9</v>
      </c>
      <c r="F144" s="87">
        <v>41.3</v>
      </c>
      <c r="G144" s="110">
        <v>41.3</v>
      </c>
      <c r="H144" s="110">
        <v>35.299999999999997</v>
      </c>
      <c r="I144" s="110">
        <v>35.299999999999997</v>
      </c>
      <c r="J144" s="110">
        <v>36.4</v>
      </c>
      <c r="K144" s="110">
        <f>J144</f>
        <v>36.4</v>
      </c>
      <c r="L144" s="110">
        <v>35.1</v>
      </c>
      <c r="M144" s="110">
        <v>35.1</v>
      </c>
    </row>
    <row r="145" spans="1:14" x14ac:dyDescent="0.25">
      <c r="A145" s="2" t="s">
        <v>12</v>
      </c>
      <c r="B145" s="111">
        <f>B138*365/B18</f>
        <v>6.1494136071010166</v>
      </c>
      <c r="C145" s="111">
        <f>C138*365/C18</f>
        <v>7.0877459145672406</v>
      </c>
      <c r="D145" s="111">
        <f>D138*365/D18</f>
        <v>4.3679306254812342</v>
      </c>
      <c r="E145" s="111">
        <f>E138*365/E18</f>
        <v>4.3679306254812342</v>
      </c>
      <c r="F145" s="41">
        <f t="shared" ref="F145:M145" si="56">F138*366/F18</f>
        <v>4.3378538073243824</v>
      </c>
      <c r="G145" s="111">
        <f t="shared" si="56"/>
        <v>4.0163092321925298</v>
      </c>
      <c r="H145" s="111">
        <f t="shared" si="56"/>
        <v>4.4458176792664643</v>
      </c>
      <c r="I145" s="111">
        <f t="shared" si="56"/>
        <v>5.0783789506615893</v>
      </c>
      <c r="J145" s="111">
        <f t="shared" si="56"/>
        <v>4.1260614321876101</v>
      </c>
      <c r="K145" s="111">
        <f t="shared" si="56"/>
        <v>4.8801739719786488</v>
      </c>
      <c r="L145" s="111">
        <f t="shared" si="56"/>
        <v>3.3719488923965728</v>
      </c>
      <c r="M145" s="111">
        <f t="shared" si="56"/>
        <v>3.3719488923965728</v>
      </c>
      <c r="N145" s="41"/>
    </row>
    <row r="146" spans="1:14" s="1" customFormat="1" ht="15.75" thickBot="1" x14ac:dyDescent="0.3">
      <c r="A146" s="10" t="s">
        <v>104</v>
      </c>
      <c r="B146" s="112">
        <f t="shared" ref="B146:E146" si="57">B144/B145</f>
        <v>8.1308565652930955</v>
      </c>
      <c r="C146" s="112">
        <f t="shared" si="57"/>
        <v>7.0544289542372614</v>
      </c>
      <c r="D146" s="112">
        <f t="shared" si="57"/>
        <v>10.966291387634538</v>
      </c>
      <c r="E146" s="112">
        <f t="shared" si="57"/>
        <v>10.966291387634538</v>
      </c>
      <c r="F146" s="33">
        <f t="shared" ref="F146:G146" si="58">F144/F145</f>
        <v>9.5208372237593029</v>
      </c>
      <c r="G146" s="112">
        <f t="shared" si="58"/>
        <v>10.283072744738346</v>
      </c>
      <c r="H146" s="112">
        <f t="shared" ref="H146" si="59">H144/H145</f>
        <v>7.9400467015607141</v>
      </c>
      <c r="I146" s="112">
        <f t="shared" ref="I146:K146" si="60">I144/I145</f>
        <v>6.9510370027430239</v>
      </c>
      <c r="J146" s="112">
        <f>J144/J145</f>
        <v>8.8219723817105073</v>
      </c>
      <c r="K146" s="112">
        <f t="shared" si="60"/>
        <v>7.4587504890203231</v>
      </c>
      <c r="L146" s="112">
        <v>10.79</v>
      </c>
      <c r="M146" s="112">
        <f>L146</f>
        <v>10.79</v>
      </c>
      <c r="N146" s="100"/>
    </row>
    <row r="155" spans="1:14" s="6" customForma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31"/>
    </row>
    <row r="170" spans="1:14" s="6" customForma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31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ignoredErrors>
    <ignoredError sqref="I4 H115 J13:J16 I14:I15 I23 J116:K116 G116 J6:J7 I19 G48 I17 F16:I16 C13 J12 F89 E108 F117:F118 H117:H118 J117:J118 L117:M118 F119:M119 J132 L120:M120 I6:I7 H12 J88 J120 J125 H8 F12:F13 H88 D120 F120:H120 H124:H125 F5:H5 H89 J89 L89:M89 D89 J108 L108 H108 G39:I40 G30 J32 C32 F32:G3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7B20-C2DC-45DB-95AF-AE71CE9D47D7}">
  <dimension ref="A1:J67"/>
  <sheetViews>
    <sheetView showGridLines="0" workbookViewId="0">
      <selection activeCell="A69" sqref="A69"/>
    </sheetView>
  </sheetViews>
  <sheetFormatPr baseColWidth="10" defaultRowHeight="15" x14ac:dyDescent="0.25"/>
  <cols>
    <col min="1" max="1" width="62.5703125" bestFit="1" customWidth="1"/>
  </cols>
  <sheetData>
    <row r="1" spans="1:10" x14ac:dyDescent="0.25">
      <c r="A1" s="59" t="s">
        <v>110</v>
      </c>
      <c r="B1" s="60" t="s">
        <v>88</v>
      </c>
      <c r="C1" s="60" t="s">
        <v>62</v>
      </c>
      <c r="D1" s="60" t="s">
        <v>61</v>
      </c>
      <c r="E1" s="60" t="s">
        <v>60</v>
      </c>
      <c r="F1" s="60" t="s">
        <v>59</v>
      </c>
      <c r="G1" s="60" t="s">
        <v>58</v>
      </c>
      <c r="H1" s="60" t="s">
        <v>128</v>
      </c>
      <c r="I1" s="60" t="s">
        <v>129</v>
      </c>
    </row>
    <row r="3" spans="1:10" x14ac:dyDescent="0.25">
      <c r="A3" s="2" t="s">
        <v>138</v>
      </c>
      <c r="B3" s="116">
        <f>'[6]Resultat siste 8 kvart SOON'!B30</f>
        <v>293.11064689335302</v>
      </c>
      <c r="C3" s="116">
        <f>'[6]Resultat siste 8 kvart SOON'!C30</f>
        <v>217.0563901494852</v>
      </c>
      <c r="D3" s="116">
        <f>'[6]Resultat siste 8 kvart SOON'!D30</f>
        <v>203.92927640876024</v>
      </c>
      <c r="E3" s="116">
        <f>'[6]Resultat siste 8 kvart SOON'!E30</f>
        <v>243.93734487132244</v>
      </c>
      <c r="F3" s="116">
        <f>'[6]Resultat siste 8 kvart SOON'!F30</f>
        <v>231.99159043623911</v>
      </c>
      <c r="G3" s="116">
        <f>'[6]Resultat siste 8 kvart SOON'!G30</f>
        <v>158.9649549771936</v>
      </c>
      <c r="H3" s="116">
        <f>'[6]Resultat siste 8 kvart SOON'!H30</f>
        <v>193.82436260062718</v>
      </c>
      <c r="I3" s="116">
        <f>'[6]Resultat siste 8 kvart SOON'!I30</f>
        <v>185.99937865917326</v>
      </c>
    </row>
    <row r="4" spans="1:10" x14ac:dyDescent="0.25">
      <c r="A4" s="4" t="s">
        <v>1</v>
      </c>
      <c r="B4" s="117">
        <f>'[6]Nøkkeltall siste 8 kvartaler'!B35*-1</f>
        <v>3.05430556</v>
      </c>
      <c r="C4" s="117">
        <f>'[6]Nøkkeltall siste 8 kvartaler'!C35*-1</f>
        <v>3.2616666699999999</v>
      </c>
      <c r="D4" s="117">
        <f>'[6]Nøkkeltall siste 8 kvartaler'!D35*-1</f>
        <v>1.1381967174999987</v>
      </c>
      <c r="E4" s="117">
        <f>'[6]Nøkkeltall siste 8 kvartaler'!E35*-1</f>
        <v>3.9491943350000014</v>
      </c>
      <c r="F4" s="117">
        <f>'[6]Nøkkeltall siste 8 kvartaler'!F35*-1</f>
        <v>3.9438336674999999</v>
      </c>
      <c r="G4" s="117">
        <f>'[6]Nøkkeltall siste 8 kvartaler'!G35*-1</f>
        <v>4.2289038300000001</v>
      </c>
      <c r="H4" s="117">
        <f>'[6]Nøkkeltall siste 8 kvartaler'!H35*-1</f>
        <v>1.4246187799999999</v>
      </c>
      <c r="I4" s="117">
        <f>'[6]Nøkkeltall siste 8 kvartaler'!I35*-1</f>
        <v>5.1739396650000007</v>
      </c>
    </row>
    <row r="5" spans="1:10" x14ac:dyDescent="0.25">
      <c r="A5" s="2" t="s">
        <v>2</v>
      </c>
      <c r="B5" s="115">
        <f>B3-B4</f>
        <v>290.05634133335303</v>
      </c>
      <c r="C5" s="115">
        <f t="shared" ref="C5:I5" si="0">C3-C4</f>
        <v>213.79472347948519</v>
      </c>
      <c r="D5" s="115">
        <f t="shared" si="0"/>
        <v>202.79107969126025</v>
      </c>
      <c r="E5" s="115">
        <f t="shared" si="0"/>
        <v>239.98815053632245</v>
      </c>
      <c r="F5" s="115">
        <f t="shared" si="0"/>
        <v>228.04775676873911</v>
      </c>
      <c r="G5" s="115">
        <f t="shared" si="0"/>
        <v>154.73605114719359</v>
      </c>
      <c r="H5" s="115">
        <f t="shared" si="0"/>
        <v>192.39974382062718</v>
      </c>
      <c r="I5" s="115">
        <f t="shared" si="0"/>
        <v>180.82543899417325</v>
      </c>
    </row>
    <row r="7" spans="1:10" x14ac:dyDescent="0.25">
      <c r="A7" s="2" t="s">
        <v>3</v>
      </c>
      <c r="B7" s="118">
        <f>'[6]Nøkkeltall siste 8 kvartaler'!B24+B8</f>
        <v>9637.107486289402</v>
      </c>
      <c r="C7" s="118">
        <f>'[6]Nøkkeltall siste 8 kvartaler'!C24+C8</f>
        <v>9441.8118004162534</v>
      </c>
      <c r="D7" s="118">
        <f>'[6]Nøkkeltall siste 8 kvartaler'!D24+D8</f>
        <v>9297.1813830863794</v>
      </c>
      <c r="E7" s="118">
        <f>'[6]Nøkkeltall siste 8 kvartaler'!E24+E8</f>
        <v>9092.2221547949648</v>
      </c>
      <c r="F7" s="118">
        <f>'[6]Nøkkeltall siste 8 kvartaler'!F24+F8</f>
        <v>8957.7058357011701</v>
      </c>
      <c r="G7" s="118">
        <f>'[6]Nøkkeltall siste 8 kvartaler'!G24+G8</f>
        <v>8624.4461315339613</v>
      </c>
      <c r="H7" s="118">
        <f>'[6]Nøkkeltall siste 8 kvartaler'!H24+H8</f>
        <v>8687.8077673688294</v>
      </c>
      <c r="I7" s="118">
        <f>'[6]Nøkkeltall siste 8 kvartaler'!I24+I8</f>
        <v>8571.6845955989465</v>
      </c>
    </row>
    <row r="8" spans="1:10" x14ac:dyDescent="0.25">
      <c r="A8" s="4" t="s">
        <v>4</v>
      </c>
      <c r="B8" s="106">
        <v>350</v>
      </c>
      <c r="C8" s="106">
        <v>350</v>
      </c>
      <c r="D8" s="106">
        <v>350</v>
      </c>
      <c r="E8" s="106">
        <v>350</v>
      </c>
      <c r="F8" s="106">
        <v>450</v>
      </c>
      <c r="G8" s="106">
        <v>350</v>
      </c>
      <c r="H8" s="106">
        <v>350</v>
      </c>
      <c r="I8" s="106">
        <f>316+100</f>
        <v>416</v>
      </c>
    </row>
    <row r="9" spans="1:10" x14ac:dyDescent="0.25">
      <c r="A9" s="2" t="s">
        <v>5</v>
      </c>
      <c r="B9" s="118">
        <f>B7-B8</f>
        <v>9287.107486289402</v>
      </c>
      <c r="C9" s="118">
        <f t="shared" ref="C9:I9" si="1">C7-C8</f>
        <v>9091.8118004162534</v>
      </c>
      <c r="D9" s="118">
        <f t="shared" si="1"/>
        <v>8947.1813830863794</v>
      </c>
      <c r="E9" s="118">
        <f t="shared" si="1"/>
        <v>8742.2221547949648</v>
      </c>
      <c r="F9" s="118">
        <f t="shared" si="1"/>
        <v>8507.7058357011701</v>
      </c>
      <c r="G9" s="118">
        <f t="shared" si="1"/>
        <v>8274.4461315339613</v>
      </c>
      <c r="H9" s="118">
        <f t="shared" si="1"/>
        <v>8337.8077673688294</v>
      </c>
      <c r="I9" s="118">
        <f t="shared" si="1"/>
        <v>8155.6845955989465</v>
      </c>
      <c r="J9" s="119">
        <f>4718.308+3249.017</f>
        <v>7967.3249999999998</v>
      </c>
    </row>
    <row r="11" spans="1:10" x14ac:dyDescent="0.25">
      <c r="A11" s="2" t="s">
        <v>6</v>
      </c>
      <c r="B11" s="119">
        <f>(B9+C9)/2</f>
        <v>9189.4596433528277</v>
      </c>
      <c r="C11" s="119">
        <f t="shared" ref="C11:H11" si="2">(C9+D9)/2</f>
        <v>9019.4965917513164</v>
      </c>
      <c r="D11" s="119">
        <f t="shared" si="2"/>
        <v>8844.7017689406712</v>
      </c>
      <c r="E11" s="119">
        <f t="shared" si="2"/>
        <v>8624.9639952480684</v>
      </c>
      <c r="F11" s="119">
        <f t="shared" si="2"/>
        <v>8391.0759836175657</v>
      </c>
      <c r="G11" s="119">
        <f t="shared" si="2"/>
        <v>8306.1269494513945</v>
      </c>
      <c r="H11" s="119">
        <f t="shared" si="2"/>
        <v>8246.746181483888</v>
      </c>
      <c r="I11" s="119">
        <f>(I9+J9)/2</f>
        <v>8061.5047977994727</v>
      </c>
    </row>
    <row r="13" spans="1:10" x14ac:dyDescent="0.25">
      <c r="A13" s="2" t="s">
        <v>31</v>
      </c>
      <c r="B13">
        <v>91</v>
      </c>
      <c r="C13">
        <v>90</v>
      </c>
      <c r="D13">
        <v>92</v>
      </c>
      <c r="E13">
        <v>92</v>
      </c>
      <c r="F13">
        <v>91</v>
      </c>
      <c r="G13">
        <v>91</v>
      </c>
      <c r="H13">
        <v>92</v>
      </c>
      <c r="I13">
        <v>92</v>
      </c>
    </row>
    <row r="14" spans="1:10" x14ac:dyDescent="0.25">
      <c r="A14" s="2"/>
    </row>
    <row r="15" spans="1:10" x14ac:dyDescent="0.25">
      <c r="A15" s="2" t="s">
        <v>24</v>
      </c>
      <c r="B15" s="119">
        <f>B5/B13*365</f>
        <v>1163.4127976557568</v>
      </c>
      <c r="C15" s="115">
        <f t="shared" ref="C15:I15" si="3">C5/C13*365</f>
        <v>867.05637855568989</v>
      </c>
      <c r="D15" s="115">
        <f>D5/D13*366</f>
        <v>806.7558170326223</v>
      </c>
      <c r="E15" s="115">
        <f>E5/E13*366</f>
        <v>954.7354684379784</v>
      </c>
      <c r="F15" s="115">
        <f t="shared" ref="F15:G15" si="4">F5/F13*366</f>
        <v>917.20306568525848</v>
      </c>
      <c r="G15" s="115">
        <f t="shared" si="4"/>
        <v>622.34499692167969</v>
      </c>
      <c r="H15" s="115">
        <f t="shared" si="3"/>
        <v>763.32507059270563</v>
      </c>
      <c r="I15" s="115">
        <f t="shared" si="3"/>
        <v>717.40527427036125</v>
      </c>
    </row>
    <row r="16" spans="1:10" x14ac:dyDescent="0.25">
      <c r="A16" s="4" t="s">
        <v>7</v>
      </c>
      <c r="B16" s="120">
        <f>B11</f>
        <v>9189.4596433528277</v>
      </c>
      <c r="C16" s="120">
        <f t="shared" ref="C16:I16" si="5">C11</f>
        <v>9019.4965917513164</v>
      </c>
      <c r="D16" s="120">
        <f t="shared" si="5"/>
        <v>8844.7017689406712</v>
      </c>
      <c r="E16" s="120">
        <f t="shared" si="5"/>
        <v>8624.9639952480684</v>
      </c>
      <c r="F16" s="120">
        <f t="shared" si="5"/>
        <v>8391.0759836175657</v>
      </c>
      <c r="G16" s="120">
        <f t="shared" si="5"/>
        <v>8306.1269494513945</v>
      </c>
      <c r="H16" s="120">
        <f t="shared" si="5"/>
        <v>8246.746181483888</v>
      </c>
      <c r="I16" s="120">
        <f t="shared" si="5"/>
        <v>8061.5047977994727</v>
      </c>
    </row>
    <row r="17" spans="1:10" ht="15.75" thickBot="1" x14ac:dyDescent="0.3">
      <c r="A17" s="10" t="s">
        <v>66</v>
      </c>
      <c r="B17" s="9">
        <f>B15/B16</f>
        <v>0.12660296065365589</v>
      </c>
      <c r="C17" s="9">
        <f t="shared" ref="C17:I17" si="6">C15/C16</f>
        <v>9.6131349431258395E-2</v>
      </c>
      <c r="D17" s="9">
        <f t="shared" si="6"/>
        <v>9.1213456158086764E-2</v>
      </c>
      <c r="E17" s="9">
        <f t="shared" si="6"/>
        <v>0.11069442944503777</v>
      </c>
      <c r="F17" s="9">
        <f t="shared" si="6"/>
        <v>0.10930696700589682</v>
      </c>
      <c r="G17" s="9">
        <f t="shared" si="6"/>
        <v>7.4926015543596347E-2</v>
      </c>
      <c r="H17" s="9">
        <f t="shared" si="6"/>
        <v>9.2560757151295747E-2</v>
      </c>
      <c r="I17" s="9">
        <f t="shared" si="6"/>
        <v>8.89914838810478E-2</v>
      </c>
    </row>
    <row r="19" spans="1:10" x14ac:dyDescent="0.25">
      <c r="A19" s="2" t="s">
        <v>158</v>
      </c>
      <c r="B19" s="118">
        <f>'[6]Nøkkeltall siste 8 kvartaler'!B21</f>
        <v>73765.356740827701</v>
      </c>
      <c r="C19" s="118">
        <f>'[6]Nøkkeltall siste 8 kvartaler'!C21</f>
        <v>70680.183312181282</v>
      </c>
      <c r="D19" s="118">
        <f>'[6]Nøkkeltall siste 8 kvartaler'!D21</f>
        <v>70154.902738719655</v>
      </c>
      <c r="E19" s="118">
        <f>'[6]Nøkkeltall siste 8 kvartaler'!E21</f>
        <v>69160.008019737143</v>
      </c>
      <c r="F19" s="118">
        <f>'[6]Nøkkeltall siste 8 kvartaler'!F21</f>
        <v>69181.356923291634</v>
      </c>
      <c r="G19" s="118">
        <f>'[6]Nøkkeltall siste 8 kvartaler'!G21</f>
        <v>66459.841018579813</v>
      </c>
      <c r="H19" s="118">
        <f>'[6]Nøkkeltall siste 8 kvartaler'!H21</f>
        <v>65074.002468564562</v>
      </c>
      <c r="I19" s="118">
        <f>'[6]Nøkkeltall siste 8 kvartaler'!I21</f>
        <v>64499.057278765162</v>
      </c>
      <c r="J19" s="119">
        <f>38847.704+25360.118</f>
        <v>64207.822</v>
      </c>
    </row>
    <row r="21" spans="1:10" x14ac:dyDescent="0.25">
      <c r="A21" s="2" t="s">
        <v>131</v>
      </c>
      <c r="B21" s="115">
        <f>'[6]Resultat siste 8 kvart SOON'!B8</f>
        <v>274.44775592088422</v>
      </c>
      <c r="C21" s="115">
        <f>'[6]Resultat siste 8 kvart SOON'!C8</f>
        <v>265.48506474264127</v>
      </c>
      <c r="D21" s="115">
        <f>'[6]Resultat siste 8 kvart SOON'!D8</f>
        <v>277.37996370388981</v>
      </c>
      <c r="E21" s="115">
        <f>'[6]Resultat siste 8 kvart SOON'!E8</f>
        <v>280.76272443807767</v>
      </c>
      <c r="F21" s="115">
        <f>'[6]Resultat siste 8 kvart SOON'!F8</f>
        <v>250.56807422081124</v>
      </c>
      <c r="G21" s="115">
        <f>'[6]Resultat siste 8 kvart SOON'!G8</f>
        <v>293.41429141967251</v>
      </c>
      <c r="H21" s="115">
        <f>'[6]Resultat siste 8 kvart SOON'!H8</f>
        <v>303.15536992647054</v>
      </c>
      <c r="I21" s="115">
        <f>'[6]Resultat siste 8 kvart SOON'!I8</f>
        <v>284.17935084179044</v>
      </c>
    </row>
    <row r="22" spans="1:10" x14ac:dyDescent="0.25">
      <c r="A22" s="4" t="s">
        <v>132</v>
      </c>
      <c r="B22" s="119">
        <f t="shared" ref="B22:I22" si="7">(B19+C19)/2</f>
        <v>72222.770026504499</v>
      </c>
      <c r="C22" s="119">
        <f t="shared" si="7"/>
        <v>70417.543025450461</v>
      </c>
      <c r="D22" s="119">
        <f t="shared" si="7"/>
        <v>69657.455379228399</v>
      </c>
      <c r="E22" s="119">
        <f t="shared" si="7"/>
        <v>69170.682471514388</v>
      </c>
      <c r="F22" s="119">
        <f t="shared" si="7"/>
        <v>67820.598970935724</v>
      </c>
      <c r="G22" s="119">
        <f t="shared" si="7"/>
        <v>65766.921743572195</v>
      </c>
      <c r="H22" s="119">
        <f t="shared" si="7"/>
        <v>64786.529873664862</v>
      </c>
      <c r="I22" s="119">
        <f t="shared" si="7"/>
        <v>64353.439639382581</v>
      </c>
    </row>
    <row r="23" spans="1:10" ht="15.75" thickBot="1" x14ac:dyDescent="0.3">
      <c r="A23" s="10" t="s">
        <v>130</v>
      </c>
      <c r="B23" s="17">
        <f>B21/B22*365/B13</f>
        <v>1.5241826541481086E-2</v>
      </c>
      <c r="C23" s="17">
        <f t="shared" ref="C23:I23" si="8">C21/C22*365/C13</f>
        <v>1.5290073793754856E-2</v>
      </c>
      <c r="D23" s="17">
        <f>D21/D22*366/D13</f>
        <v>1.5841661880942926E-2</v>
      </c>
      <c r="E23" s="17">
        <f t="shared" ref="E23:G23" si="9">E21/E22*366/E13</f>
        <v>1.6147699001300201E-2</v>
      </c>
      <c r="F23" s="17">
        <f t="shared" si="9"/>
        <v>1.4859486687183945E-2</v>
      </c>
      <c r="G23" s="17">
        <f t="shared" si="9"/>
        <v>1.7943759569977381E-2</v>
      </c>
      <c r="H23" s="17">
        <f t="shared" si="8"/>
        <v>1.8564599475508089E-2</v>
      </c>
      <c r="I23" s="17">
        <f t="shared" si="8"/>
        <v>1.751966470980923E-2</v>
      </c>
    </row>
    <row r="25" spans="1:10" x14ac:dyDescent="0.25">
      <c r="A25" s="2" t="s">
        <v>30</v>
      </c>
      <c r="B25" s="115">
        <f>'[6]Resultat siste 8 kvart SOON'!B23</f>
        <v>274.50710421012292</v>
      </c>
      <c r="C25" s="115">
        <f>'[6]Resultat siste 8 kvart SOON'!C23</f>
        <v>240.50670705740995</v>
      </c>
      <c r="D25" s="115">
        <f>'[6]Resultat siste 8 kvart SOON'!D23</f>
        <v>264.6158672780349</v>
      </c>
      <c r="E25" s="115">
        <f>'[6]Resultat siste 8 kvart SOON'!E23</f>
        <v>215.64644235598485</v>
      </c>
      <c r="F25" s="115">
        <f>'[6]Resultat siste 8 kvart SOON'!F23</f>
        <v>218.48101131104744</v>
      </c>
      <c r="G25" s="115">
        <f>'[6]Resultat siste 8 kvart SOON'!G23</f>
        <v>238.64387533527756</v>
      </c>
      <c r="H25" s="115">
        <f>'[6]Resultat siste 8 kvart SOON'!H23</f>
        <v>261.32711158303476</v>
      </c>
      <c r="I25" s="115">
        <f>'[6]Resultat siste 8 kvart SOON'!I23</f>
        <v>208.75502572303483</v>
      </c>
    </row>
    <row r="26" spans="1:10" x14ac:dyDescent="0.25">
      <c r="A26" s="4" t="s">
        <v>42</v>
      </c>
      <c r="B26" s="115">
        <f>'[6]Resultat siste 8 kvart SOON'!B19</f>
        <v>701.24897065347591</v>
      </c>
      <c r="C26" s="115">
        <f>'[6]Resultat siste 8 kvart SOON'!C19</f>
        <v>521.00539000689514</v>
      </c>
      <c r="D26" s="115">
        <f>'[6]Resultat siste 8 kvart SOON'!D19</f>
        <v>508.75283440679516</v>
      </c>
      <c r="E26" s="115">
        <f>'[6]Resultat siste 8 kvart SOON'!E19</f>
        <v>523.81328053730726</v>
      </c>
      <c r="F26" s="115">
        <f>'[6]Resultat siste 8 kvart SOON'!F19</f>
        <v>536.28003201708657</v>
      </c>
      <c r="G26" s="115">
        <f>'[6]Resultat siste 8 kvart SOON'!G19</f>
        <v>485.16247445446606</v>
      </c>
      <c r="H26" s="115">
        <f>'[6]Resultat siste 8 kvart SOON'!H19</f>
        <v>502.44186791966195</v>
      </c>
      <c r="I26" s="115">
        <f>'[6]Resultat siste 8 kvart SOON'!I19</f>
        <v>463.5173682814081</v>
      </c>
    </row>
    <row r="27" spans="1:10" ht="15.75" thickBot="1" x14ac:dyDescent="0.3">
      <c r="A27" s="63" t="s">
        <v>46</v>
      </c>
      <c r="B27" s="9">
        <f>B25/B26</f>
        <v>0.39145455565420195</v>
      </c>
      <c r="C27" s="9">
        <f t="shared" ref="C27:I27" si="10">C25/C26</f>
        <v>0.46162038180493109</v>
      </c>
      <c r="D27" s="9">
        <f t="shared" si="10"/>
        <v>0.52012657106191162</v>
      </c>
      <c r="E27" s="9">
        <f t="shared" si="10"/>
        <v>0.41168571009651211</v>
      </c>
      <c r="F27" s="9">
        <f t="shared" si="10"/>
        <v>0.40740098132925889</v>
      </c>
      <c r="G27" s="9">
        <f t="shared" si="10"/>
        <v>0.49188444675903104</v>
      </c>
      <c r="H27" s="9">
        <f t="shared" si="10"/>
        <v>0.52011412318214634</v>
      </c>
      <c r="I27" s="9">
        <f t="shared" si="10"/>
        <v>0.45037152868087704</v>
      </c>
    </row>
    <row r="29" spans="1:10" x14ac:dyDescent="0.25">
      <c r="A29" s="2" t="s">
        <v>26</v>
      </c>
      <c r="B29" s="118">
        <f>'[1]Note 23 Proforma kv vis bal'!B13</f>
        <v>61051.000000000022</v>
      </c>
      <c r="C29" s="118">
        <f>'[1]Note 23 Proforma kv vis bal'!C13</f>
        <v>59359.187079800002</v>
      </c>
      <c r="D29" s="118">
        <f>'[1]Note 23 Proforma kv vis bal'!D13</f>
        <v>58128.166648639992</v>
      </c>
      <c r="E29" s="118">
        <f>'[1]Note 23 Proforma kv vis bal'!E13</f>
        <v>58288.67603070999</v>
      </c>
      <c r="F29" s="118">
        <f>'[1]Note 23 Proforma kv vis bal'!F13</f>
        <v>56909.038694909992</v>
      </c>
      <c r="G29" s="118">
        <f>'[1]Note 23 Proforma kv vis bal'!G13</f>
        <v>55419.630430589998</v>
      </c>
      <c r="H29" s="118">
        <f>'[1]Note 23 Proforma kv vis bal'!H13</f>
        <v>54152.58410013</v>
      </c>
      <c r="I29" s="118">
        <f>'[1]Note 23 Proforma kv vis bal'!I13</f>
        <v>53337.818560529995</v>
      </c>
    </row>
    <row r="30" spans="1:10" x14ac:dyDescent="0.25">
      <c r="A30" s="64" t="s">
        <v>94</v>
      </c>
      <c r="B30" s="118">
        <f>'[1]Note 23 Proforma kv vis bal'!B14</f>
        <v>25122.502742659999</v>
      </c>
      <c r="C30" s="118">
        <f>'[1]Note 23 Proforma kv vis bal'!C14</f>
        <v>25068.391245129998</v>
      </c>
      <c r="D30" s="118">
        <f>'[1]Note 23 Proforma kv vis bal'!D14</f>
        <v>24799.00401397</v>
      </c>
      <c r="E30" s="118">
        <f>'[1]Note 23 Proforma kv vis bal'!E14</f>
        <v>23977.940134340002</v>
      </c>
      <c r="F30" s="118">
        <f>'[1]Note 23 Proforma kv vis bal'!F14</f>
        <v>23877.086296580001</v>
      </c>
      <c r="G30" s="118">
        <f>'[1]Note 23 Proforma kv vis bal'!G14</f>
        <v>23597.775397329999</v>
      </c>
      <c r="H30" s="118">
        <f>'[1]Note 23 Proforma kv vis bal'!H14</f>
        <v>22709.69644154</v>
      </c>
      <c r="I30" s="118">
        <f>'[1]Note 23 Proforma kv vis bal'!I14</f>
        <v>22144.182127579999</v>
      </c>
    </row>
    <row r="31" spans="1:10" ht="15.75" thickBot="1" x14ac:dyDescent="0.3">
      <c r="A31" s="63" t="s">
        <v>136</v>
      </c>
      <c r="B31" s="121">
        <f>B29+B30</f>
        <v>86173.502742660028</v>
      </c>
      <c r="C31" s="121">
        <f t="shared" ref="C31:I31" si="11">C29+C30</f>
        <v>84427.57832493</v>
      </c>
      <c r="D31" s="121">
        <f t="shared" si="11"/>
        <v>82927.170662609991</v>
      </c>
      <c r="E31" s="121">
        <f t="shared" si="11"/>
        <v>82266.616165049985</v>
      </c>
      <c r="F31" s="121">
        <f t="shared" si="11"/>
        <v>80786.124991489996</v>
      </c>
      <c r="G31" s="121">
        <f t="shared" si="11"/>
        <v>79017.405827919996</v>
      </c>
      <c r="H31" s="121">
        <f t="shared" si="11"/>
        <v>76862.280541669999</v>
      </c>
      <c r="I31" s="121">
        <f t="shared" si="11"/>
        <v>75482.000688109998</v>
      </c>
    </row>
    <row r="33" spans="1:9" ht="30" x14ac:dyDescent="0.25">
      <c r="A33" s="136" t="s">
        <v>92</v>
      </c>
      <c r="B33" s="120">
        <f>B31</f>
        <v>86173.502742660028</v>
      </c>
      <c r="C33" s="120">
        <f t="shared" ref="C33:G33" si="12">C31</f>
        <v>84427.57832493</v>
      </c>
      <c r="D33" s="120">
        <f t="shared" si="12"/>
        <v>82927.170662609991</v>
      </c>
      <c r="E33" s="120">
        <f t="shared" si="12"/>
        <v>82266.616165049985</v>
      </c>
      <c r="F33" s="120">
        <f t="shared" si="12"/>
        <v>80786.124991489996</v>
      </c>
      <c r="G33" s="120">
        <f t="shared" si="12"/>
        <v>79017.405827919996</v>
      </c>
      <c r="H33" s="125"/>
      <c r="I33" s="125"/>
    </row>
    <row r="34" spans="1:9" ht="30" x14ac:dyDescent="0.25">
      <c r="A34" s="137" t="s">
        <v>159</v>
      </c>
      <c r="B34" s="120">
        <f>$D$31</f>
        <v>82927.170662609991</v>
      </c>
      <c r="C34" s="120">
        <f>$D$31</f>
        <v>82927.170662609991</v>
      </c>
      <c r="D34" s="120">
        <f t="shared" ref="D34:G34" si="13">$H$31</f>
        <v>76862.280541669999</v>
      </c>
      <c r="E34" s="120">
        <f t="shared" si="13"/>
        <v>76862.280541669999</v>
      </c>
      <c r="F34" s="120">
        <f t="shared" si="13"/>
        <v>76862.280541669999</v>
      </c>
      <c r="G34" s="120">
        <f t="shared" si="13"/>
        <v>76862.280541669999</v>
      </c>
      <c r="H34" s="126"/>
      <c r="I34" s="126"/>
    </row>
    <row r="35" spans="1:9" x14ac:dyDescent="0.25">
      <c r="A35" s="61" t="s">
        <v>95</v>
      </c>
      <c r="B35" s="122">
        <f>B33-B34</f>
        <v>3246.3320800500369</v>
      </c>
      <c r="C35" s="122">
        <f t="shared" ref="C35:G35" si="14">C33-C34</f>
        <v>1500.407662320009</v>
      </c>
      <c r="D35" s="122">
        <f t="shared" si="14"/>
        <v>6064.8901209399919</v>
      </c>
      <c r="E35" s="122">
        <f t="shared" si="14"/>
        <v>5404.3356233799859</v>
      </c>
      <c r="F35" s="122">
        <f t="shared" si="14"/>
        <v>3923.844449819997</v>
      </c>
      <c r="G35" s="122">
        <f t="shared" si="14"/>
        <v>2155.1252862499969</v>
      </c>
      <c r="H35" s="127"/>
      <c r="I35" s="127"/>
    </row>
    <row r="36" spans="1:9" ht="30" x14ac:dyDescent="0.25">
      <c r="A36" s="138" t="s">
        <v>160</v>
      </c>
      <c r="B36" s="120">
        <f>B34</f>
        <v>82927.170662609991</v>
      </c>
      <c r="C36" s="120">
        <f t="shared" ref="C36:G36" si="15">C34</f>
        <v>82927.170662609991</v>
      </c>
      <c r="D36" s="120">
        <f t="shared" si="15"/>
        <v>76862.280541669999</v>
      </c>
      <c r="E36" s="120">
        <f t="shared" si="15"/>
        <v>76862.280541669999</v>
      </c>
      <c r="F36" s="120">
        <f t="shared" si="15"/>
        <v>76862.280541669999</v>
      </c>
      <c r="G36" s="120">
        <f t="shared" si="15"/>
        <v>76862.280541669999</v>
      </c>
      <c r="H36" s="125"/>
      <c r="I36" s="125"/>
    </row>
    <row r="37" spans="1:9" ht="15.75" thickBot="1" x14ac:dyDescent="0.3">
      <c r="A37" s="78" t="s">
        <v>161</v>
      </c>
      <c r="B37" s="9">
        <f>B35/B36</f>
        <v>3.914678451116789E-2</v>
      </c>
      <c r="C37" s="9">
        <f t="shared" ref="C37:G37" si="16">C35/C36</f>
        <v>1.8093076736265756E-2</v>
      </c>
      <c r="D37" s="9">
        <f t="shared" si="16"/>
        <v>7.8905935111461878E-2</v>
      </c>
      <c r="E37" s="9">
        <f t="shared" si="16"/>
        <v>7.0311934349255839E-2</v>
      </c>
      <c r="F37" s="9">
        <f t="shared" si="16"/>
        <v>5.1050325623538194E-2</v>
      </c>
      <c r="G37" s="9">
        <f t="shared" si="16"/>
        <v>2.8038789261289488E-2</v>
      </c>
      <c r="H37" s="128"/>
      <c r="I37" s="128"/>
    </row>
    <row r="39" spans="1:9" ht="18" customHeight="1" x14ac:dyDescent="0.25">
      <c r="A39" s="65" t="s">
        <v>92</v>
      </c>
      <c r="B39" s="120">
        <f>B31</f>
        <v>86173.502742660028</v>
      </c>
      <c r="C39" s="120">
        <f t="shared" ref="C39:I39" si="17">C31</f>
        <v>84427.57832493</v>
      </c>
      <c r="D39" s="120">
        <f t="shared" si="17"/>
        <v>82927.170662609991</v>
      </c>
      <c r="E39" s="120">
        <f t="shared" si="17"/>
        <v>82266.616165049985</v>
      </c>
      <c r="F39" s="120">
        <f t="shared" si="17"/>
        <v>80786.124991489996</v>
      </c>
      <c r="G39" s="120">
        <f t="shared" si="17"/>
        <v>79017.405827919996</v>
      </c>
      <c r="H39" s="120">
        <f t="shared" si="17"/>
        <v>76862.280541669999</v>
      </c>
      <c r="I39" s="120">
        <f t="shared" si="17"/>
        <v>75482.000688109998</v>
      </c>
    </row>
    <row r="40" spans="1:9" ht="30" x14ac:dyDescent="0.25">
      <c r="A40" s="64" t="s">
        <v>93</v>
      </c>
      <c r="B40" s="120">
        <f>F31</f>
        <v>80786.124991489996</v>
      </c>
      <c r="C40" s="120">
        <f t="shared" ref="C40:E40" si="18">G31</f>
        <v>79017.405827919996</v>
      </c>
      <c r="D40" s="120">
        <f t="shared" si="18"/>
        <v>76862.280541669999</v>
      </c>
      <c r="E40" s="120">
        <f t="shared" si="18"/>
        <v>75482.000688109998</v>
      </c>
      <c r="F40" s="123">
        <f>'[6]Nøkkeltall siste 8 kvartaler'!F42</f>
        <v>74336.821259860008</v>
      </c>
      <c r="G40" s="123">
        <f>'[6]Nøkkeltall siste 8 kvartaler'!G42</f>
        <v>72799.82261722986</v>
      </c>
      <c r="H40" s="123">
        <f>'[6]Nøkkeltall siste 8 kvartaler'!H42</f>
        <v>72501.401424195603</v>
      </c>
      <c r="I40" s="123">
        <f>'[6]Nøkkeltall siste 8 kvartaler'!I42</f>
        <v>71725.721352900247</v>
      </c>
    </row>
    <row r="41" spans="1:9" x14ac:dyDescent="0.25">
      <c r="A41" s="2" t="s">
        <v>95</v>
      </c>
      <c r="B41" s="122">
        <f>B39-B40</f>
        <v>5387.3777511700318</v>
      </c>
      <c r="C41" s="122">
        <f t="shared" ref="C41:I41" si="19">C39-C40</f>
        <v>5410.172497010004</v>
      </c>
      <c r="D41" s="122">
        <f t="shared" si="19"/>
        <v>6064.8901209399919</v>
      </c>
      <c r="E41" s="122">
        <f t="shared" si="19"/>
        <v>6784.6154769399873</v>
      </c>
      <c r="F41" s="122">
        <f t="shared" si="19"/>
        <v>6449.3037316299888</v>
      </c>
      <c r="G41" s="122">
        <f t="shared" si="19"/>
        <v>6217.5832106901362</v>
      </c>
      <c r="H41" s="122">
        <f t="shared" si="19"/>
        <v>4360.8791174743965</v>
      </c>
      <c r="I41" s="122">
        <f t="shared" si="19"/>
        <v>3756.2793352097506</v>
      </c>
    </row>
    <row r="42" spans="1:9" ht="30" x14ac:dyDescent="0.25">
      <c r="A42" s="70" t="s">
        <v>96</v>
      </c>
      <c r="B42" s="120">
        <f>B40</f>
        <v>80786.124991489996</v>
      </c>
      <c r="C42" s="120">
        <f t="shared" ref="C42:I42" si="20">C40</f>
        <v>79017.405827919996</v>
      </c>
      <c r="D42" s="120">
        <f t="shared" si="20"/>
        <v>76862.280541669999</v>
      </c>
      <c r="E42" s="120">
        <f t="shared" si="20"/>
        <v>75482.000688109998</v>
      </c>
      <c r="F42" s="120">
        <f t="shared" si="20"/>
        <v>74336.821259860008</v>
      </c>
      <c r="G42" s="120">
        <f t="shared" si="20"/>
        <v>72799.82261722986</v>
      </c>
      <c r="H42" s="120">
        <f t="shared" si="20"/>
        <v>72501.401424195603</v>
      </c>
      <c r="I42" s="120">
        <f t="shared" si="20"/>
        <v>71725.721352900247</v>
      </c>
    </row>
    <row r="43" spans="1:9" ht="15.75" thickBot="1" x14ac:dyDescent="0.3">
      <c r="A43" s="78" t="s">
        <v>133</v>
      </c>
      <c r="B43" s="9">
        <f>B41/B42</f>
        <v>6.6686918721965402E-2</v>
      </c>
      <c r="C43" s="9">
        <f t="shared" ref="C43:I43" si="21">C41/C42</f>
        <v>6.8468110795639081E-2</v>
      </c>
      <c r="D43" s="9">
        <f t="shared" si="21"/>
        <v>7.8905935111461878E-2</v>
      </c>
      <c r="E43" s="9">
        <f t="shared" si="21"/>
        <v>8.9883885099626235E-2</v>
      </c>
      <c r="F43" s="9">
        <f t="shared" si="21"/>
        <v>8.6757862689407855E-2</v>
      </c>
      <c r="G43" s="9">
        <f t="shared" si="21"/>
        <v>8.5406570883849828E-2</v>
      </c>
      <c r="H43" s="9">
        <f t="shared" si="21"/>
        <v>6.0148894115294407E-2</v>
      </c>
      <c r="I43" s="9">
        <f t="shared" si="21"/>
        <v>5.2370046119555189E-2</v>
      </c>
    </row>
    <row r="45" spans="1:9" x14ac:dyDescent="0.25">
      <c r="A45" s="2" t="s">
        <v>25</v>
      </c>
      <c r="B45" s="118">
        <f>'[1]Note 23 Proforma kv vis bal'!B17</f>
        <v>46871.6483076</v>
      </c>
      <c r="C45" s="118">
        <f>'[1]Note 23 Proforma kv vis bal'!C17</f>
        <v>43674.548951249999</v>
      </c>
      <c r="D45" s="118">
        <f>'[1]Note 23 Proforma kv vis bal'!D17</f>
        <v>43579.178918639998</v>
      </c>
      <c r="E45" s="118">
        <f>'[1]Note 23 Proforma kv vis bal'!E17</f>
        <v>43662.300208989996</v>
      </c>
      <c r="F45" s="118">
        <f>'[1]Note 23 Proforma kv vis bal'!F17</f>
        <v>43962.275329430006</v>
      </c>
      <c r="G45" s="118">
        <f>'[1]Note 23 Proforma kv vis bal'!G17</f>
        <v>40998.518674849998</v>
      </c>
      <c r="H45" s="118">
        <f>'[1]Note 23 Proforma kv vis bal'!H17</f>
        <v>40531.77815328</v>
      </c>
      <c r="I45" s="118">
        <f>'[1]Note 23 Proforma kv vis bal'!I17</f>
        <v>40599.900708120003</v>
      </c>
    </row>
    <row r="46" spans="1:9" x14ac:dyDescent="0.25">
      <c r="A46" s="70" t="s">
        <v>47</v>
      </c>
      <c r="B46" s="118">
        <f>B29</f>
        <v>61051.000000000022</v>
      </c>
      <c r="C46" s="118">
        <f t="shared" ref="C46:I46" si="22">C29</f>
        <v>59359.187079800002</v>
      </c>
      <c r="D46" s="118">
        <f t="shared" si="22"/>
        <v>58128.166648639992</v>
      </c>
      <c r="E46" s="118">
        <f t="shared" si="22"/>
        <v>58288.67603070999</v>
      </c>
      <c r="F46" s="118">
        <f t="shared" si="22"/>
        <v>56909.038694909992</v>
      </c>
      <c r="G46" s="118">
        <f t="shared" si="22"/>
        <v>55419.630430589998</v>
      </c>
      <c r="H46" s="118">
        <f t="shared" si="22"/>
        <v>54152.58410013</v>
      </c>
      <c r="I46" s="118">
        <f t="shared" si="22"/>
        <v>53337.818560529995</v>
      </c>
    </row>
    <row r="47" spans="1:9" ht="15.75" thickBot="1" x14ac:dyDescent="0.3">
      <c r="A47" s="63" t="s">
        <v>16</v>
      </c>
      <c r="B47" s="9">
        <f>B45/B46</f>
        <v>0.76774579134821674</v>
      </c>
      <c r="C47" s="9">
        <f t="shared" ref="C47:I47" si="23">C45/C46</f>
        <v>0.73576730241497024</v>
      </c>
      <c r="D47" s="9">
        <f t="shared" si="23"/>
        <v>0.74970847062935209</v>
      </c>
      <c r="E47" s="9">
        <f t="shared" si="23"/>
        <v>0.74907002838743608</v>
      </c>
      <c r="F47" s="9">
        <f t="shared" si="23"/>
        <v>0.7725007544954724</v>
      </c>
      <c r="G47" s="9">
        <f t="shared" si="23"/>
        <v>0.7397833286924993</v>
      </c>
      <c r="H47" s="9">
        <f t="shared" si="23"/>
        <v>0.7484735738249414</v>
      </c>
      <c r="I47" s="9">
        <f t="shared" si="23"/>
        <v>0.76118412420720827</v>
      </c>
    </row>
    <row r="49" spans="1:9" x14ac:dyDescent="0.25">
      <c r="A49" s="2" t="s">
        <v>25</v>
      </c>
      <c r="B49" s="118">
        <f>B45</f>
        <v>46871.6483076</v>
      </c>
      <c r="C49" s="118">
        <f t="shared" ref="C49:I49" si="24">C45</f>
        <v>43674.548951249999</v>
      </c>
      <c r="D49" s="118">
        <f t="shared" si="24"/>
        <v>43579.178918639998</v>
      </c>
      <c r="E49" s="118">
        <f t="shared" si="24"/>
        <v>43662.300208989996</v>
      </c>
      <c r="F49" s="118">
        <f t="shared" si="24"/>
        <v>43962.275329430006</v>
      </c>
      <c r="G49" s="118">
        <f t="shared" si="24"/>
        <v>40998.518674849998</v>
      </c>
      <c r="H49" s="118">
        <f t="shared" si="24"/>
        <v>40531.77815328</v>
      </c>
      <c r="I49" s="118">
        <f t="shared" si="24"/>
        <v>40599.900708120003</v>
      </c>
    </row>
    <row r="50" spans="1:9" ht="30" x14ac:dyDescent="0.25">
      <c r="A50" s="70" t="s">
        <v>134</v>
      </c>
      <c r="B50" s="120">
        <f>B31</f>
        <v>86173.502742660028</v>
      </c>
      <c r="C50" s="120">
        <f t="shared" ref="C50:I50" si="25">C31</f>
        <v>84427.57832493</v>
      </c>
      <c r="D50" s="120">
        <f t="shared" si="25"/>
        <v>82927.170662609991</v>
      </c>
      <c r="E50" s="120">
        <f t="shared" si="25"/>
        <v>82266.616165049985</v>
      </c>
      <c r="F50" s="120">
        <f t="shared" si="25"/>
        <v>80786.124991489996</v>
      </c>
      <c r="G50" s="120">
        <f t="shared" si="25"/>
        <v>79017.405827919996</v>
      </c>
      <c r="H50" s="120">
        <f t="shared" si="25"/>
        <v>76862.280541669999</v>
      </c>
      <c r="I50" s="120">
        <f t="shared" si="25"/>
        <v>75482.000688109998</v>
      </c>
    </row>
    <row r="51" spans="1:9" ht="15.75" thickBot="1" x14ac:dyDescent="0.3">
      <c r="A51" s="63" t="s">
        <v>135</v>
      </c>
      <c r="B51" s="9">
        <f>B49/B50</f>
        <v>0.54392181837580433</v>
      </c>
      <c r="C51" s="9">
        <f t="shared" ref="C51" si="26">C49/C50</f>
        <v>0.51730192690311549</v>
      </c>
      <c r="D51" s="9">
        <f t="shared" ref="D51" si="27">D49/D50</f>
        <v>0.52551146470367738</v>
      </c>
      <c r="E51" s="9">
        <f t="shared" ref="E51" si="28">E49/E50</f>
        <v>0.53074141424987187</v>
      </c>
      <c r="F51" s="9">
        <f t="shared" ref="F51" si="29">F49/F50</f>
        <v>0.54418101294078636</v>
      </c>
      <c r="G51" s="9">
        <f t="shared" ref="G51" si="30">G49/G50</f>
        <v>0.5188542732487883</v>
      </c>
      <c r="H51" s="9">
        <f t="shared" ref="H51" si="31">H49/H50</f>
        <v>0.52732989273335651</v>
      </c>
      <c r="I51" s="9">
        <f t="shared" ref="I51" si="32">I49/I50</f>
        <v>0.53787525950561277</v>
      </c>
    </row>
    <row r="53" spans="1:9" x14ac:dyDescent="0.25">
      <c r="A53" s="61" t="s">
        <v>164</v>
      </c>
      <c r="B53" s="118">
        <f>B49</f>
        <v>46871.6483076</v>
      </c>
      <c r="C53" s="118">
        <f t="shared" ref="C53:G53" si="33">C49</f>
        <v>43674.548951249999</v>
      </c>
      <c r="D53" s="118">
        <f t="shared" si="33"/>
        <v>43579.178918639998</v>
      </c>
      <c r="E53" s="118">
        <f t="shared" si="33"/>
        <v>43662.300208989996</v>
      </c>
      <c r="F53" s="118">
        <f t="shared" si="33"/>
        <v>43962.275329430006</v>
      </c>
      <c r="G53" s="118">
        <f t="shared" si="33"/>
        <v>40998.518674849998</v>
      </c>
      <c r="H53" s="129"/>
      <c r="I53" s="129"/>
    </row>
    <row r="54" spans="1:9" x14ac:dyDescent="0.25">
      <c r="A54" s="61" t="s">
        <v>162</v>
      </c>
      <c r="B54" s="118">
        <f>D49</f>
        <v>43579.178918639998</v>
      </c>
      <c r="C54" s="118">
        <f>D49</f>
        <v>43579.178918639998</v>
      </c>
      <c r="D54" s="118">
        <f>$H$49</f>
        <v>40531.77815328</v>
      </c>
      <c r="E54" s="118">
        <f t="shared" ref="E54:G54" si="34">$H$49</f>
        <v>40531.77815328</v>
      </c>
      <c r="F54" s="118">
        <f t="shared" si="34"/>
        <v>40531.77815328</v>
      </c>
      <c r="G54" s="118">
        <f t="shared" si="34"/>
        <v>40531.77815328</v>
      </c>
      <c r="H54" s="125"/>
      <c r="I54" s="125"/>
    </row>
    <row r="55" spans="1:9" x14ac:dyDescent="0.25">
      <c r="A55" s="140" t="s">
        <v>28</v>
      </c>
      <c r="B55" s="122">
        <f>B53-B54</f>
        <v>3292.4693889600021</v>
      </c>
      <c r="C55" s="122">
        <f t="shared" ref="C55:G55" si="35">C53-C54</f>
        <v>95.370032610000635</v>
      </c>
      <c r="D55" s="122">
        <f t="shared" si="35"/>
        <v>3047.4007653599983</v>
      </c>
      <c r="E55" s="122">
        <f t="shared" si="35"/>
        <v>3130.5220557099965</v>
      </c>
      <c r="F55" s="122">
        <f t="shared" si="35"/>
        <v>3430.4971761500055</v>
      </c>
      <c r="G55" s="122">
        <f t="shared" si="35"/>
        <v>466.74052156999824</v>
      </c>
      <c r="H55" s="127"/>
      <c r="I55" s="127"/>
    </row>
    <row r="56" spans="1:9" x14ac:dyDescent="0.25">
      <c r="A56" s="138" t="s">
        <v>163</v>
      </c>
      <c r="B56" s="118">
        <f>B54</f>
        <v>43579.178918639998</v>
      </c>
      <c r="C56" s="118">
        <f t="shared" ref="C56:G56" si="36">C54</f>
        <v>43579.178918639998</v>
      </c>
      <c r="D56" s="118">
        <f t="shared" si="36"/>
        <v>40531.77815328</v>
      </c>
      <c r="E56" s="118">
        <f t="shared" si="36"/>
        <v>40531.77815328</v>
      </c>
      <c r="F56" s="118">
        <f t="shared" si="36"/>
        <v>40531.77815328</v>
      </c>
      <c r="G56" s="118">
        <f t="shared" si="36"/>
        <v>40531.77815328</v>
      </c>
      <c r="H56" s="129"/>
      <c r="I56" s="129"/>
    </row>
    <row r="57" spans="1:9" ht="15.75" thickBot="1" x14ac:dyDescent="0.3">
      <c r="A57" s="63" t="s">
        <v>173</v>
      </c>
      <c r="B57" s="9">
        <f>B55/B56</f>
        <v>7.5551432373401686E-2</v>
      </c>
      <c r="C57" s="9">
        <f t="shared" ref="C57:G57" si="37">C55/C56</f>
        <v>2.1884311493810243E-3</v>
      </c>
      <c r="D57" s="9">
        <f t="shared" si="37"/>
        <v>7.5185469382457626E-2</v>
      </c>
      <c r="E57" s="9">
        <f t="shared" si="37"/>
        <v>7.7236237795223928E-2</v>
      </c>
      <c r="F57" s="9">
        <f t="shared" si="37"/>
        <v>8.4637223740266512E-2</v>
      </c>
      <c r="G57" s="9">
        <f t="shared" si="37"/>
        <v>1.1515421795829296E-2</v>
      </c>
      <c r="H57" s="128"/>
      <c r="I57" s="128"/>
    </row>
    <row r="59" spans="1:9" x14ac:dyDescent="0.25">
      <c r="A59" s="2" t="s">
        <v>165</v>
      </c>
      <c r="B59" s="118">
        <f>B45</f>
        <v>46871.6483076</v>
      </c>
      <c r="C59" s="118">
        <f t="shared" ref="C59:I59" si="38">C45</f>
        <v>43674.548951249999</v>
      </c>
      <c r="D59" s="118">
        <f t="shared" si="38"/>
        <v>43579.178918639998</v>
      </c>
      <c r="E59" s="118">
        <f t="shared" si="38"/>
        <v>43662.300208989996</v>
      </c>
      <c r="F59" s="118">
        <f t="shared" si="38"/>
        <v>43962.275329430006</v>
      </c>
      <c r="G59" s="118">
        <f t="shared" si="38"/>
        <v>40998.518674849998</v>
      </c>
      <c r="H59" s="118">
        <f t="shared" si="38"/>
        <v>40531.77815328</v>
      </c>
      <c r="I59" s="118">
        <f t="shared" si="38"/>
        <v>40599.900708120003</v>
      </c>
    </row>
    <row r="60" spans="1:9" x14ac:dyDescent="0.25">
      <c r="A60" s="2" t="s">
        <v>48</v>
      </c>
      <c r="B60" s="118">
        <f>F45</f>
        <v>43962.275329430006</v>
      </c>
      <c r="C60" s="118">
        <f t="shared" ref="C60:E60" si="39">G45</f>
        <v>40998.518674849998</v>
      </c>
      <c r="D60" s="118">
        <f t="shared" si="39"/>
        <v>40531.77815328</v>
      </c>
      <c r="E60" s="118">
        <f t="shared" si="39"/>
        <v>40599.900708120003</v>
      </c>
      <c r="F60" s="120">
        <f>'[6]Nøkkeltall siste 8 kvartaler'!F43</f>
        <v>40513.854086191153</v>
      </c>
      <c r="G60" s="120">
        <f>'[6]Nøkkeltall siste 8 kvartaler'!G43</f>
        <v>38708.055671489987</v>
      </c>
      <c r="H60" s="120">
        <f>'[6]Nøkkeltall siste 8 kvartaler'!H43</f>
        <v>37191.160898915579</v>
      </c>
      <c r="I60" s="120">
        <f>'[6]Nøkkeltall siste 8 kvartaler'!I43</f>
        <v>36993.534894615077</v>
      </c>
    </row>
    <row r="61" spans="1:9" x14ac:dyDescent="0.25">
      <c r="A61" s="72" t="s">
        <v>28</v>
      </c>
      <c r="B61" s="122">
        <f t="shared" ref="B61:I61" si="40">B59-B60</f>
        <v>2909.3729781699949</v>
      </c>
      <c r="C61" s="122">
        <f t="shared" si="40"/>
        <v>2676.0302764000007</v>
      </c>
      <c r="D61" s="122">
        <f t="shared" si="40"/>
        <v>3047.4007653599983</v>
      </c>
      <c r="E61" s="122">
        <f t="shared" si="40"/>
        <v>3062.3995008699931</v>
      </c>
      <c r="F61" s="122">
        <f t="shared" si="40"/>
        <v>3448.4212432388522</v>
      </c>
      <c r="G61" s="122">
        <f t="shared" si="40"/>
        <v>2290.4630033600115</v>
      </c>
      <c r="H61" s="122">
        <f t="shared" si="40"/>
        <v>3340.6172543644207</v>
      </c>
      <c r="I61" s="122">
        <f t="shared" si="40"/>
        <v>3606.3658135049263</v>
      </c>
    </row>
    <row r="62" spans="1:9" x14ac:dyDescent="0.25">
      <c r="A62" s="70" t="s">
        <v>49</v>
      </c>
      <c r="B62" s="118">
        <f>B60</f>
        <v>43962.275329430006</v>
      </c>
      <c r="C62" s="118">
        <f t="shared" ref="C62:I62" si="41">C60</f>
        <v>40998.518674849998</v>
      </c>
      <c r="D62" s="118">
        <f t="shared" si="41"/>
        <v>40531.77815328</v>
      </c>
      <c r="E62" s="118">
        <f t="shared" si="41"/>
        <v>40599.900708120003</v>
      </c>
      <c r="F62" s="118">
        <f t="shared" si="41"/>
        <v>40513.854086191153</v>
      </c>
      <c r="G62" s="118">
        <f t="shared" si="41"/>
        <v>38708.055671489987</v>
      </c>
      <c r="H62" s="118">
        <f t="shared" si="41"/>
        <v>37191.160898915579</v>
      </c>
      <c r="I62" s="118">
        <f t="shared" si="41"/>
        <v>36993.534894615077</v>
      </c>
    </row>
    <row r="63" spans="1:9" ht="15.75" thickBot="1" x14ac:dyDescent="0.3">
      <c r="A63" s="63" t="s">
        <v>27</v>
      </c>
      <c r="B63" s="9">
        <f>B61/B62</f>
        <v>6.617885349128759E-2</v>
      </c>
      <c r="C63" s="9">
        <f t="shared" ref="C63:I63" si="42">C61/C62</f>
        <v>6.5271389379284478E-2</v>
      </c>
      <c r="D63" s="9">
        <f t="shared" si="42"/>
        <v>7.5185469382457626E-2</v>
      </c>
      <c r="E63" s="9">
        <f t="shared" si="42"/>
        <v>7.5428743604230325E-2</v>
      </c>
      <c r="F63" s="9">
        <f t="shared" si="42"/>
        <v>8.5117087006891828E-2</v>
      </c>
      <c r="G63" s="9">
        <f t="shared" si="42"/>
        <v>5.9172773305868426E-2</v>
      </c>
      <c r="H63" s="9">
        <f t="shared" si="42"/>
        <v>8.9822881932728985E-2</v>
      </c>
      <c r="I63" s="9">
        <f t="shared" si="42"/>
        <v>9.7486380357500874E-2</v>
      </c>
    </row>
    <row r="65" spans="1:9" x14ac:dyDescent="0.25">
      <c r="A65" s="2" t="s">
        <v>158</v>
      </c>
      <c r="B65" s="118">
        <f>B19</f>
        <v>73765.356740827701</v>
      </c>
      <c r="C65" s="118">
        <f t="shared" ref="C65:I65" si="43">C19</f>
        <v>70680.183312181282</v>
      </c>
      <c r="D65" s="118">
        <f t="shared" si="43"/>
        <v>70154.902738719655</v>
      </c>
      <c r="E65" s="118">
        <f t="shared" si="43"/>
        <v>69160.008019737143</v>
      </c>
      <c r="F65" s="118">
        <f t="shared" si="43"/>
        <v>69181.356923291634</v>
      </c>
      <c r="G65" s="118">
        <f t="shared" si="43"/>
        <v>66459.841018579813</v>
      </c>
      <c r="H65" s="118">
        <f t="shared" si="43"/>
        <v>65074.002468564562</v>
      </c>
      <c r="I65" s="118">
        <f t="shared" si="43"/>
        <v>64499.057278765162</v>
      </c>
    </row>
    <row r="66" spans="1:9" x14ac:dyDescent="0.25">
      <c r="A66" s="64" t="s">
        <v>98</v>
      </c>
      <c r="B66" s="118">
        <f>B30</f>
        <v>25122.502742659999</v>
      </c>
      <c r="C66" s="118">
        <f t="shared" ref="C66:I66" si="44">C30</f>
        <v>25068.391245129998</v>
      </c>
      <c r="D66" s="118">
        <f t="shared" si="44"/>
        <v>24799.00401397</v>
      </c>
      <c r="E66" s="118">
        <f t="shared" si="44"/>
        <v>23977.940134340002</v>
      </c>
      <c r="F66" s="118">
        <f t="shared" si="44"/>
        <v>23877.086296580001</v>
      </c>
      <c r="G66" s="118">
        <f t="shared" si="44"/>
        <v>23597.775397329999</v>
      </c>
      <c r="H66" s="118">
        <f t="shared" si="44"/>
        <v>22709.69644154</v>
      </c>
      <c r="I66" s="118">
        <f t="shared" si="44"/>
        <v>22144.182127579999</v>
      </c>
    </row>
    <row r="67" spans="1:9" ht="15.75" thickBot="1" x14ac:dyDescent="0.3">
      <c r="A67" s="63" t="s">
        <v>137</v>
      </c>
      <c r="B67" s="121">
        <f>B65+B66</f>
        <v>98887.8594834877</v>
      </c>
      <c r="C67" s="121">
        <f t="shared" ref="C67:I67" si="45">C65+C66</f>
        <v>95748.57455731128</v>
      </c>
      <c r="D67" s="121">
        <f t="shared" si="45"/>
        <v>94953.906752689654</v>
      </c>
      <c r="E67" s="121">
        <f t="shared" si="45"/>
        <v>93137.948154077138</v>
      </c>
      <c r="F67" s="121">
        <f t="shared" si="45"/>
        <v>93058.443219871639</v>
      </c>
      <c r="G67" s="121">
        <f t="shared" si="45"/>
        <v>90057.616415909812</v>
      </c>
      <c r="H67" s="121">
        <f t="shared" si="45"/>
        <v>87783.698910104562</v>
      </c>
      <c r="I67" s="121">
        <f t="shared" si="45"/>
        <v>86643.239406345165</v>
      </c>
    </row>
  </sheetData>
  <pageMargins left="0.7" right="0.7" top="0.75" bottom="0.75" header="0.3" footer="0.3"/>
  <ignoredErrors>
    <ignoredError sqref="E15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APM definisjoner</vt:lpstr>
      <vt:lpstr>APM utregning</vt:lpstr>
      <vt:lpstr>APM utregning proforma</vt:lpstr>
      <vt:lpstr>'APM definisjoner'!Utskriftstitler</vt:lpstr>
    </vt:vector>
  </TitlesOfParts>
  <Company>SpareBank1 Telemark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APM SpareBank 1 Sørøst-Norge</dc:title>
  <dc:creator>Mona Storbrua;kjersti.sem.elverhoi@sb1telemark.no</dc:creator>
  <cp:lastModifiedBy>Kjersti Sem Elverhøi</cp:lastModifiedBy>
  <cp:lastPrinted>2021-05-12T13:03:46Z</cp:lastPrinted>
  <dcterms:created xsi:type="dcterms:W3CDTF">2017-08-15T12:23:16Z</dcterms:created>
  <dcterms:modified xsi:type="dcterms:W3CDTF">2021-08-12T06:40:53Z</dcterms:modified>
</cp:coreProperties>
</file>